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4.xml" ContentType="application/vnd.openxmlformats-officedocument.drawing+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charts/chart19.xml" ContentType="application/vnd.openxmlformats-officedocument.drawingml.chart+xml"/>
  <Override PartName="/xl/charts/style16.xml" ContentType="application/vnd.ms-office.chartstyle+xml"/>
  <Override PartName="/xl/charts/colors16.xml" ContentType="application/vnd.ms-office.chartcolorstyle+xml"/>
  <Override PartName="/xl/charts/chart20.xml" ContentType="application/vnd.openxmlformats-officedocument.drawingml.chart+xml"/>
  <Override PartName="/xl/charts/style17.xml" ContentType="application/vnd.ms-office.chartstyle+xml"/>
  <Override PartName="/xl/charts/colors17.xml" ContentType="application/vnd.ms-office.chartcolorstyle+xml"/>
  <Override PartName="/xl/charts/chart21.xml" ContentType="application/vnd.openxmlformats-officedocument.drawingml.chart+xml"/>
  <Override PartName="/xl/charts/style18.xml" ContentType="application/vnd.ms-office.chartstyle+xml"/>
  <Override PartName="/xl/charts/colors18.xml" ContentType="application/vnd.ms-office.chartcolorstyle+xml"/>
  <Override PartName="/xl/charts/chart22.xml" ContentType="application/vnd.openxmlformats-officedocument.drawingml.chart+xml"/>
  <Override PartName="/xl/charts/style19.xml" ContentType="application/vnd.ms-office.chartstyle+xml"/>
  <Override PartName="/xl/charts/colors19.xml" ContentType="application/vnd.ms-office.chartcolorstyle+xml"/>
  <Override PartName="/xl/charts/chart23.xml" ContentType="application/vnd.openxmlformats-officedocument.drawingml.chart+xml"/>
  <Override PartName="/xl/charts/style20.xml" ContentType="application/vnd.ms-office.chartstyle+xml"/>
  <Override PartName="/xl/charts/colors20.xml" ContentType="application/vnd.ms-office.chartcolorstyle+xml"/>
  <Override PartName="/xl/charts/chart24.xml" ContentType="application/vnd.openxmlformats-officedocument.drawingml.chart+xml"/>
  <Override PartName="/xl/charts/style21.xml" ContentType="application/vnd.ms-office.chartstyle+xml"/>
  <Override PartName="/xl/charts/colors21.xml" ContentType="application/vnd.ms-office.chartcolorstyle+xml"/>
  <Override PartName="/xl/charts/chart25.xml" ContentType="application/vnd.openxmlformats-officedocument.drawingml.chart+xml"/>
  <Override PartName="/xl/charts/style22.xml" ContentType="application/vnd.ms-office.chartstyle+xml"/>
  <Override PartName="/xl/charts/colors22.xml" ContentType="application/vnd.ms-office.chartcolorstyle+xml"/>
  <Override PartName="/xl/charts/chart26.xml" ContentType="application/vnd.openxmlformats-officedocument.drawingml.chart+xml"/>
  <Override PartName="/xl/charts/style23.xml" ContentType="application/vnd.ms-office.chartstyle+xml"/>
  <Override PartName="/xl/charts/colors23.xml" ContentType="application/vnd.ms-office.chartcolorstyle+xml"/>
  <Override PartName="/xl/charts/chart27.xml" ContentType="application/vnd.openxmlformats-officedocument.drawingml.chart+xml"/>
  <Override PartName="/xl/charts/style24.xml" ContentType="application/vnd.ms-office.chartstyle+xml"/>
  <Override PartName="/xl/charts/colors24.xml" ContentType="application/vnd.ms-office.chartcolorstyle+xml"/>
  <Override PartName="/xl/charts/chart28.xml" ContentType="application/vnd.openxmlformats-officedocument.drawingml.chart+xml"/>
  <Override PartName="/xl/charts/style25.xml" ContentType="application/vnd.ms-office.chartstyle+xml"/>
  <Override PartName="/xl/charts/colors25.xml" ContentType="application/vnd.ms-office.chartcolorstyle+xml"/>
  <Override PartName="/xl/charts/chart29.xml" ContentType="application/vnd.openxmlformats-officedocument.drawingml.chart+xml"/>
  <Override PartName="/xl/charts/style26.xml" ContentType="application/vnd.ms-office.chartstyle+xml"/>
  <Override PartName="/xl/charts/colors26.xml" ContentType="application/vnd.ms-office.chartcolorstyle+xml"/>
  <Override PartName="/xl/charts/chart30.xml" ContentType="application/vnd.openxmlformats-officedocument.drawingml.chart+xml"/>
  <Override PartName="/xl/charts/style27.xml" ContentType="application/vnd.ms-office.chartstyle+xml"/>
  <Override PartName="/xl/charts/colors27.xml" ContentType="application/vnd.ms-office.chartcolorstyle+xml"/>
  <Override PartName="/xl/charts/chart31.xml" ContentType="application/vnd.openxmlformats-officedocument.drawingml.chart+xml"/>
  <Override PartName="/xl/charts/style28.xml" ContentType="application/vnd.ms-office.chartstyle+xml"/>
  <Override PartName="/xl/charts/colors28.xml" ContentType="application/vnd.ms-office.chartcolorstyle+xml"/>
  <Override PartName="/xl/charts/chart32.xml" ContentType="application/vnd.openxmlformats-officedocument.drawingml.chart+xml"/>
  <Override PartName="/xl/charts/style29.xml" ContentType="application/vnd.ms-office.chartstyle+xml"/>
  <Override PartName="/xl/charts/colors29.xml" ContentType="application/vnd.ms-office.chartcolorstyle+xml"/>
  <Override PartName="/xl/charts/chart33.xml" ContentType="application/vnd.openxmlformats-officedocument.drawingml.chart+xml"/>
  <Override PartName="/xl/charts/style30.xml" ContentType="application/vnd.ms-office.chartstyle+xml"/>
  <Override PartName="/xl/charts/colors30.xml" ContentType="application/vnd.ms-office.chartcolorstyle+xml"/>
  <Override PartName="/xl/charts/chart34.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32.xml" ContentType="application/vnd.ms-office.chartstyle+xml"/>
  <Override PartName="/xl/charts/colors32.xml" ContentType="application/vnd.ms-office.chartcolorstyle+xml"/>
  <Override PartName="/xl/charts/chartEx2.xml" ContentType="application/vnd.ms-office.chartex+xml"/>
  <Override PartName="/xl/charts/style33.xml" ContentType="application/vnd.ms-office.chartstyle+xml"/>
  <Override PartName="/xl/charts/colors33.xml" ContentType="application/vnd.ms-office.chartcolorstyle+xml"/>
  <Override PartName="/xl/charts/chartEx3.xml" ContentType="application/vnd.ms-office.chartex+xml"/>
  <Override PartName="/xl/charts/style34.xml" ContentType="application/vnd.ms-office.chartstyle+xml"/>
  <Override PartName="/xl/charts/colors34.xml" ContentType="application/vnd.ms-office.chartcolorstyle+xml"/>
  <Override PartName="/xl/charts/chartEx4.xml" ContentType="application/vnd.ms-office.chartex+xml"/>
  <Override PartName="/xl/charts/style35.xml" ContentType="application/vnd.ms-office.chartstyle+xml"/>
  <Override PartName="/xl/charts/colors35.xml" ContentType="application/vnd.ms-office.chartcolorstyle+xml"/>
  <Override PartName="/xl/drawings/drawing6.xml" ContentType="application/vnd.openxmlformats-officedocument.drawing+xml"/>
  <Override PartName="/xl/tables/table2.xml" ContentType="application/vnd.openxmlformats-officedocument.spreadsheetml.table+xml"/>
  <Override PartName="/xl/charts/chartEx5.xml" ContentType="application/vnd.ms-office.chartex+xml"/>
  <Override PartName="/xl/charts/style36.xml" ContentType="application/vnd.ms-office.chartstyle+xml"/>
  <Override PartName="/xl/charts/colors36.xml" ContentType="application/vnd.ms-office.chartcolorstyle+xml"/>
  <Override PartName="/xl/charts/chartEx6.xml" ContentType="application/vnd.ms-office.chartex+xml"/>
  <Override PartName="/xl/charts/style37.xml" ContentType="application/vnd.ms-office.chartstyle+xml"/>
  <Override PartName="/xl/charts/colors37.xml" ContentType="application/vnd.ms-office.chartcolorstyle+xml"/>
  <Override PartName="/xl/tables/table3.xml" ContentType="application/vnd.openxmlformats-officedocument.spreadsheetml.table+xml"/>
  <Override PartName="/xl/drawings/drawing7.xml" ContentType="application/vnd.openxmlformats-officedocument.drawing+xml"/>
  <Override PartName="/xl/tables/table4.xml" ContentType="application/vnd.openxmlformats-officedocument.spreadsheetml.table+xml"/>
  <Override PartName="/xl/charts/chartEx7.xml" ContentType="application/vnd.ms-office.chartex+xml"/>
  <Override PartName="/xl/charts/style38.xml" ContentType="application/vnd.ms-office.chartstyle+xml"/>
  <Override PartName="/xl/charts/colors38.xml" ContentType="application/vnd.ms-office.chartcolorstyle+xml"/>
  <Override PartName="/xl/charts/chartEx8.xml" ContentType="application/vnd.ms-office.chartex+xml"/>
  <Override PartName="/xl/charts/style39.xml" ContentType="application/vnd.ms-office.chartstyle+xml"/>
  <Override PartName="/xl/charts/colors39.xml" ContentType="application/vnd.ms-office.chartcolorstyle+xml"/>
  <Override PartName="/xl/charts/chartEx9.xml" ContentType="application/vnd.ms-office.chartex+xml"/>
  <Override PartName="/xl/charts/style40.xml" ContentType="application/vnd.ms-office.chartstyle+xml"/>
  <Override PartName="/xl/charts/colors40.xml" ContentType="application/vnd.ms-office.chartcolorstyle+xml"/>
  <Override PartName="/xl/charts/chartEx10.xml" ContentType="application/vnd.ms-office.chartex+xml"/>
  <Override PartName="/xl/charts/style41.xml" ContentType="application/vnd.ms-office.chartstyle+xml"/>
  <Override PartName="/xl/charts/colors41.xml" ContentType="application/vnd.ms-office.chartcolorstyle+xml"/>
  <Override PartName="/xl/drawings/drawing8.xml" ContentType="application/vnd.openxmlformats-officedocument.drawing+xml"/>
  <Override PartName="/xl/tables/table5.xml" ContentType="application/vnd.openxmlformats-officedocument.spreadsheetml.table+xml"/>
  <Override PartName="/xl/charts/chartEx11.xml" ContentType="application/vnd.ms-office.chartex+xml"/>
  <Override PartName="/xl/charts/style42.xml" ContentType="application/vnd.ms-office.chartstyle+xml"/>
  <Override PartName="/xl/charts/colors42.xml" ContentType="application/vnd.ms-office.chartcolorstyle+xml"/>
  <Override PartName="/xl/charts/chartEx12.xml" ContentType="application/vnd.ms-office.chartex+xml"/>
  <Override PartName="/xl/charts/style43.xml" ContentType="application/vnd.ms-office.chartstyle+xml"/>
  <Override PartName="/xl/charts/colors43.xml" ContentType="application/vnd.ms-office.chartcolorstyle+xml"/>
  <Override PartName="/xl/charts/chartEx13.xml" ContentType="application/vnd.ms-office.chartex+xml"/>
  <Override PartName="/xl/charts/style44.xml" ContentType="application/vnd.ms-office.chartstyle+xml"/>
  <Override PartName="/xl/charts/colors44.xml" ContentType="application/vnd.ms-office.chartcolorstyle+xml"/>
  <Override PartName="/xl/charts/chartEx14.xml" ContentType="application/vnd.ms-office.chartex+xml"/>
  <Override PartName="/xl/charts/style45.xml" ContentType="application/vnd.ms-office.chartstyle+xml"/>
  <Override PartName="/xl/charts/colors45.xml" ContentType="application/vnd.ms-office.chartcolorstyle+xml"/>
  <Override PartName="/xl/charts/chartEx15.xml" ContentType="application/vnd.ms-office.chartex+xml"/>
  <Override PartName="/xl/charts/style46.xml" ContentType="application/vnd.ms-office.chartstyle+xml"/>
  <Override PartName="/xl/charts/colors46.xml" ContentType="application/vnd.ms-office.chartcolorstyle+xml"/>
  <Override PartName="/xl/charts/chartEx16.xml" ContentType="application/vnd.ms-office.chartex+xml"/>
  <Override PartName="/xl/charts/style47.xml" ContentType="application/vnd.ms-office.chartstyle+xml"/>
  <Override PartName="/xl/charts/colors47.xml" ContentType="application/vnd.ms-office.chartcolorsty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79b3ce2b3ada6e7a/Desktop/DA Projects/Project 1/FMCG Sales Analysis/Analysis/"/>
    </mc:Choice>
  </mc:AlternateContent>
  <xr:revisionPtr revIDLastSave="11246" documentId="8_{0B6856A2-4C36-4B6A-ADA2-EC2EAE564571}" xr6:coauthVersionLast="47" xr6:coauthVersionMax="47" xr10:uidLastSave="{E40D3826-88A6-47CF-AD85-40300EEA29B9}"/>
  <bookViews>
    <workbookView xWindow="-108" yWindow="-108" windowWidth="23256" windowHeight="12456" xr2:uid="{E91A1E3B-4755-4510-A393-DBFB8EE08428}"/>
  </bookViews>
  <sheets>
    <sheet name="Descriptive Dashboard" sheetId="15" r:id="rId1"/>
    <sheet name="Diagnostic Analysis" sheetId="16" r:id="rId2"/>
    <sheet name="Predictive Analysis" sheetId="17" r:id="rId3"/>
    <sheet name="Prescriptive Analysis" sheetId="18" r:id="rId4"/>
    <sheet name="Pivot" sheetId="6" r:id="rId5"/>
    <sheet name="Sales Table" sheetId="1" r:id="rId6"/>
    <sheet name="Products Table" sheetId="2" r:id="rId7"/>
    <sheet name="Customers Table" sheetId="3" r:id="rId8"/>
    <sheet name="Returns Table" sheetId="4" r:id="rId9"/>
    <sheet name="Marketing Table" sheetId="5" r:id="rId10"/>
    <sheet name="Date Table" sheetId="9" r:id="rId11"/>
    <sheet name="Location Table" sheetId="14" r:id="rId12"/>
    <sheet name="Product Category Table" sheetId="10" r:id="rId13"/>
    <sheet name="Deal Size Table" sheetId="12" r:id="rId14"/>
    <sheet name="Status Table" sheetId="11" r:id="rId15"/>
  </sheets>
  <definedNames>
    <definedName name="_xlnm._FilterDatabase" localSheetId="8" hidden="1">'Returns Table'!$A$1:$P$1</definedName>
    <definedName name="_xlnm._FilterDatabase" localSheetId="5" hidden="1">'Sales Table'!$A$1:$O$1</definedName>
    <definedName name="_xlchart.v1.0" hidden="1">'Sales Table'!$L$1</definedName>
    <definedName name="_xlchart.v1.1" hidden="1">'Sales Table'!$L$2:$L$2971</definedName>
    <definedName name="_xlchart.v1.10" hidden="1">'Products Table'!$D$2:$D$34</definedName>
    <definedName name="_xlchart.v1.11" hidden="1">'Returns Table'!$L$1</definedName>
    <definedName name="_xlchart.v1.12" hidden="1">'Returns Table'!$L$2:$L$207</definedName>
    <definedName name="_xlchart.v1.13" hidden="1">'Returns Table'!$L$1</definedName>
    <definedName name="_xlchart.v1.14" hidden="1">'Returns Table'!$L$2:$L$207</definedName>
    <definedName name="_xlchart.v1.15" hidden="1">'Returns Table'!$M$1</definedName>
    <definedName name="_xlchart.v1.16" hidden="1">'Returns Table'!$M$2:$M$207</definedName>
    <definedName name="_xlchart.v1.17" hidden="1">'Returns Table'!$M$1</definedName>
    <definedName name="_xlchart.v1.18" hidden="1">'Returns Table'!$M$2:$M$207</definedName>
    <definedName name="_xlchart.v1.19" hidden="1">'Marketing Table'!$F$1</definedName>
    <definedName name="_xlchart.v1.2" hidden="1">'Sales Table'!$K$1</definedName>
    <definedName name="_xlchart.v1.20" hidden="1">'Marketing Table'!$F$2:$F$100</definedName>
    <definedName name="_xlchart.v1.21" hidden="1">'Marketing Table'!$H$1</definedName>
    <definedName name="_xlchart.v1.22" hidden="1">'Marketing Table'!$H$2:$H$100</definedName>
    <definedName name="_xlchart.v1.23" hidden="1">'Marketing Table'!$G$1</definedName>
    <definedName name="_xlchart.v1.24" hidden="1">'Marketing Table'!$G$2:$G$100</definedName>
    <definedName name="_xlchart.v1.25" hidden="1">'Marketing Table'!$H$1</definedName>
    <definedName name="_xlchart.v1.26" hidden="1">'Marketing Table'!$H$2:$H$100</definedName>
    <definedName name="_xlchart.v1.27" hidden="1">'Marketing Table'!$F$1</definedName>
    <definedName name="_xlchart.v1.28" hidden="1">'Marketing Table'!$F$2:$F$100</definedName>
    <definedName name="_xlchart.v1.29" hidden="1">'Marketing Table'!$G$1</definedName>
    <definedName name="_xlchart.v1.3" hidden="1">'Sales Table'!$K$2:$K$2971</definedName>
    <definedName name="_xlchart.v1.30" hidden="1">'Marketing Table'!$G$2:$G$100</definedName>
    <definedName name="_xlchart.v1.4" hidden="1">'Sales Table'!$L$1</definedName>
    <definedName name="_xlchart.v1.5" hidden="1">'Sales Table'!$L$2:$L$2971</definedName>
    <definedName name="_xlchart.v1.6" hidden="1">'Sales Table'!$K$1</definedName>
    <definedName name="_xlchart.v1.7" hidden="1">'Sales Table'!$K$2:$K$2971</definedName>
    <definedName name="_xlchart.v1.8" hidden="1">'Products Table'!$D$1</definedName>
    <definedName name="_xlchart.v1.9" hidden="1">'Products Table'!$D$2:$D$34</definedName>
    <definedName name="_xlcn.WorksheetConnection_Dataset.xlsxCustomers_Table1" hidden="1">Customers_Table[]</definedName>
    <definedName name="_xlcn.WorksheetConnection_Dataset.xlsxDate_Table1" hidden="1">Date_Table[]</definedName>
    <definedName name="_xlcn.WorksheetConnection_Dataset.xlsxDeal_Size_Table1" hidden="1">Deal_Size_Table[]</definedName>
    <definedName name="_xlcn.WorksheetConnection_Dataset.xlsxLocation_Table1" hidden="1">Location_Table[]</definedName>
    <definedName name="_xlcn.WorksheetConnection_Dataset.xlsxMarketing_Table1" hidden="1">Marketing_Table[]</definedName>
    <definedName name="_xlcn.WorksheetConnection_Dataset.xlsxProduct_Category_Table1" hidden="1">Product_Category_Table[]</definedName>
    <definedName name="_xlcn.WorksheetConnection_Dataset.xlsxProducts_Table1" hidden="1">Products_Table[]</definedName>
    <definedName name="_xlcn.WorksheetConnection_Dataset.xlsxReturns_Table1" hidden="1">Returns_Table[]</definedName>
    <definedName name="_xlcn.WorksheetConnection_Dataset.xlsxSales_Table1" hidden="1">Sales_Table[]</definedName>
    <definedName name="_xlcn.WorksheetConnection_Dataset.xlsxStatus_Table1" hidden="1">Status_Table[]</definedName>
    <definedName name="Slicer_Country1">#N/A</definedName>
    <definedName name="Slicer_Deal_Size1">#N/A</definedName>
    <definedName name="Slicer_Product_Category1">#N/A</definedName>
    <definedName name="Slicer_Quarter">#N/A</definedName>
    <definedName name="Slicer_Territory">#N/A</definedName>
    <definedName name="Slicer_Year">#N/A</definedName>
  </definedNames>
  <calcPr calcId="191029"/>
  <pivotCaches>
    <pivotCache cacheId="0" r:id="rId16"/>
    <pivotCache cacheId="1" r:id="rId17"/>
    <pivotCache cacheId="2" r:id="rId18"/>
    <pivotCache cacheId="3" r:id="rId19"/>
    <pivotCache cacheId="4" r:id="rId20"/>
    <pivotCache cacheId="5" r:id="rId21"/>
    <pivotCache cacheId="6" r:id="rId22"/>
    <pivotCache cacheId="7" r:id="rId23"/>
    <pivotCache cacheId="8" r:id="rId24"/>
    <pivotCache cacheId="9" r:id="rId25"/>
    <pivotCache cacheId="10" r:id="rId26"/>
    <pivotCache cacheId="11" r:id="rId27"/>
    <pivotCache cacheId="12" r:id="rId28"/>
    <pivotCache cacheId="13" r:id="rId29"/>
    <pivotCache cacheId="14" r:id="rId30"/>
    <pivotCache cacheId="15" r:id="rId31"/>
    <pivotCache cacheId="16" r:id="rId32"/>
    <pivotCache cacheId="17" r:id="rId33"/>
    <pivotCache cacheId="18" r:id="rId34"/>
    <pivotCache cacheId="19" r:id="rId35"/>
    <pivotCache cacheId="20" r:id="rId36"/>
    <pivotCache cacheId="21" r:id="rId37"/>
    <pivotCache cacheId="22" r:id="rId38"/>
    <pivotCache cacheId="23" r:id="rId39"/>
    <pivotCache cacheId="24" r:id="rId40"/>
    <pivotCache cacheId="25" r:id="rId41"/>
    <pivotCache cacheId="26" r:id="rId42"/>
    <pivotCache cacheId="27" r:id="rId43"/>
    <pivotCache cacheId="28" r:id="rId44"/>
    <pivotCache cacheId="29" r:id="rId45"/>
    <pivotCache cacheId="30" r:id="rId46"/>
    <pivotCache cacheId="31" r:id="rId47"/>
    <pivotCache cacheId="32" r:id="rId48"/>
  </pivotCaches>
  <extLst>
    <ext xmlns:x14="http://schemas.microsoft.com/office/spreadsheetml/2009/9/main" uri="{876F7934-8845-4945-9796-88D515C7AA90}">
      <x14:pivotCaches>
        <pivotCache cacheId="33" r:id="rId49"/>
      </x14:pivotCaches>
    </ext>
    <ext xmlns:x14="http://schemas.microsoft.com/office/spreadsheetml/2009/9/main" uri="{BBE1A952-AA13-448e-AADC-164F8A28A991}">
      <x14:slicerCaches>
        <x14:slicerCache r:id="rId50"/>
        <x14:slicerCache r:id="rId51"/>
        <x14:slicerCache r:id="rId52"/>
        <x14:slicerCache r:id="rId53"/>
        <x14:slicerCache r:id="rId54"/>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5"/>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atus_Table" name="Status_Table" connection="WorksheetConnection_Dataset.xlsx!Status_Table"/>
          <x15:modelTable id="Sales_Table" name="Sales_Table" connection="WorksheetConnection_Dataset.xlsx!Sales_Table"/>
          <x15:modelTable id="Returns_Table" name="Returns_Table" connection="WorksheetConnection_Dataset.xlsx!Returns_Table"/>
          <x15:modelTable id="Products_Table" name="Products_Table" connection="WorksheetConnection_Dataset.xlsx!Products_Table"/>
          <x15:modelTable id="Product_Category_Table" name="Product_Category_Table" connection="WorksheetConnection_Dataset.xlsx!Product_Category_Table"/>
          <x15:modelTable id="Marketing_Table" name="Marketing_Table" connection="WorksheetConnection_Dataset.xlsx!Marketing_Table"/>
          <x15:modelTable id="Location_Table" name="Location_Table" connection="WorksheetConnection_Dataset.xlsx!Location_Table"/>
          <x15:modelTable id="Deal_Size_Table" name="Deal_Size_Table" connection="WorksheetConnection_Dataset.xlsx!Deal_Size_Table"/>
          <x15:modelTable id="Date_Table" name="Date_Table" connection="WorksheetConnection_Dataset.xlsx!Date_Table"/>
          <x15:modelTable id="Customers_Table" name="Customers_Table" connection="WorksheetConnection_Dataset.xlsx!Customers_Table"/>
        </x15:modelTables>
        <x15:modelRelationships>
          <x15:modelRelationship fromTable="Sales_Table" fromColumn="Product_Code" toTable="Products_Table" toColumn="Product_Code"/>
          <x15:modelRelationship fromTable="Sales_Table" fromColumn="City" toTable="Location_Table" toColumn="City"/>
          <x15:modelRelationship fromTable="Sales_Table" fromColumn="Order_Date" toTable="Date_Table" toColumn="Date"/>
          <x15:modelRelationship fromTable="Sales_Table" fromColumn="Customer_ID" toTable="Customers_Table" toColumn="Customer_ID"/>
          <x15:modelRelationship fromTable="Sales_Table" fromColumn="Product_Category" toTable="Product_Category_Table" toColumn="Product_Category"/>
          <x15:modelRelationship fromTable="Sales_Table" fromColumn="Deal_Size" toTable="Deal_Size_Table" toColumn="Deal_Size"/>
          <x15:modelRelationship fromTable="Sales_Table" fromColumn="Status" toTable="Status_Table" toColumn="Status"/>
          <x15:modelRelationship fromTable="Marketing_Table" fromColumn="Product_Code" toTable="Products_Table" toColumn="Product_Code"/>
          <x15:modelRelationship fromTable="Marketing_Table" fromColumn="Date" toTable="Date_Table" toColumn="Date"/>
          <x15:modelRelationship fromTable="Marketing_Table" fromColumn="Product_Category" toTable="Product_Category_Table" toColumn="Product_Category"/>
          <x15:modelRelationship fromTable="Returns_Table" fromColumn="Product_Code" toTable="Products_Table" toColumn="Product_Code"/>
          <x15:modelRelationship fromTable="Returns_Table" fromColumn="City" toTable="Location_Table" toColumn="City"/>
          <x15:modelRelationship fromTable="Returns_Table" fromColumn="Order_Date" toTable="Date_Table" toColumn="Date"/>
          <x15:modelRelationship fromTable="Returns_Table" fromColumn="Customer_ID" toTable="Customers_Table" toColumn="Customer_ID"/>
          <x15:modelRelationship fromTable="Returns_Table" fromColumn="Product_Category" toTable="Product_Category_Table" toColumn="Product_Category"/>
          <x15:modelRelationship fromTable="Returns_Table" fromColumn="Deal_Size" toTable="Deal_Size_Table" toColumn="Deal_Size"/>
          <x15:modelRelationship fromTable="Returns_Table" fromColumn="Status" toTable="Status_Table" toColumn="Status"/>
        </x15:modelRelationships>
        <x15:extLst>
          <ext xmlns:x16="http://schemas.microsoft.com/office/spreadsheetml/2014/11/main" uri="{9835A34E-60A6-4A7C-AAB8-D5F71C897F49}">
            <x16:modelTimeGroupings>
              <x16:modelTimeGrouping tableName="Sales_Table"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 tableName="Returns_Table"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 tableName="Marketing_Table" columnName="Date" columnId="Year">
                <x16:calculatedTimeColumn columnName="Year (Year)" columnId="Year (Year)" contentType="years" isSelected="1"/>
                <x16:calculatedTimeColumn columnName="Year (Quarter)" columnId="Year (Quarter)" contentType="quarters" isSelected="1"/>
                <x16:calculatedTimeColumn columnName="Year (Month Index)" columnId="Year (Month Index)" contentType="monthsindex" isSelected="1"/>
                <x16:calculatedTimeColumn columnName="Year (Month)" columnId="Year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T68" i="6" l="1"/>
  <c r="IT69" i="6"/>
  <c r="IT70" i="6"/>
  <c r="IT71" i="6"/>
  <c r="IT72" i="6"/>
  <c r="IT73" i="6"/>
  <c r="IT74" i="6"/>
  <c r="IT75" i="6"/>
  <c r="IT76" i="6"/>
  <c r="IT77" i="6"/>
  <c r="IT78" i="6"/>
  <c r="IT79" i="6"/>
  <c r="IT80" i="6"/>
  <c r="IT81" i="6"/>
  <c r="IT82" i="6"/>
  <c r="IT83" i="6"/>
  <c r="IT84" i="6"/>
  <c r="IT85" i="6"/>
  <c r="IT86" i="6"/>
  <c r="IT87" i="6"/>
  <c r="IT88" i="6"/>
  <c r="IT89" i="6"/>
  <c r="IT90" i="6"/>
  <c r="IT91" i="6"/>
  <c r="IT92" i="6"/>
  <c r="IT93" i="6"/>
  <c r="IT94" i="6"/>
  <c r="IT95" i="6"/>
  <c r="IT96" i="6"/>
  <c r="IT97" i="6"/>
  <c r="IT98" i="6"/>
  <c r="IT99" i="6"/>
  <c r="IT100" i="6"/>
  <c r="IT101" i="6"/>
  <c r="IT102" i="6"/>
  <c r="IT103" i="6"/>
  <c r="IT104" i="6"/>
  <c r="IT105" i="6"/>
  <c r="IT106" i="6"/>
  <c r="IT107" i="6"/>
  <c r="IT108" i="6"/>
  <c r="IT109" i="6"/>
  <c r="IT110" i="6"/>
  <c r="IT111" i="6"/>
  <c r="IT112" i="6"/>
  <c r="IT113" i="6"/>
  <c r="IT114" i="6"/>
  <c r="IX72" i="6"/>
  <c r="IX71" i="6"/>
  <c r="IX70" i="6"/>
  <c r="IX69" i="6"/>
  <c r="IX68" i="6"/>
  <c r="IX67" i="6"/>
  <c r="IX66" i="6"/>
  <c r="IJ69" i="6" l="1"/>
  <c r="IS69" i="6" s="1"/>
  <c r="IJ70" i="6"/>
  <c r="IS70" i="6" s="1"/>
  <c r="IJ71" i="6"/>
  <c r="IS71" i="6" s="1"/>
  <c r="IJ72" i="6"/>
  <c r="IS72" i="6" s="1"/>
  <c r="IJ73" i="6"/>
  <c r="IS73" i="6" s="1"/>
  <c r="IJ74" i="6"/>
  <c r="IJ75" i="6"/>
  <c r="IS75" i="6" s="1"/>
  <c r="IJ76" i="6"/>
  <c r="IS76" i="6" s="1"/>
  <c r="IJ77" i="6"/>
  <c r="IS77" i="6" s="1"/>
  <c r="IJ78" i="6"/>
  <c r="IS78" i="6" s="1"/>
  <c r="IJ79" i="6"/>
  <c r="IS79" i="6" s="1"/>
  <c r="IJ80" i="6"/>
  <c r="IS80" i="6" s="1"/>
  <c r="IJ81" i="6"/>
  <c r="IS81" i="6" s="1"/>
  <c r="IJ82" i="6"/>
  <c r="IJ83" i="6"/>
  <c r="IS83" i="6" s="1"/>
  <c r="IJ84" i="6"/>
  <c r="IS84" i="6" s="1"/>
  <c r="IJ85" i="6"/>
  <c r="IS85" i="6" s="1"/>
  <c r="IJ86" i="6"/>
  <c r="IS86" i="6" s="1"/>
  <c r="IJ87" i="6"/>
  <c r="IJ88" i="6"/>
  <c r="IS88" i="6" s="1"/>
  <c r="IJ89" i="6"/>
  <c r="IS89" i="6" s="1"/>
  <c r="IJ90" i="6"/>
  <c r="IS90" i="6" s="1"/>
  <c r="IJ91" i="6"/>
  <c r="IS91" i="6" s="1"/>
  <c r="IJ92" i="6"/>
  <c r="IS92" i="6" s="1"/>
  <c r="IJ93" i="6"/>
  <c r="IJ94" i="6"/>
  <c r="IS94" i="6" s="1"/>
  <c r="IJ95" i="6"/>
  <c r="IS95" i="6" s="1"/>
  <c r="IJ96" i="6"/>
  <c r="IS96" i="6" s="1"/>
  <c r="IJ97" i="6"/>
  <c r="IS97" i="6" s="1"/>
  <c r="IJ98" i="6"/>
  <c r="IS98" i="6" s="1"/>
  <c r="IJ99" i="6"/>
  <c r="IS99" i="6" s="1"/>
  <c r="IJ100" i="6"/>
  <c r="IJ101" i="6"/>
  <c r="IS101" i="6" s="1"/>
  <c r="IJ102" i="6"/>
  <c r="IS102" i="6" s="1"/>
  <c r="IJ103" i="6"/>
  <c r="IS103" i="6" s="1"/>
  <c r="IJ104" i="6"/>
  <c r="IS104" i="6" s="1"/>
  <c r="IJ105" i="6"/>
  <c r="IS105" i="6" s="1"/>
  <c r="IJ106" i="6"/>
  <c r="IS106" i="6" s="1"/>
  <c r="IJ107" i="6"/>
  <c r="IJ108" i="6"/>
  <c r="IS108" i="6" s="1"/>
  <c r="IJ109" i="6"/>
  <c r="IS109" i="6" s="1"/>
  <c r="IJ110" i="6"/>
  <c r="IS110" i="6" s="1"/>
  <c r="IJ111" i="6"/>
  <c r="IS111" i="6" s="1"/>
  <c r="IJ112" i="6"/>
  <c r="IS112" i="6" s="1"/>
  <c r="IJ113" i="6"/>
  <c r="IS113" i="6" s="1"/>
  <c r="IJ114" i="6"/>
  <c r="IS114" i="6" s="1"/>
  <c r="IJ68" i="6"/>
  <c r="IS68" i="6" s="1"/>
  <c r="IE69" i="6"/>
  <c r="IP69" i="6" s="1"/>
  <c r="IF69" i="6"/>
  <c r="IQ69" i="6" s="1"/>
  <c r="IG69" i="6"/>
  <c r="IR69" i="6" s="1"/>
  <c r="IE70" i="6"/>
  <c r="IP70" i="6" s="1"/>
  <c r="IF70" i="6"/>
  <c r="IQ70" i="6" s="1"/>
  <c r="IG70" i="6"/>
  <c r="IR70" i="6" s="1"/>
  <c r="IE71" i="6"/>
  <c r="IP71" i="6" s="1"/>
  <c r="IF71" i="6"/>
  <c r="IQ71" i="6" s="1"/>
  <c r="IG71" i="6"/>
  <c r="IR71" i="6" s="1"/>
  <c r="IE72" i="6"/>
  <c r="IP72" i="6" s="1"/>
  <c r="IF72" i="6"/>
  <c r="IQ72" i="6" s="1"/>
  <c r="IG72" i="6"/>
  <c r="IR72" i="6" s="1"/>
  <c r="IE73" i="6"/>
  <c r="IP73" i="6" s="1"/>
  <c r="IF73" i="6"/>
  <c r="IQ73" i="6" s="1"/>
  <c r="IG73" i="6"/>
  <c r="IR73" i="6" s="1"/>
  <c r="IE75" i="6"/>
  <c r="IP75" i="6" s="1"/>
  <c r="IF75" i="6"/>
  <c r="IQ75" i="6" s="1"/>
  <c r="IG75" i="6"/>
  <c r="IR75" i="6" s="1"/>
  <c r="IE76" i="6"/>
  <c r="IP76" i="6" s="1"/>
  <c r="IF76" i="6"/>
  <c r="IQ76" i="6" s="1"/>
  <c r="IG76" i="6"/>
  <c r="IR76" i="6" s="1"/>
  <c r="IE77" i="6"/>
  <c r="IP77" i="6" s="1"/>
  <c r="IF77" i="6"/>
  <c r="IQ77" i="6" s="1"/>
  <c r="IG77" i="6"/>
  <c r="IR77" i="6" s="1"/>
  <c r="IE78" i="6"/>
  <c r="IP78" i="6" s="1"/>
  <c r="IF78" i="6"/>
  <c r="IQ78" i="6" s="1"/>
  <c r="IG78" i="6"/>
  <c r="IR78" i="6" s="1"/>
  <c r="IE79" i="6"/>
  <c r="IP79" i="6" s="1"/>
  <c r="IF79" i="6"/>
  <c r="IQ79" i="6" s="1"/>
  <c r="IG79" i="6"/>
  <c r="IR79" i="6" s="1"/>
  <c r="IE80" i="6"/>
  <c r="IP80" i="6" s="1"/>
  <c r="IF80" i="6"/>
  <c r="IQ80" i="6" s="1"/>
  <c r="IG80" i="6"/>
  <c r="IR80" i="6" s="1"/>
  <c r="IE81" i="6"/>
  <c r="IP81" i="6" s="1"/>
  <c r="IF81" i="6"/>
  <c r="IQ81" i="6" s="1"/>
  <c r="IG81" i="6"/>
  <c r="IR81" i="6" s="1"/>
  <c r="IE83" i="6"/>
  <c r="IP83" i="6" s="1"/>
  <c r="IF83" i="6"/>
  <c r="IQ83" i="6" s="1"/>
  <c r="IG83" i="6"/>
  <c r="IR83" i="6" s="1"/>
  <c r="IE84" i="6"/>
  <c r="IP84" i="6" s="1"/>
  <c r="IF84" i="6"/>
  <c r="IQ84" i="6" s="1"/>
  <c r="IG84" i="6"/>
  <c r="IR84" i="6" s="1"/>
  <c r="IE85" i="6"/>
  <c r="IP85" i="6" s="1"/>
  <c r="IF85" i="6"/>
  <c r="IQ85" i="6" s="1"/>
  <c r="IG85" i="6"/>
  <c r="IR85" i="6" s="1"/>
  <c r="IE86" i="6"/>
  <c r="IP86" i="6" s="1"/>
  <c r="IF86" i="6"/>
  <c r="IQ86" i="6" s="1"/>
  <c r="IG86" i="6"/>
  <c r="IR86" i="6" s="1"/>
  <c r="IE87" i="6"/>
  <c r="IF87" i="6"/>
  <c r="IG87" i="6"/>
  <c r="IE88" i="6"/>
  <c r="IP88" i="6" s="1"/>
  <c r="IF88" i="6"/>
  <c r="IQ88" i="6" s="1"/>
  <c r="IG88" i="6"/>
  <c r="IR88" i="6" s="1"/>
  <c r="IE89" i="6"/>
  <c r="IP89" i="6" s="1"/>
  <c r="IF89" i="6"/>
  <c r="IQ89" i="6" s="1"/>
  <c r="IG89" i="6"/>
  <c r="IR89" i="6" s="1"/>
  <c r="IE90" i="6"/>
  <c r="IP90" i="6" s="1"/>
  <c r="IF90" i="6"/>
  <c r="IQ90" i="6" s="1"/>
  <c r="IG90" i="6"/>
  <c r="IR90" i="6" s="1"/>
  <c r="IE91" i="6"/>
  <c r="IP91" i="6" s="1"/>
  <c r="IF91" i="6"/>
  <c r="IQ91" i="6" s="1"/>
  <c r="IG91" i="6"/>
  <c r="IR91" i="6" s="1"/>
  <c r="IE92" i="6"/>
  <c r="IP92" i="6" s="1"/>
  <c r="IF92" i="6"/>
  <c r="IQ92" i="6" s="1"/>
  <c r="IG92" i="6"/>
  <c r="IR92" i="6" s="1"/>
  <c r="IE94" i="6"/>
  <c r="IP94" i="6" s="1"/>
  <c r="IF94" i="6"/>
  <c r="IQ94" i="6" s="1"/>
  <c r="IG94" i="6"/>
  <c r="IR94" i="6" s="1"/>
  <c r="IE95" i="6"/>
  <c r="IP95" i="6" s="1"/>
  <c r="IF95" i="6"/>
  <c r="IQ95" i="6" s="1"/>
  <c r="IG95" i="6"/>
  <c r="IR95" i="6" s="1"/>
  <c r="IE96" i="6"/>
  <c r="IP96" i="6" s="1"/>
  <c r="IF96" i="6"/>
  <c r="IQ96" i="6" s="1"/>
  <c r="IG96" i="6"/>
  <c r="IR96" i="6" s="1"/>
  <c r="IE97" i="6"/>
  <c r="IP97" i="6" s="1"/>
  <c r="IF97" i="6"/>
  <c r="IQ97" i="6" s="1"/>
  <c r="IG97" i="6"/>
  <c r="IR97" i="6" s="1"/>
  <c r="IE98" i="6"/>
  <c r="IP98" i="6" s="1"/>
  <c r="IF98" i="6"/>
  <c r="IQ98" i="6" s="1"/>
  <c r="IG98" i="6"/>
  <c r="IR98" i="6" s="1"/>
  <c r="IE99" i="6"/>
  <c r="IP99" i="6" s="1"/>
  <c r="IF99" i="6"/>
  <c r="IQ99" i="6" s="1"/>
  <c r="IG99" i="6"/>
  <c r="IR99" i="6" s="1"/>
  <c r="IE101" i="6"/>
  <c r="IP101" i="6" s="1"/>
  <c r="IF101" i="6"/>
  <c r="IQ101" i="6" s="1"/>
  <c r="IG101" i="6"/>
  <c r="IR101" i="6" s="1"/>
  <c r="IE102" i="6"/>
  <c r="IP102" i="6" s="1"/>
  <c r="IF102" i="6"/>
  <c r="IQ102" i="6" s="1"/>
  <c r="IG102" i="6"/>
  <c r="IR102" i="6" s="1"/>
  <c r="IE103" i="6"/>
  <c r="IP103" i="6" s="1"/>
  <c r="IF103" i="6"/>
  <c r="IQ103" i="6" s="1"/>
  <c r="IG103" i="6"/>
  <c r="IR103" i="6" s="1"/>
  <c r="IE104" i="6"/>
  <c r="IP104" i="6" s="1"/>
  <c r="IF104" i="6"/>
  <c r="IQ104" i="6" s="1"/>
  <c r="IG104" i="6"/>
  <c r="IR104" i="6" s="1"/>
  <c r="IE105" i="6"/>
  <c r="IP105" i="6" s="1"/>
  <c r="IF105" i="6"/>
  <c r="IQ105" i="6" s="1"/>
  <c r="IG105" i="6"/>
  <c r="IR105" i="6" s="1"/>
  <c r="IE106" i="6"/>
  <c r="IP106" i="6" s="1"/>
  <c r="IF106" i="6"/>
  <c r="IQ106" i="6" s="1"/>
  <c r="IG106" i="6"/>
  <c r="IR106" i="6" s="1"/>
  <c r="IE108" i="6"/>
  <c r="IP108" i="6" s="1"/>
  <c r="IF108" i="6"/>
  <c r="IQ108" i="6" s="1"/>
  <c r="IG108" i="6"/>
  <c r="IR108" i="6" s="1"/>
  <c r="IE109" i="6"/>
  <c r="IP109" i="6" s="1"/>
  <c r="IF109" i="6"/>
  <c r="IQ109" i="6" s="1"/>
  <c r="IG109" i="6"/>
  <c r="IR109" i="6" s="1"/>
  <c r="IE110" i="6"/>
  <c r="IP110" i="6" s="1"/>
  <c r="IF110" i="6"/>
  <c r="IQ110" i="6" s="1"/>
  <c r="IG110" i="6"/>
  <c r="IR110" i="6" s="1"/>
  <c r="IE111" i="6"/>
  <c r="IP111" i="6" s="1"/>
  <c r="IF111" i="6"/>
  <c r="IQ111" i="6" s="1"/>
  <c r="IG111" i="6"/>
  <c r="IR111" i="6" s="1"/>
  <c r="IE112" i="6"/>
  <c r="IP112" i="6" s="1"/>
  <c r="IF112" i="6"/>
  <c r="IQ112" i="6" s="1"/>
  <c r="IG112" i="6"/>
  <c r="IR112" i="6" s="1"/>
  <c r="IE113" i="6"/>
  <c r="IP113" i="6" s="1"/>
  <c r="IF113" i="6"/>
  <c r="IQ113" i="6" s="1"/>
  <c r="IG113" i="6"/>
  <c r="IR113" i="6" s="1"/>
  <c r="IE114" i="6"/>
  <c r="IP114" i="6" s="1"/>
  <c r="IF114" i="6"/>
  <c r="IQ114" i="6" s="1"/>
  <c r="IG114" i="6"/>
  <c r="IR114" i="6" s="1"/>
  <c r="IF68" i="6"/>
  <c r="IQ68" i="6" s="1"/>
  <c r="IG68" i="6"/>
  <c r="IR68" i="6" s="1"/>
  <c r="IE68" i="6"/>
  <c r="IP68" i="6" s="1"/>
  <c r="HH56" i="6"/>
  <c r="HH55" i="6"/>
  <c r="HH57" i="6"/>
  <c r="HH59" i="6"/>
  <c r="HH60" i="6"/>
  <c r="HH61" i="6"/>
  <c r="HH54" i="6"/>
  <c r="HD44" i="6"/>
  <c r="HD55" i="6" s="1"/>
  <c r="HE44" i="6"/>
  <c r="HE55" i="6" s="1"/>
  <c r="HF44" i="6"/>
  <c r="HF55" i="6" s="1"/>
  <c r="HD45" i="6"/>
  <c r="HD56" i="6" s="1"/>
  <c r="HE45" i="6"/>
  <c r="HE56" i="6" s="1"/>
  <c r="HF45" i="6"/>
  <c r="HF56" i="6" s="1"/>
  <c r="HD46" i="6"/>
  <c r="HD57" i="6" s="1"/>
  <c r="HE46" i="6"/>
  <c r="HE57" i="6" s="1"/>
  <c r="HF46" i="6"/>
  <c r="HF57" i="6" s="1"/>
  <c r="HD47" i="6"/>
  <c r="HD58" i="6" s="1"/>
  <c r="HE47" i="6"/>
  <c r="HE58" i="6" s="1"/>
  <c r="HF47" i="6"/>
  <c r="HF58" i="6" s="1"/>
  <c r="HD48" i="6"/>
  <c r="HD59" i="6" s="1"/>
  <c r="HE48" i="6"/>
  <c r="HE59" i="6" s="1"/>
  <c r="HF48" i="6"/>
  <c r="HF59" i="6" s="1"/>
  <c r="HD49" i="6"/>
  <c r="HD60" i="6" s="1"/>
  <c r="HE49" i="6"/>
  <c r="HE60" i="6" s="1"/>
  <c r="HF49" i="6"/>
  <c r="HF60" i="6" s="1"/>
  <c r="HE43" i="6"/>
  <c r="HE54" i="6" s="1"/>
  <c r="HF43" i="6"/>
  <c r="HF54" i="6" s="1"/>
  <c r="HD43" i="6"/>
  <c r="HD54" i="6" s="1"/>
  <c r="IH58" i="6" l="1"/>
  <c r="II58" i="6" s="1"/>
  <c r="HF50" i="6"/>
  <c r="HF61" i="6" s="1"/>
  <c r="HE50" i="6"/>
  <c r="HE61" i="6" s="1"/>
  <c r="HG44" i="6"/>
  <c r="HG55" i="6" s="1"/>
  <c r="HG49" i="6"/>
  <c r="HG60" i="6" s="1"/>
  <c r="HG48" i="6"/>
  <c r="HG59" i="6" s="1"/>
  <c r="HG47" i="6"/>
  <c r="HG58" i="6" s="1"/>
  <c r="HG46" i="6"/>
  <c r="HG57" i="6" s="1"/>
  <c r="HG45" i="6"/>
  <c r="HG56" i="6" s="1"/>
  <c r="HD50" i="6"/>
  <c r="HG43" i="6"/>
  <c r="HG54" i="6" s="1"/>
  <c r="HG50" i="6" l="1"/>
  <c r="HG61" i="6" s="1"/>
  <c r="HD61" i="6"/>
  <c r="BU29" i="6" l="1"/>
  <c r="HF9" i="6" l="1"/>
  <c r="HF10" i="6"/>
  <c r="HF11" i="6"/>
  <c r="HF12" i="6"/>
  <c r="HF13" i="6"/>
  <c r="HF14" i="6"/>
  <c r="HF15" i="6"/>
  <c r="HF16" i="6"/>
  <c r="HF17" i="6"/>
  <c r="HF18" i="6"/>
  <c r="HF19" i="6"/>
  <c r="HF20" i="6"/>
  <c r="HF21" i="6"/>
  <c r="HF22" i="6"/>
  <c r="HF23" i="6"/>
  <c r="HF24" i="6"/>
  <c r="HF25" i="6"/>
  <c r="HF26" i="6"/>
  <c r="HF27" i="6"/>
  <c r="HF28" i="6"/>
  <c r="HF29" i="6"/>
  <c r="HF30" i="6"/>
  <c r="HF31" i="6"/>
  <c r="HF32" i="6"/>
  <c r="HF33" i="6"/>
  <c r="HF34" i="6"/>
  <c r="HF35" i="6"/>
  <c r="HF36" i="6"/>
  <c r="HF37" i="6"/>
  <c r="HF8" i="6"/>
  <c r="D31" i="17" l="1"/>
  <c r="D32" i="17"/>
  <c r="D33" i="17"/>
  <c r="D34" i="17"/>
  <c r="D35" i="17"/>
  <c r="D36" i="17"/>
  <c r="D30" i="17"/>
  <c r="I29" i="17"/>
  <c r="I37" i="17"/>
  <c r="AO18" i="17" l="1"/>
  <c r="AR18" i="17" s="1"/>
  <c r="AO17" i="17"/>
  <c r="AO16" i="17"/>
  <c r="AR16" i="17" s="1"/>
  <c r="AO15" i="17"/>
  <c r="AR15" i="17" s="1"/>
  <c r="AO14" i="17"/>
  <c r="AO13" i="17"/>
  <c r="AO12" i="17"/>
  <c r="AR12" i="17" s="1"/>
  <c r="AO11" i="17"/>
  <c r="AO10" i="17"/>
  <c r="AO9" i="17"/>
  <c r="AR9" i="17" s="1"/>
  <c r="AO8" i="17"/>
  <c r="AO7" i="17"/>
  <c r="AR7" i="17" s="1"/>
  <c r="AP10" i="17" l="1"/>
  <c r="AQ10" i="17" s="1"/>
  <c r="AP12" i="17"/>
  <c r="AQ12" i="17" s="1"/>
  <c r="AP13" i="17"/>
  <c r="AQ13" i="17" s="1"/>
  <c r="AP7" i="17"/>
  <c r="AQ7" i="17" s="1"/>
  <c r="AP9" i="17"/>
  <c r="AQ9" i="17" s="1"/>
  <c r="AP16" i="17"/>
  <c r="AQ16" i="17" s="1"/>
  <c r="AR10" i="17"/>
  <c r="AR13" i="17"/>
  <c r="AP15" i="17"/>
  <c r="AQ15" i="17" s="1"/>
  <c r="AP17" i="17"/>
  <c r="AQ17" i="17" s="1"/>
  <c r="AR17" i="17"/>
  <c r="AR14" i="17"/>
  <c r="AP8" i="17"/>
  <c r="AQ8" i="17" s="1"/>
  <c r="AP11" i="17"/>
  <c r="AQ11" i="17" s="1"/>
  <c r="AP14" i="17"/>
  <c r="AQ14" i="17" s="1"/>
  <c r="AR8" i="17"/>
  <c r="AR11" i="17"/>
  <c r="AP18" i="17"/>
  <c r="AQ18" i="17" s="1"/>
  <c r="AR20" i="17" l="1"/>
  <c r="AR21" i="17"/>
  <c r="AR23" i="17" l="1"/>
  <c r="U14" i="16"/>
  <c r="U13" i="16"/>
  <c r="U12" i="16"/>
  <c r="U11" i="16"/>
  <c r="J6" i="16"/>
  <c r="K6" i="16"/>
  <c r="L6" i="16"/>
  <c r="M6" i="16"/>
  <c r="J7" i="16"/>
  <c r="K7" i="16"/>
  <c r="L7" i="16"/>
  <c r="M7" i="16"/>
  <c r="J8" i="16"/>
  <c r="K8" i="16"/>
  <c r="L8" i="16"/>
  <c r="M8" i="16"/>
  <c r="J9" i="16"/>
  <c r="K9" i="16"/>
  <c r="L9" i="16"/>
  <c r="M9" i="16"/>
  <c r="I9" i="16"/>
  <c r="I8" i="16"/>
  <c r="I7" i="16"/>
  <c r="I6" i="16"/>
  <c r="I5" i="16"/>
  <c r="J5" i="16"/>
  <c r="K5" i="16"/>
  <c r="L5" i="16"/>
  <c r="M5" i="16"/>
  <c r="CZ8" i="6"/>
  <c r="DB8" i="6" s="1"/>
  <c r="CZ9" i="6"/>
  <c r="DB9" i="6" s="1"/>
  <c r="CZ10" i="6"/>
  <c r="DA10" i="6" s="1" a="1"/>
  <c r="DA10" i="6" s="1"/>
  <c r="CZ11" i="6"/>
  <c r="DA11" i="6" s="1" a="1"/>
  <c r="DA11" i="6" s="1"/>
  <c r="CZ12" i="6"/>
  <c r="DB12" i="6" s="1"/>
  <c r="CZ13" i="6"/>
  <c r="DB13" i="6" s="1"/>
  <c r="CZ14" i="6"/>
  <c r="DB14" i="6" s="1"/>
  <c r="CZ15" i="6"/>
  <c r="DB15" i="6" s="1"/>
  <c r="CZ16" i="6"/>
  <c r="DB16" i="6" s="1"/>
  <c r="CZ7" i="6"/>
  <c r="DA7" i="6" s="1" a="1"/>
  <c r="DA7" i="6" s="1"/>
  <c r="V4" i="5"/>
  <c r="V3" i="5"/>
  <c r="U9" i="5" a="1"/>
  <c r="U9" i="5" s="1"/>
  <c r="U7" i="5" a="1"/>
  <c r="U7" i="5" s="1"/>
  <c r="U8" i="5" s="1"/>
  <c r="U5" i="5" a="1"/>
  <c r="U5" i="5" s="1"/>
  <c r="U6" i="5" s="1"/>
  <c r="U4" i="5"/>
  <c r="U3" i="5"/>
  <c r="P14" i="5"/>
  <c r="P13" i="5"/>
  <c r="P11" i="5"/>
  <c r="P10" i="5"/>
  <c r="P9" i="5"/>
  <c r="P8" i="5"/>
  <c r="P7" i="5"/>
  <c r="P6" i="5"/>
  <c r="P5" i="5"/>
  <c r="P4" i="5"/>
  <c r="P3" i="5"/>
  <c r="N14" i="5"/>
  <c r="N13" i="5"/>
  <c r="N11" i="5"/>
  <c r="N10" i="5"/>
  <c r="N9" i="5"/>
  <c r="N8" i="5"/>
  <c r="N7" i="5"/>
  <c r="N6" i="5"/>
  <c r="N5" i="5"/>
  <c r="N4" i="5"/>
  <c r="N3" i="5"/>
  <c r="L14" i="5"/>
  <c r="L13" i="5"/>
  <c r="L11" i="5"/>
  <c r="L10" i="5"/>
  <c r="L9" i="5"/>
  <c r="L8" i="5"/>
  <c r="L7" i="5"/>
  <c r="L6" i="5"/>
  <c r="L5" i="5"/>
  <c r="L4" i="5"/>
  <c r="L3" i="5"/>
  <c r="N45" i="5"/>
  <c r="N44" i="5"/>
  <c r="N43" i="5"/>
  <c r="L5" i="2" a="1"/>
  <c r="L5" i="2" s="1"/>
  <c r="M4" i="2"/>
  <c r="M3" i="2"/>
  <c r="Y14" i="4"/>
  <c r="W14" i="4"/>
  <c r="U14" i="4"/>
  <c r="Y13" i="4"/>
  <c r="W13" i="4"/>
  <c r="U13" i="4"/>
  <c r="Y11" i="4"/>
  <c r="W11" i="4"/>
  <c r="U11" i="4"/>
  <c r="Y10" i="4"/>
  <c r="W10" i="4"/>
  <c r="U10" i="4"/>
  <c r="AJ9" i="4" a="1"/>
  <c r="AJ9" i="4" s="1"/>
  <c r="AI9" i="4" a="1"/>
  <c r="AI9" i="4" s="1"/>
  <c r="AH9" i="4" a="1"/>
  <c r="AH9" i="4" s="1"/>
  <c r="AG9" i="4" a="1"/>
  <c r="AG9" i="4" s="1"/>
  <c r="AF9" i="4" a="1"/>
  <c r="AF9" i="4" s="1"/>
  <c r="AE9" i="4" a="1"/>
  <c r="AE9" i="4" s="1"/>
  <c r="AD9" i="4" a="1"/>
  <c r="AD9" i="4" s="1"/>
  <c r="AC9" i="4" a="1"/>
  <c r="AC9" i="4" s="1"/>
  <c r="AC10" i="4" s="1"/>
  <c r="Y9" i="4"/>
  <c r="W9" i="4"/>
  <c r="U9" i="4"/>
  <c r="Y8" i="4"/>
  <c r="W8" i="4"/>
  <c r="U8" i="4"/>
  <c r="AJ7" i="4" a="1"/>
  <c r="AJ7" i="4" s="1"/>
  <c r="AJ8" i="4" s="1"/>
  <c r="AI7" i="4" a="1"/>
  <c r="AI7" i="4" s="1"/>
  <c r="AH7" i="4" a="1"/>
  <c r="AH7" i="4" s="1"/>
  <c r="AH8" i="4" s="1"/>
  <c r="AG7" i="4" a="1"/>
  <c r="AG7" i="4" s="1"/>
  <c r="AF7" i="4" a="1"/>
  <c r="AF7" i="4" s="1"/>
  <c r="AE7" i="4" a="1"/>
  <c r="AE7" i="4" s="1"/>
  <c r="AD7" i="4" a="1"/>
  <c r="AD7" i="4" s="1"/>
  <c r="AC7" i="4" a="1"/>
  <c r="AC7" i="4" s="1"/>
  <c r="Y7" i="4"/>
  <c r="W7" i="4"/>
  <c r="U7" i="4"/>
  <c r="Y6" i="4"/>
  <c r="W6" i="4"/>
  <c r="U6" i="4"/>
  <c r="AJ5" i="4" a="1"/>
  <c r="AJ5" i="4" s="1"/>
  <c r="AJ6" i="4" s="1"/>
  <c r="AI5" i="4" a="1"/>
  <c r="AI5" i="4" s="1"/>
  <c r="AH5" i="4" a="1"/>
  <c r="AH5" i="4" s="1"/>
  <c r="AG5" i="4" a="1"/>
  <c r="AG5" i="4" s="1"/>
  <c r="AF5" i="4" a="1"/>
  <c r="AF5" i="4" s="1"/>
  <c r="AE5" i="4" a="1"/>
  <c r="AE5" i="4" s="1"/>
  <c r="AD5" i="4" a="1"/>
  <c r="AD5" i="4" s="1"/>
  <c r="AC5" i="4" a="1"/>
  <c r="AC5" i="4" s="1"/>
  <c r="Y5" i="4"/>
  <c r="W5" i="4"/>
  <c r="U5" i="4"/>
  <c r="AJ4" i="4"/>
  <c r="AI4" i="4"/>
  <c r="AH4" i="4"/>
  <c r="AG4" i="4"/>
  <c r="AF4" i="4"/>
  <c r="AE4" i="4"/>
  <c r="AD4" i="4"/>
  <c r="AC4" i="4"/>
  <c r="Y4" i="4"/>
  <c r="W4" i="4"/>
  <c r="U4" i="4"/>
  <c r="AJ3" i="4"/>
  <c r="AI3" i="4"/>
  <c r="AH3" i="4"/>
  <c r="AG3" i="4"/>
  <c r="AF3" i="4"/>
  <c r="AE3" i="4"/>
  <c r="AD3" i="4"/>
  <c r="AC3" i="4"/>
  <c r="Y3" i="4"/>
  <c r="W3" i="4"/>
  <c r="U3" i="4"/>
  <c r="L9" i="3" a="1"/>
  <c r="L9" i="3" s="1"/>
  <c r="K9" i="3" a="1"/>
  <c r="K9" i="3" s="1"/>
  <c r="K10" i="3" s="1"/>
  <c r="J9" i="3" a="1"/>
  <c r="J9" i="3" s="1"/>
  <c r="J10" i="3" s="1"/>
  <c r="L7" i="3" a="1"/>
  <c r="L7" i="3" s="1"/>
  <c r="L8" i="3" s="1"/>
  <c r="K7" i="3" a="1"/>
  <c r="K7" i="3" s="1"/>
  <c r="K8" i="3" s="1"/>
  <c r="J7" i="3" a="1"/>
  <c r="J7" i="3" s="1"/>
  <c r="L5" i="3" a="1"/>
  <c r="L5" i="3" s="1"/>
  <c r="K5" i="3" a="1"/>
  <c r="K5" i="3" s="1"/>
  <c r="K6" i="3" s="1"/>
  <c r="J5" i="3" a="1"/>
  <c r="J5" i="3" s="1"/>
  <c r="L4" i="3"/>
  <c r="K4" i="3"/>
  <c r="J4" i="3"/>
  <c r="L3" i="3"/>
  <c r="K3" i="3"/>
  <c r="J3" i="3"/>
  <c r="I4" i="3"/>
  <c r="I3" i="3"/>
  <c r="L9" i="2" a="1"/>
  <c r="L9" i="2" s="1"/>
  <c r="L7" i="2" a="1"/>
  <c r="L7" i="2" s="1"/>
  <c r="L4" i="2"/>
  <c r="L3" i="2"/>
  <c r="H10" i="2"/>
  <c r="H8" i="2"/>
  <c r="H14" i="2"/>
  <c r="H13" i="2"/>
  <c r="H11" i="2"/>
  <c r="H9" i="2"/>
  <c r="H7" i="2"/>
  <c r="H6" i="2"/>
  <c r="H5" i="2"/>
  <c r="H4" i="2"/>
  <c r="H3" i="2"/>
  <c r="AC9" i="1" a="1"/>
  <c r="AC9" i="1" s="1"/>
  <c r="AD9" i="1" a="1"/>
  <c r="AD9" i="1" s="1"/>
  <c r="AE9" i="1" a="1"/>
  <c r="AE9" i="1" s="1"/>
  <c r="AF9" i="1" a="1"/>
  <c r="AF9" i="1" s="1"/>
  <c r="AG9" i="1" a="1"/>
  <c r="AG9" i="1" s="1"/>
  <c r="AH9" i="1" a="1"/>
  <c r="AH9" i="1" s="1"/>
  <c r="AB9" i="1" a="1"/>
  <c r="AB9" i="1" s="1"/>
  <c r="AH7" i="1" a="1"/>
  <c r="AH7" i="1" s="1"/>
  <c r="AG7" i="1" a="1"/>
  <c r="AG7" i="1" s="1"/>
  <c r="AC7" i="1" a="1"/>
  <c r="AC7" i="1" s="1"/>
  <c r="AD7" i="1" a="1"/>
  <c r="AD7" i="1" s="1"/>
  <c r="AE7" i="1" a="1"/>
  <c r="AE7" i="1" s="1"/>
  <c r="AF7" i="1" a="1"/>
  <c r="AF7" i="1" s="1"/>
  <c r="AB7" i="1" a="1"/>
  <c r="AB7" i="1" s="1"/>
  <c r="AI3" i="1"/>
  <c r="AI4" i="1"/>
  <c r="AI5" i="1" a="1"/>
  <c r="AI5" i="1" s="1"/>
  <c r="AH5" i="1" a="1"/>
  <c r="AH5" i="1" s="1"/>
  <c r="AH3" i="1"/>
  <c r="AH4" i="1"/>
  <c r="AC3" i="1"/>
  <c r="AD3" i="1"/>
  <c r="AE3" i="1"/>
  <c r="AF3" i="1"/>
  <c r="AG3" i="1"/>
  <c r="AC4" i="1"/>
  <c r="AD4" i="1"/>
  <c r="AE4" i="1"/>
  <c r="AF4" i="1"/>
  <c r="AG4" i="1"/>
  <c r="AC5" i="1" a="1"/>
  <c r="AC5" i="1" s="1"/>
  <c r="AD5" i="1" a="1"/>
  <c r="AD5" i="1" s="1"/>
  <c r="AE5" i="1" a="1"/>
  <c r="AE5" i="1" s="1"/>
  <c r="AF5" i="1" a="1"/>
  <c r="AF5" i="1" s="1"/>
  <c r="AG5" i="1" a="1"/>
  <c r="AG5" i="1" s="1"/>
  <c r="AB5" i="1" a="1"/>
  <c r="AB5" i="1" s="1"/>
  <c r="AB4" i="1"/>
  <c r="AB3" i="1"/>
  <c r="V4" i="1"/>
  <c r="X4" i="1"/>
  <c r="T4" i="1"/>
  <c r="T5" i="1"/>
  <c r="V5" i="1"/>
  <c r="X5" i="1"/>
  <c r="T6" i="1"/>
  <c r="V6" i="1"/>
  <c r="X6" i="1"/>
  <c r="T7" i="1"/>
  <c r="V7" i="1"/>
  <c r="X7" i="1"/>
  <c r="T8" i="1"/>
  <c r="V8" i="1"/>
  <c r="X8" i="1"/>
  <c r="T9" i="1"/>
  <c r="V9" i="1"/>
  <c r="X9" i="1"/>
  <c r="T10" i="1"/>
  <c r="V10" i="1"/>
  <c r="X10" i="1"/>
  <c r="T11" i="1"/>
  <c r="V11" i="1"/>
  <c r="V12" i="1" s="1"/>
  <c r="X11" i="1"/>
  <c r="X12" i="1" s="1"/>
  <c r="T13" i="1"/>
  <c r="V13" i="1"/>
  <c r="X13" i="1"/>
  <c r="T14" i="1"/>
  <c r="V14" i="1"/>
  <c r="X14" i="1"/>
  <c r="V3" i="1"/>
  <c r="X3" i="1"/>
  <c r="T3" i="1"/>
  <c r="FM9" i="6"/>
  <c r="EV9" i="6"/>
  <c r="IV9" i="6"/>
  <c r="IV11" i="6"/>
  <c r="II12" i="6"/>
  <c r="BU15" i="6"/>
  <c r="FL9" i="6"/>
  <c r="GP8" i="6"/>
  <c r="GA9" i="6"/>
  <c r="IV8" i="6"/>
  <c r="BU18" i="6"/>
  <c r="GP12" i="6"/>
  <c r="II10" i="6"/>
  <c r="IV13" i="6"/>
  <c r="IV12" i="6"/>
  <c r="BU24" i="6"/>
  <c r="BU9" i="6"/>
  <c r="FL8" i="6"/>
  <c r="BU20" i="6"/>
  <c r="BU21" i="6"/>
  <c r="BU14" i="6"/>
  <c r="II13" i="6"/>
  <c r="II7" i="6"/>
  <c r="IV14" i="6"/>
  <c r="GA8" i="6"/>
  <c r="BU23" i="6"/>
  <c r="BU22" i="6"/>
  <c r="BU28" i="6"/>
  <c r="FM10" i="6"/>
  <c r="GB9" i="6"/>
  <c r="BU17" i="6"/>
  <c r="II9" i="6"/>
  <c r="BU16" i="6"/>
  <c r="EV7" i="6"/>
  <c r="GP11" i="6"/>
  <c r="EV8" i="6"/>
  <c r="GB10" i="6"/>
  <c r="GP13" i="6"/>
  <c r="IV16" i="6"/>
  <c r="GA7" i="6"/>
  <c r="FM8" i="6"/>
  <c r="IV15" i="6"/>
  <c r="GP10" i="6"/>
  <c r="HT18" i="6"/>
  <c r="HT28" i="6"/>
  <c r="II11" i="6"/>
  <c r="II8" i="6"/>
  <c r="GP9" i="6"/>
  <c r="HT24" i="6"/>
  <c r="FL7" i="6"/>
  <c r="BU10" i="6"/>
  <c r="GB8" i="6"/>
  <c r="IV10" i="6"/>
  <c r="IV7" i="6"/>
  <c r="BU11" i="6"/>
  <c r="GP7" i="6"/>
  <c r="DA16" i="6" l="1" a="1"/>
  <c r="DA16" i="6" s="1"/>
  <c r="DA9" i="6" a="1"/>
  <c r="DA9" i="6" s="1"/>
  <c r="DA8" i="6" a="1"/>
  <c r="DA8" i="6" s="1"/>
  <c r="DA15" i="6" a="1"/>
  <c r="DA15" i="6" s="1"/>
  <c r="DB7" i="6"/>
  <c r="DA14" i="6" a="1"/>
  <c r="DA14" i="6" s="1"/>
  <c r="DA13" i="6" a="1"/>
  <c r="DA13" i="6" s="1"/>
  <c r="DA12" i="6" a="1"/>
  <c r="DA12" i="6" s="1"/>
  <c r="DB11" i="6"/>
  <c r="DB10" i="6"/>
  <c r="AD8" i="4"/>
  <c r="AE10" i="1"/>
  <c r="AB6" i="1"/>
  <c r="U10" i="5"/>
  <c r="AG8" i="1"/>
  <c r="AH8" i="1"/>
  <c r="AH10" i="1"/>
  <c r="AG10" i="1"/>
  <c r="AB10" i="1"/>
  <c r="AC10" i="1"/>
  <c r="J6" i="3"/>
  <c r="L10" i="3"/>
  <c r="L6" i="3"/>
  <c r="J8" i="3"/>
  <c r="AG6" i="4"/>
  <c r="N12" i="5"/>
  <c r="J69" i="5" a="1"/>
  <c r="J69" i="5" s="1"/>
  <c r="J68" i="5" a="1"/>
  <c r="J68" i="5" s="1"/>
  <c r="J67" i="5" a="1"/>
  <c r="J67" i="5" s="1"/>
  <c r="AI8" i="4"/>
  <c r="AJ10" i="4"/>
  <c r="AC6" i="4"/>
  <c r="AD6" i="4"/>
  <c r="AF10" i="4"/>
  <c r="AG10" i="4"/>
  <c r="AE6" i="4"/>
  <c r="AC8" i="4"/>
  <c r="AB8" i="1"/>
  <c r="AF8" i="1"/>
  <c r="AF6" i="4"/>
  <c r="U12" i="4"/>
  <c r="W12" i="4"/>
  <c r="AH6" i="4"/>
  <c r="AF8" i="4"/>
  <c r="AD10" i="4"/>
  <c r="Y12" i="4"/>
  <c r="AE8" i="4"/>
  <c r="AI6" i="4"/>
  <c r="AG8" i="4"/>
  <c r="AE10" i="4"/>
  <c r="AH10" i="4"/>
  <c r="AI10" i="4"/>
  <c r="L8" i="2"/>
  <c r="L6" i="2"/>
  <c r="L10" i="2"/>
  <c r="H12" i="2"/>
  <c r="AF10" i="1"/>
  <c r="AE8" i="1"/>
  <c r="AD8" i="1"/>
  <c r="AC8" i="1"/>
  <c r="AG6" i="1"/>
  <c r="AD6" i="1"/>
  <c r="AD10" i="1"/>
  <c r="AI6" i="1"/>
  <c r="AF6" i="1"/>
  <c r="AC6" i="1"/>
  <c r="AH6" i="1"/>
  <c r="AE6" i="1"/>
  <c r="T12" i="1"/>
  <c r="P12" i="5" l="1"/>
  <c r="L1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F67535-F6BF-4BDF-84FB-BF00E13621E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C403C722-9009-4352-AE59-6DDA074F42E3}" name="WorksheetConnection_Dataset.xlsx!Customers_Table" type="102" refreshedVersion="8" minRefreshableVersion="5">
    <extLst>
      <ext xmlns:x15="http://schemas.microsoft.com/office/spreadsheetml/2010/11/main" uri="{DE250136-89BD-433C-8126-D09CA5730AF9}">
        <x15:connection id="Customers_Table">
          <x15:rangePr sourceName="_xlcn.WorksheetConnection_Dataset.xlsxCustomers_Table1"/>
        </x15:connection>
      </ext>
    </extLst>
  </connection>
  <connection id="3" xr16:uid="{11FD16FF-BFF8-4078-B3DE-F12EECC02C1C}" name="WorksheetConnection_Dataset.xlsx!Date_Table" type="102" refreshedVersion="8" minRefreshableVersion="5">
    <extLst>
      <ext xmlns:x15="http://schemas.microsoft.com/office/spreadsheetml/2010/11/main" uri="{DE250136-89BD-433C-8126-D09CA5730AF9}">
        <x15:connection id="Date_Table">
          <x15:rangePr sourceName="_xlcn.WorksheetConnection_Dataset.xlsxDate_Table1"/>
        </x15:connection>
      </ext>
    </extLst>
  </connection>
  <connection id="4" xr16:uid="{E864FE44-E09B-4499-9F90-1B3F406B942D}" name="WorksheetConnection_Dataset.xlsx!Deal_Size_Table" type="102" refreshedVersion="8" minRefreshableVersion="5">
    <extLst>
      <ext xmlns:x15="http://schemas.microsoft.com/office/spreadsheetml/2010/11/main" uri="{DE250136-89BD-433C-8126-D09CA5730AF9}">
        <x15:connection id="Deal_Size_Table">
          <x15:rangePr sourceName="_xlcn.WorksheetConnection_Dataset.xlsxDeal_Size_Table1"/>
        </x15:connection>
      </ext>
    </extLst>
  </connection>
  <connection id="5" xr16:uid="{1BD50C20-C274-4FEC-BE24-781664FFDD79}" name="WorksheetConnection_Dataset.xlsx!Location_Table" type="102" refreshedVersion="8" minRefreshableVersion="5">
    <extLst>
      <ext xmlns:x15="http://schemas.microsoft.com/office/spreadsheetml/2010/11/main" uri="{DE250136-89BD-433C-8126-D09CA5730AF9}">
        <x15:connection id="Location_Table">
          <x15:rangePr sourceName="_xlcn.WorksheetConnection_Dataset.xlsxLocation_Table1"/>
        </x15:connection>
      </ext>
    </extLst>
  </connection>
  <connection id="6" xr16:uid="{E5EF95D3-1C78-4D7D-BEB3-7931D7D804A1}" name="WorksheetConnection_Dataset.xlsx!Marketing_Table" type="102" refreshedVersion="8" minRefreshableVersion="5">
    <extLst>
      <ext xmlns:x15="http://schemas.microsoft.com/office/spreadsheetml/2010/11/main" uri="{DE250136-89BD-433C-8126-D09CA5730AF9}">
        <x15:connection id="Marketing_Table">
          <x15:rangePr sourceName="_xlcn.WorksheetConnection_Dataset.xlsxMarketing_Table1"/>
        </x15:connection>
      </ext>
    </extLst>
  </connection>
  <connection id="7" xr16:uid="{F035F6E8-890F-46DC-B407-95F6BDBEFCAD}" name="WorksheetConnection_Dataset.xlsx!Product_Category_Table" type="102" refreshedVersion="8" minRefreshableVersion="5">
    <extLst>
      <ext xmlns:x15="http://schemas.microsoft.com/office/spreadsheetml/2010/11/main" uri="{DE250136-89BD-433C-8126-D09CA5730AF9}">
        <x15:connection id="Product_Category_Table">
          <x15:rangePr sourceName="_xlcn.WorksheetConnection_Dataset.xlsxProduct_Category_Table1"/>
        </x15:connection>
      </ext>
    </extLst>
  </connection>
  <connection id="8" xr16:uid="{A588BF20-665D-476D-8333-A51D9F53E1FB}" name="WorksheetConnection_Dataset.xlsx!Products_Table" type="102" refreshedVersion="8" minRefreshableVersion="5">
    <extLst>
      <ext xmlns:x15="http://schemas.microsoft.com/office/spreadsheetml/2010/11/main" uri="{DE250136-89BD-433C-8126-D09CA5730AF9}">
        <x15:connection id="Products_Table">
          <x15:rangePr sourceName="_xlcn.WorksheetConnection_Dataset.xlsxProducts_Table1"/>
        </x15:connection>
      </ext>
    </extLst>
  </connection>
  <connection id="9" xr16:uid="{477D9BCA-747D-4E35-B38D-B5A989829E81}" name="WorksheetConnection_Dataset.xlsx!Returns_Table" type="102" refreshedVersion="8" minRefreshableVersion="5">
    <extLst>
      <ext xmlns:x15="http://schemas.microsoft.com/office/spreadsheetml/2010/11/main" uri="{DE250136-89BD-433C-8126-D09CA5730AF9}">
        <x15:connection id="Returns_Table">
          <x15:rangePr sourceName="_xlcn.WorksheetConnection_Dataset.xlsxReturns_Table1"/>
        </x15:connection>
      </ext>
    </extLst>
  </connection>
  <connection id="10" xr16:uid="{38B81110-0791-467C-8CFA-99496179480B}" name="WorksheetConnection_Dataset.xlsx!Sales_Table" type="102" refreshedVersion="8" minRefreshableVersion="5">
    <extLst>
      <ext xmlns:x15="http://schemas.microsoft.com/office/spreadsheetml/2010/11/main" uri="{DE250136-89BD-433C-8126-D09CA5730AF9}">
        <x15:connection id="Sales_Table" autoDelete="1">
          <x15:rangePr sourceName="_xlcn.WorksheetConnection_Dataset.xlsxSales_Table1"/>
        </x15:connection>
      </ext>
    </extLst>
  </connection>
  <connection id="11" xr16:uid="{52CE0205-BDDE-44EB-95F8-39E13C774FB8}" name="WorksheetConnection_Dataset.xlsx!Status_Table" type="102" refreshedVersion="8" minRefreshableVersion="5">
    <extLst>
      <ext xmlns:x15="http://schemas.microsoft.com/office/spreadsheetml/2010/11/main" uri="{DE250136-89BD-433C-8126-D09CA5730AF9}">
        <x15:connection id="Status_Table">
          <x15:rangePr sourceName="_xlcn.WorksheetConnection_Dataset.xlsxStatus_Table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3">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 name="XLMDX" minSupportedVersion="120000" copy="1" pasteAll="1" pasteValues="1" merge="1" splitFirst="1" rowColShift="1" clearFormats="1" clearComments="1" assign="1" coerce="1"/>
  </metadataTypes>
  <metadataStrings count="2">
    <s v="ThisWorkbookDataModel"/>
    <s v="{[Date_Table].[Year].[All]}"/>
  </metadataStrings>
  <mdxMetadata count="1">
    <mdx n="0" f="s">
      <ms ns="1" c="0"/>
    </mdx>
  </mdxMetadata>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2">
    <bk>
      <rc t="3" v="0"/>
    </bk>
    <bk>
      <rc t="2" v="0"/>
    </bk>
  </valueMetadata>
</metadata>
</file>

<file path=xl/sharedStrings.xml><?xml version="1.0" encoding="utf-8"?>
<sst xmlns="http://schemas.openxmlformats.org/spreadsheetml/2006/main" count="38980" uniqueCount="864">
  <si>
    <t>Order_Number</t>
  </si>
  <si>
    <t>Order_Date</t>
  </si>
  <si>
    <t>Customer_Name</t>
  </si>
  <si>
    <t>City</t>
  </si>
  <si>
    <t>Country</t>
  </si>
  <si>
    <t>Territory</t>
  </si>
  <si>
    <t>Quantity_Ordered</t>
  </si>
  <si>
    <t>Price_Each</t>
  </si>
  <si>
    <t>Product_Category</t>
  </si>
  <si>
    <t>Product_Code</t>
  </si>
  <si>
    <t>Deal_Size</t>
  </si>
  <si>
    <t>Sales</t>
  </si>
  <si>
    <t>Status</t>
  </si>
  <si>
    <t>Bluecrest Supermart</t>
  </si>
  <si>
    <t>Nashua</t>
  </si>
  <si>
    <t>USA</t>
  </si>
  <si>
    <t>NA</t>
  </si>
  <si>
    <t>Dairy Products</t>
  </si>
  <si>
    <t>DAIRY02</t>
  </si>
  <si>
    <t>Shipped</t>
  </si>
  <si>
    <t>DAIRY01</t>
  </si>
  <si>
    <t>DAIRY06</t>
  </si>
  <si>
    <t>Maplehurst Wholesale</t>
  </si>
  <si>
    <t>Frankfurt</t>
  </si>
  <si>
    <t>Germany</t>
  </si>
  <si>
    <t>EMEA</t>
  </si>
  <si>
    <t>DAIRY04</t>
  </si>
  <si>
    <t>Bridgeford Supermart</t>
  </si>
  <si>
    <t>NYC</t>
  </si>
  <si>
    <t>Westwood Stores</t>
  </si>
  <si>
    <t>Stavern</t>
  </si>
  <si>
    <t>Norway</t>
  </si>
  <si>
    <t>Beverages</t>
  </si>
  <si>
    <t>BEV03</t>
  </si>
  <si>
    <t>BEV01</t>
  </si>
  <si>
    <t>Snacks</t>
  </si>
  <si>
    <t>SNK05</t>
  </si>
  <si>
    <t>SNK03</t>
  </si>
  <si>
    <t>SNK04</t>
  </si>
  <si>
    <t>SNK01</t>
  </si>
  <si>
    <t>SNK02</t>
  </si>
  <si>
    <t>Lonsdale Wholesale</t>
  </si>
  <si>
    <t>Madrid</t>
  </si>
  <si>
    <t>Spain</t>
  </si>
  <si>
    <t>BEV02</t>
  </si>
  <si>
    <t>BEV04</t>
  </si>
  <si>
    <t>BEV05</t>
  </si>
  <si>
    <t>Frozen Foods</t>
  </si>
  <si>
    <t>FZN01</t>
  </si>
  <si>
    <t>Pinebrook Retailers</t>
  </si>
  <si>
    <t>Kobenhavn</t>
  </si>
  <si>
    <t>Denmark</t>
  </si>
  <si>
    <t>DAIRY05</t>
  </si>
  <si>
    <t>FZN03</t>
  </si>
  <si>
    <t>Infant Nutrition</t>
  </si>
  <si>
    <t>INF03</t>
  </si>
  <si>
    <t>INF02</t>
  </si>
  <si>
    <t>INF01</t>
  </si>
  <si>
    <t>Ashton Depot</t>
  </si>
  <si>
    <t>Bergamo</t>
  </si>
  <si>
    <t>Italy</t>
  </si>
  <si>
    <t>Water &amp; Juices</t>
  </si>
  <si>
    <t>WJ01</t>
  </si>
  <si>
    <t>WJ05</t>
  </si>
  <si>
    <t>WJ04</t>
  </si>
  <si>
    <t>WJ03</t>
  </si>
  <si>
    <t>WJ02</t>
  </si>
  <si>
    <t>Dovetail Mart</t>
  </si>
  <si>
    <t>Instant Foods</t>
  </si>
  <si>
    <t>INST01</t>
  </si>
  <si>
    <t>INST04</t>
  </si>
  <si>
    <t>Buckley Supermart</t>
  </si>
  <si>
    <t>Makati City</t>
  </si>
  <si>
    <t>Philippines</t>
  </si>
  <si>
    <t>Japan</t>
  </si>
  <si>
    <t>INST05</t>
  </si>
  <si>
    <t>INST02</t>
  </si>
  <si>
    <t>Moorland Wholesale</t>
  </si>
  <si>
    <t>Philadelphia</t>
  </si>
  <si>
    <t>Edgewell Mart</t>
  </si>
  <si>
    <t>Manchester</t>
  </si>
  <si>
    <t>UK</t>
  </si>
  <si>
    <t>DAIRY03</t>
  </si>
  <si>
    <t>Brookline Supermart</t>
  </si>
  <si>
    <t>Lule</t>
  </si>
  <si>
    <t>Sweden</t>
  </si>
  <si>
    <t>Bradwell Supermart</t>
  </si>
  <si>
    <t>San Francisco</t>
  </si>
  <si>
    <t>Millford Wholesale</t>
  </si>
  <si>
    <t>San Rafael</t>
  </si>
  <si>
    <t>Bellmont Depot</t>
  </si>
  <si>
    <t>Paris</t>
  </si>
  <si>
    <t>France</t>
  </si>
  <si>
    <t>Riverbend Retailers</t>
  </si>
  <si>
    <t>Southdale Retailers</t>
  </si>
  <si>
    <t>Charleroi</t>
  </si>
  <si>
    <t>Belgium</t>
  </si>
  <si>
    <t>Linford Wholesale</t>
  </si>
  <si>
    <t>Singapore</t>
  </si>
  <si>
    <t>Springdale Retailers</t>
  </si>
  <si>
    <t>Barcelona</t>
  </si>
  <si>
    <t>Meadowbrook Wholesale</t>
  </si>
  <si>
    <t>Salzburg</t>
  </si>
  <si>
    <t>Austria</t>
  </si>
  <si>
    <t>Norcrest Wholesale</t>
  </si>
  <si>
    <t>Melbourne</t>
  </si>
  <si>
    <t>Australia</t>
  </si>
  <si>
    <t>APAC</t>
  </si>
  <si>
    <t>INST03</t>
  </si>
  <si>
    <t>Highgate Foods</t>
  </si>
  <si>
    <t>Reims</t>
  </si>
  <si>
    <t>Rosehill Retailers</t>
  </si>
  <si>
    <t>Marseille</t>
  </si>
  <si>
    <t>Parkstone Retailers</t>
  </si>
  <si>
    <t>Nantes</t>
  </si>
  <si>
    <t>Ridgevale Retailers</t>
  </si>
  <si>
    <t>Las Vegas</t>
  </si>
  <si>
    <t>Shadewell Retailers</t>
  </si>
  <si>
    <t>Cedarfield Distributors</t>
  </si>
  <si>
    <t>FZN02</t>
  </si>
  <si>
    <t>Halston Distributors</t>
  </si>
  <si>
    <t>London</t>
  </si>
  <si>
    <t>Stonefield Stores</t>
  </si>
  <si>
    <t>Glendale</t>
  </si>
  <si>
    <t>Silverbrook Retailers</t>
  </si>
  <si>
    <t>Brickhaven</t>
  </si>
  <si>
    <t>Carlton Depot</t>
  </si>
  <si>
    <t>Willowbrook Stores</t>
  </si>
  <si>
    <t>Toulouse</t>
  </si>
  <si>
    <t>Sunnyside Depot</t>
  </si>
  <si>
    <t>Chatswood</t>
  </si>
  <si>
    <t>Eastwood Mart</t>
  </si>
  <si>
    <t>Burlingame</t>
  </si>
  <si>
    <t>Fairhaven Mart</t>
  </si>
  <si>
    <t>Espoo</t>
  </si>
  <si>
    <t>Finland</t>
  </si>
  <si>
    <t>Penrose Retailers</t>
  </si>
  <si>
    <t>New Bedford</t>
  </si>
  <si>
    <t>Hazelton Foods</t>
  </si>
  <si>
    <t>Pasadena</t>
  </si>
  <si>
    <t>Huntley Foods</t>
  </si>
  <si>
    <t>Sandhurst Retailers</t>
  </si>
  <si>
    <t>North Sydney</t>
  </si>
  <si>
    <t>Hawthorne Foods</t>
  </si>
  <si>
    <t>Brisbane</t>
  </si>
  <si>
    <t>Radcliffe Retailers</t>
  </si>
  <si>
    <t>Oulu</t>
  </si>
  <si>
    <t>Summerfield Stores</t>
  </si>
  <si>
    <t>South Brisbane</t>
  </si>
  <si>
    <t>Glenridge Distributors</t>
  </si>
  <si>
    <t>Waverly Stores</t>
  </si>
  <si>
    <t>Oslo</t>
  </si>
  <si>
    <t>Burling Supermart</t>
  </si>
  <si>
    <t>Helsinki</t>
  </si>
  <si>
    <t>Farnsworth Mart</t>
  </si>
  <si>
    <t>Liverpool</t>
  </si>
  <si>
    <t>Sheffield Retailers</t>
  </si>
  <si>
    <t>Trenton Stores</t>
  </si>
  <si>
    <t>Los Angeles</t>
  </si>
  <si>
    <t>Goldwell Distributors</t>
  </si>
  <si>
    <t>Aaarhus</t>
  </si>
  <si>
    <t>Kingsley Foods</t>
  </si>
  <si>
    <t>Graz</t>
  </si>
  <si>
    <t>Amberlane Depot</t>
  </si>
  <si>
    <t>Montclaire Wholesale</t>
  </si>
  <si>
    <t>Boras</t>
  </si>
  <si>
    <t>INF04</t>
  </si>
  <si>
    <t>Chadwick Distributors</t>
  </si>
  <si>
    <t>Montreal</t>
  </si>
  <si>
    <t>Canada</t>
  </si>
  <si>
    <t>Hartley Distributors</t>
  </si>
  <si>
    <t>Bridgewater</t>
  </si>
  <si>
    <t>Lockridge Wholesale</t>
  </si>
  <si>
    <t>Reggio Emilia</t>
  </si>
  <si>
    <t>Roxbury Retailers</t>
  </si>
  <si>
    <t>Stratford Stores</t>
  </si>
  <si>
    <t>Lille</t>
  </si>
  <si>
    <t>Greystone Distributors</t>
  </si>
  <si>
    <t>Bergen</t>
  </si>
  <si>
    <t>Elmont Mart</t>
  </si>
  <si>
    <t>Ledgewood Wholesale</t>
  </si>
  <si>
    <t>Millstone Wholesale</t>
  </si>
  <si>
    <t>Sevilla</t>
  </si>
  <si>
    <t>Redmond Retailers</t>
  </si>
  <si>
    <t>Koln</t>
  </si>
  <si>
    <t>Melrose Wholesale</t>
  </si>
  <si>
    <t>Glen Waverly</t>
  </si>
  <si>
    <t>Timberlake Depot</t>
  </si>
  <si>
    <t>Lyon</t>
  </si>
  <si>
    <t>Chestnut Distributors</t>
  </si>
  <si>
    <t>White Plains</t>
  </si>
  <si>
    <t>Lakemont Wholesale</t>
  </si>
  <si>
    <t>New Haven</t>
  </si>
  <si>
    <t>Northfield Wholesale</t>
  </si>
  <si>
    <t>Burbank</t>
  </si>
  <si>
    <t>Crestline Distributors</t>
  </si>
  <si>
    <t>Vancouver</t>
  </si>
  <si>
    <t>Langford Wholesale</t>
  </si>
  <si>
    <t>Boston</t>
  </si>
  <si>
    <t>Cambridge Depot</t>
  </si>
  <si>
    <t>Osaka</t>
  </si>
  <si>
    <t>Danforth Mart</t>
  </si>
  <si>
    <t>Westlake Stores</t>
  </si>
  <si>
    <t>Versailles</t>
  </si>
  <si>
    <t>Sutton Depot</t>
  </si>
  <si>
    <t>Rockwell Retailers</t>
  </si>
  <si>
    <t>Dublin</t>
  </si>
  <si>
    <t>Ireland</t>
  </si>
  <si>
    <t>Bayshore Depot</t>
  </si>
  <si>
    <t>Bruxelles</t>
  </si>
  <si>
    <t>Fernhill Mart</t>
  </si>
  <si>
    <t>San Diego</t>
  </si>
  <si>
    <t>Longford Wholesale</t>
  </si>
  <si>
    <t>Gensve</t>
  </si>
  <si>
    <t>Switzerland</t>
  </si>
  <si>
    <t>Ashmore Depot</t>
  </si>
  <si>
    <t>Cambridge</t>
  </si>
  <si>
    <t>Hillcrest Foods</t>
  </si>
  <si>
    <t>Cowes</t>
  </si>
  <si>
    <t>Holbrooke Foods</t>
  </si>
  <si>
    <t>Newark</t>
  </si>
  <si>
    <t>Alder Depot</t>
  </si>
  <si>
    <t>Tsawassen</t>
  </si>
  <si>
    <t>Thornfield Depot</t>
  </si>
  <si>
    <t>Strasbourg</t>
  </si>
  <si>
    <t>Blackridge Supermart</t>
  </si>
  <si>
    <t>Windmere Stores</t>
  </si>
  <si>
    <t>San Jose</t>
  </si>
  <si>
    <t>Oakridge Retailers</t>
  </si>
  <si>
    <t>Minato-ku</t>
  </si>
  <si>
    <t>Claybourne Distributors</t>
  </si>
  <si>
    <t>Clearbrook Distributors</t>
  </si>
  <si>
    <t>Allentown</t>
  </si>
  <si>
    <t>Laurelwood Wholesale</t>
  </si>
  <si>
    <t>Carroway Distributors</t>
  </si>
  <si>
    <t>Fairview Mart</t>
  </si>
  <si>
    <t>Torino</t>
  </si>
  <si>
    <t>Bedford Depot</t>
  </si>
  <si>
    <t>Glenmark Mart</t>
  </si>
  <si>
    <t>Munich</t>
  </si>
  <si>
    <t>Product_Name</t>
  </si>
  <si>
    <t>FruYo</t>
  </si>
  <si>
    <t>Milko Gold</t>
  </si>
  <si>
    <t>Gheemore</t>
  </si>
  <si>
    <t>Butterly</t>
  </si>
  <si>
    <t>Brew Black Coffee</t>
  </si>
  <si>
    <t>BrewSip Classic Coffee</t>
  </si>
  <si>
    <t>PeanutFix</t>
  </si>
  <si>
    <t>Crispo Cookies</t>
  </si>
  <si>
    <t>Salto Chips</t>
  </si>
  <si>
    <t>ChocoPop</t>
  </si>
  <si>
    <t>Waffee</t>
  </si>
  <si>
    <t>Zest Lemon Tea</t>
  </si>
  <si>
    <t>FizzUp Orange Soda</t>
  </si>
  <si>
    <t>Cold Bean Coffee</t>
  </si>
  <si>
    <t>VegBites</t>
  </si>
  <si>
    <t>Slimilk</t>
  </si>
  <si>
    <t>PaneerKick</t>
  </si>
  <si>
    <t>TinyBite Cereal</t>
  </si>
  <si>
    <t>BabyGrow 2</t>
  </si>
  <si>
    <t>BabyGrow 1</t>
  </si>
  <si>
    <t>AquaGo</t>
  </si>
  <si>
    <t>VitaSplash</t>
  </si>
  <si>
    <t>BerryFresh</t>
  </si>
  <si>
    <t>LimeLift</t>
  </si>
  <si>
    <t>AppleJoy</t>
  </si>
  <si>
    <t>Quick Noodles Masala</t>
  </si>
  <si>
    <t>PastaJoy</t>
  </si>
  <si>
    <t>OatyMix</t>
  </si>
  <si>
    <t>VegSip Soup</t>
  </si>
  <si>
    <t>SliceCheeze</t>
  </si>
  <si>
    <t>MacBox</t>
  </si>
  <si>
    <t>Freezo Paratha</t>
  </si>
  <si>
    <t>Munchy Baby Bites</t>
  </si>
  <si>
    <t>Customer_ID</t>
  </si>
  <si>
    <t>C001</t>
  </si>
  <si>
    <t>C002</t>
  </si>
  <si>
    <t>C003</t>
  </si>
  <si>
    <t>C004</t>
  </si>
  <si>
    <t>C005</t>
  </si>
  <si>
    <t>C006</t>
  </si>
  <si>
    <t>C007</t>
  </si>
  <si>
    <t>C008</t>
  </si>
  <si>
    <t>C009</t>
  </si>
  <si>
    <t>C010</t>
  </si>
  <si>
    <t>C011</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</si>
  <si>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</si>
  <si>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</si>
  <si>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</si>
  <si>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</si>
  <si>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</si>
  <si>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</si>
  <si>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</si>
  <si>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</si>
  <si>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</si>
  <si>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</si>
  <si>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</si>
  <si>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</si>
  <si>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</si>
  <si>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</si>
  <si>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</si>
  <si>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</si>
  <si>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</si>
  <si>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</si>
  <si>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</si>
  <si>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</si>
  <si>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</si>
  <si>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</si>
  <si>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</si>
  <si>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</si>
  <si>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</si>
  <si>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</si>
  <si>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</si>
  <si>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</si>
  <si>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</si>
  <si>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</si>
  <si>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</si>
  <si>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</si>
  <si>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</si>
  <si>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</si>
  <si>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</si>
  <si>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</si>
  <si>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</si>
  <si>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</si>
  <si>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</si>
  <si>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</si>
  <si>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</si>
  <si>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</si>
  <si>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</si>
  <si>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</si>
  <si>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</si>
  <si>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</si>
  <si>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</si>
  <si>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</si>
  <si>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</si>
  <si>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</si>
  <si>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</si>
  <si>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</si>
  <si>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</si>
  <si>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</si>
  <si>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</si>
  <si>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</si>
  <si>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</si>
  <si>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</si>
  <si>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</si>
  <si>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</si>
  <si>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</si>
  <si>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</si>
  <si>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</si>
  <si>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</si>
  <si>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</si>
  <si>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</si>
  <si>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</si>
  <si>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</si>
  <si>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</si>
  <si>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</si>
  <si>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</si>
  <si>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</si>
  <si>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</si>
  <si>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</si>
  <si>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</si>
  <si>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</si>
  <si>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</si>
  <si>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</si>
  <si>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</si>
  <si>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</si>
  <si>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</si>
  <si>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Small</t>
  </si>
  <si>
    <t>Medium</t>
  </si>
  <si>
    <t>Large</t>
  </si>
  <si>
    <t>Returns</t>
  </si>
  <si>
    <t>Year</t>
  </si>
  <si>
    <t>Amt</t>
  </si>
  <si>
    <t>Descriptive Statistics</t>
  </si>
  <si>
    <t>Metrics</t>
  </si>
  <si>
    <t>Count</t>
  </si>
  <si>
    <t>Mean</t>
  </si>
  <si>
    <t>Std Dev</t>
  </si>
  <si>
    <t>Var</t>
  </si>
  <si>
    <t>Min</t>
  </si>
  <si>
    <t>Median</t>
  </si>
  <si>
    <t>Max</t>
  </si>
  <si>
    <t>Skewness</t>
  </si>
  <si>
    <t>Kurtosis</t>
  </si>
  <si>
    <t>Range</t>
  </si>
  <si>
    <t>Notes</t>
  </si>
  <si>
    <t>-</t>
  </si>
  <si>
    <t>26.81% of Mean (Moderate Variation)</t>
  </si>
  <si>
    <t>Slight Right Skew</t>
  </si>
  <si>
    <t>Long Right Skew</t>
  </si>
  <si>
    <t>Heavy Outliers</t>
  </si>
  <si>
    <t>Unique</t>
  </si>
  <si>
    <t>Frequency</t>
  </si>
  <si>
    <t>Mode 1</t>
  </si>
  <si>
    <t>Mode 2</t>
  </si>
  <si>
    <t>Mode 3</t>
  </si>
  <si>
    <t xml:space="preserve"> </t>
  </si>
  <si>
    <t>Marketing_Spend</t>
  </si>
  <si>
    <t>86.01% of Mean (High Variation)</t>
  </si>
  <si>
    <t>Fewer Outliers</t>
  </si>
  <si>
    <t>36.32% of Mean (Moderate Variation)</t>
  </si>
  <si>
    <t>76.17% of Mean (HIgh Variation)</t>
  </si>
  <si>
    <t>82.99% of Mean (Very High Variation)</t>
  </si>
  <si>
    <t>83.83% of Mean (Very High Variation)</t>
  </si>
  <si>
    <t>83.30% of Mean (High Variation)</t>
  </si>
  <si>
    <t>Return_ID</t>
  </si>
  <si>
    <t>R001</t>
  </si>
  <si>
    <t>R002</t>
  </si>
  <si>
    <t>R004</t>
  </si>
  <si>
    <t>R003</t>
  </si>
  <si>
    <t>R005</t>
  </si>
  <si>
    <t>R007</t>
  </si>
  <si>
    <t>R008</t>
  </si>
  <si>
    <t>R006</t>
  </si>
  <si>
    <t>R009</t>
  </si>
  <si>
    <t>R010</t>
  </si>
  <si>
    <t>R011</t>
  </si>
  <si>
    <t>R012</t>
  </si>
  <si>
    <t>R013</t>
  </si>
  <si>
    <t>R014</t>
  </si>
  <si>
    <t>R015</t>
  </si>
  <si>
    <t>R016</t>
  </si>
  <si>
    <t>R017</t>
  </si>
  <si>
    <t>R018</t>
  </si>
  <si>
    <t>R019</t>
  </si>
  <si>
    <t>R020</t>
  </si>
  <si>
    <t>R021</t>
  </si>
  <si>
    <t>R022</t>
  </si>
  <si>
    <t>R023</t>
  </si>
  <si>
    <t>R024</t>
  </si>
  <si>
    <t>R025</t>
  </si>
  <si>
    <t>R026</t>
  </si>
  <si>
    <t>R027</t>
  </si>
  <si>
    <t>R028</t>
  </si>
  <si>
    <t>R029</t>
  </si>
  <si>
    <t>R030</t>
  </si>
  <si>
    <t>R031</t>
  </si>
  <si>
    <t>R032</t>
  </si>
  <si>
    <t>R033</t>
  </si>
  <si>
    <t>R034</t>
  </si>
  <si>
    <t>R035</t>
  </si>
  <si>
    <t>R036</t>
  </si>
  <si>
    <t>R037</t>
  </si>
  <si>
    <t>R038</t>
  </si>
  <si>
    <t>R039</t>
  </si>
  <si>
    <t>R040</t>
  </si>
  <si>
    <t>R041</t>
  </si>
  <si>
    <t>R042</t>
  </si>
  <si>
    <t>R043</t>
  </si>
  <si>
    <t>R044</t>
  </si>
  <si>
    <t>R045</t>
  </si>
  <si>
    <t>R046</t>
  </si>
  <si>
    <t>R047</t>
  </si>
  <si>
    <t>R048</t>
  </si>
  <si>
    <t>R049</t>
  </si>
  <si>
    <t>R050</t>
  </si>
  <si>
    <t>R051</t>
  </si>
  <si>
    <t>R052</t>
  </si>
  <si>
    <t>R053</t>
  </si>
  <si>
    <t>R054</t>
  </si>
  <si>
    <t>R055</t>
  </si>
  <si>
    <t>R056</t>
  </si>
  <si>
    <t>R057</t>
  </si>
  <si>
    <t>R058</t>
  </si>
  <si>
    <t>R059</t>
  </si>
  <si>
    <t>R060</t>
  </si>
  <si>
    <t>R061</t>
  </si>
  <si>
    <t>R062</t>
  </si>
  <si>
    <t>R063</t>
  </si>
  <si>
    <t>R064</t>
  </si>
  <si>
    <t>R065</t>
  </si>
  <si>
    <t>R066</t>
  </si>
  <si>
    <t>R067</t>
  </si>
  <si>
    <t>R068</t>
  </si>
  <si>
    <t>R069</t>
  </si>
  <si>
    <t>R070</t>
  </si>
  <si>
    <t>R071</t>
  </si>
  <si>
    <t>R072</t>
  </si>
  <si>
    <t>R073</t>
  </si>
  <si>
    <t>R074</t>
  </si>
  <si>
    <t>R075</t>
  </si>
  <si>
    <t>R076</t>
  </si>
  <si>
    <t>R077</t>
  </si>
  <si>
    <t>R078</t>
  </si>
  <si>
    <t>R079</t>
  </si>
  <si>
    <t>R080</t>
  </si>
  <si>
    <t>R081</t>
  </si>
  <si>
    <t>R082</t>
  </si>
  <si>
    <t>R083</t>
  </si>
  <si>
    <t>R084</t>
  </si>
  <si>
    <t>R085</t>
  </si>
  <si>
    <t>R086</t>
  </si>
  <si>
    <t>R087</t>
  </si>
  <si>
    <t>R088</t>
  </si>
  <si>
    <t>R089</t>
  </si>
  <si>
    <t>R090</t>
  </si>
  <si>
    <t>R091</t>
  </si>
  <si>
    <t>R092</t>
  </si>
  <si>
    <t>R093</t>
  </si>
  <si>
    <t>R094</t>
  </si>
  <si>
    <t>R095</t>
  </si>
  <si>
    <t>R096</t>
  </si>
  <si>
    <t>R097</t>
  </si>
  <si>
    <t>R098</t>
  </si>
  <si>
    <t>R099</t>
  </si>
  <si>
    <t>R100</t>
  </si>
  <si>
    <t>R101</t>
  </si>
  <si>
    <t>R102</t>
  </si>
  <si>
    <t>R103</t>
  </si>
  <si>
    <t>R104</t>
  </si>
  <si>
    <t>R105</t>
  </si>
  <si>
    <t>R106</t>
  </si>
  <si>
    <t>R107</t>
  </si>
  <si>
    <t>R108</t>
  </si>
  <si>
    <t>R109</t>
  </si>
  <si>
    <t>R110</t>
  </si>
  <si>
    <t>R111</t>
  </si>
  <si>
    <t>R112</t>
  </si>
  <si>
    <t>R113</t>
  </si>
  <si>
    <t>R114</t>
  </si>
  <si>
    <t>R115</t>
  </si>
  <si>
    <t>R116</t>
  </si>
  <si>
    <t>R117</t>
  </si>
  <si>
    <t>R118</t>
  </si>
  <si>
    <t>R119</t>
  </si>
  <si>
    <t>R120</t>
  </si>
  <si>
    <t>R121</t>
  </si>
  <si>
    <t>R122</t>
  </si>
  <si>
    <t>R123</t>
  </si>
  <si>
    <t>R124</t>
  </si>
  <si>
    <t>R125</t>
  </si>
  <si>
    <t>R126</t>
  </si>
  <si>
    <t>R127</t>
  </si>
  <si>
    <t>R128</t>
  </si>
  <si>
    <t>R129</t>
  </si>
  <si>
    <t>R130</t>
  </si>
  <si>
    <t>R131</t>
  </si>
  <si>
    <t>R132</t>
  </si>
  <si>
    <t>R133</t>
  </si>
  <si>
    <t>R134</t>
  </si>
  <si>
    <t>R135</t>
  </si>
  <si>
    <t>R136</t>
  </si>
  <si>
    <t>R137</t>
  </si>
  <si>
    <t>R138</t>
  </si>
  <si>
    <t>R139</t>
  </si>
  <si>
    <t>R140</t>
  </si>
  <si>
    <t>R141</t>
  </si>
  <si>
    <t>R142</t>
  </si>
  <si>
    <t>R143</t>
  </si>
  <si>
    <t>R144</t>
  </si>
  <si>
    <t>R145</t>
  </si>
  <si>
    <t>R146</t>
  </si>
  <si>
    <t>R147</t>
  </si>
  <si>
    <t>R148</t>
  </si>
  <si>
    <t>R149</t>
  </si>
  <si>
    <t>R150</t>
  </si>
  <si>
    <t>R151</t>
  </si>
  <si>
    <t>R152</t>
  </si>
  <si>
    <t>R153</t>
  </si>
  <si>
    <t>R154</t>
  </si>
  <si>
    <t>R155</t>
  </si>
  <si>
    <t>R156</t>
  </si>
  <si>
    <t>R157</t>
  </si>
  <si>
    <t>R158</t>
  </si>
  <si>
    <t>R159</t>
  </si>
  <si>
    <t>R160</t>
  </si>
  <si>
    <t>R161</t>
  </si>
  <si>
    <t>R162</t>
  </si>
  <si>
    <t>R163</t>
  </si>
  <si>
    <t>R164</t>
  </si>
  <si>
    <t>R165</t>
  </si>
  <si>
    <t>R166</t>
  </si>
  <si>
    <t>R167</t>
  </si>
  <si>
    <t>R168</t>
  </si>
  <si>
    <t>R169</t>
  </si>
  <si>
    <t>R170</t>
  </si>
  <si>
    <t>R171</t>
  </si>
  <si>
    <t>R172</t>
  </si>
  <si>
    <t>R173</t>
  </si>
  <si>
    <t>R174</t>
  </si>
  <si>
    <t>R175</t>
  </si>
  <si>
    <t>R176</t>
  </si>
  <si>
    <t>R177</t>
  </si>
  <si>
    <t>R178</t>
  </si>
  <si>
    <t>R179</t>
  </si>
  <si>
    <t>R180</t>
  </si>
  <si>
    <t>R181</t>
  </si>
  <si>
    <t>R182</t>
  </si>
  <si>
    <t>R183</t>
  </si>
  <si>
    <t>R184</t>
  </si>
  <si>
    <t>R185</t>
  </si>
  <si>
    <t>R186</t>
  </si>
  <si>
    <t>R187</t>
  </si>
  <si>
    <t>R188</t>
  </si>
  <si>
    <t>R189</t>
  </si>
  <si>
    <t>R190</t>
  </si>
  <si>
    <t>R191</t>
  </si>
  <si>
    <t>R192</t>
  </si>
  <si>
    <t>R193</t>
  </si>
  <si>
    <t>R194</t>
  </si>
  <si>
    <t>R195</t>
  </si>
  <si>
    <t>R196</t>
  </si>
  <si>
    <t>R197</t>
  </si>
  <si>
    <t>R198</t>
  </si>
  <si>
    <t>R199</t>
  </si>
  <si>
    <t>R200</t>
  </si>
  <si>
    <t>R201</t>
  </si>
  <si>
    <t>R202</t>
  </si>
  <si>
    <t>R203</t>
  </si>
  <si>
    <t>R204</t>
  </si>
  <si>
    <t>R205</t>
  </si>
  <si>
    <t>R206</t>
  </si>
  <si>
    <t>Date</t>
  </si>
  <si>
    <t>Quarter</t>
  </si>
  <si>
    <t>Q1</t>
  </si>
  <si>
    <t>Q2</t>
  </si>
  <si>
    <t>Q3</t>
  </si>
  <si>
    <t>Q4</t>
  </si>
  <si>
    <t>Annual Sales</t>
  </si>
  <si>
    <t>117.52% of Mean (Very High Variation)</t>
  </si>
  <si>
    <t>Annual Marketing_Spend % of Sales</t>
  </si>
  <si>
    <t>45.87% of Mean (Moderate Variation)</t>
  </si>
  <si>
    <t>157.48% of Mean (Very High Variation)</t>
  </si>
  <si>
    <t>Grand Total</t>
  </si>
  <si>
    <t>2003</t>
  </si>
  <si>
    <t>2004</t>
  </si>
  <si>
    <t>2005</t>
  </si>
  <si>
    <t>Qtr1</t>
  </si>
  <si>
    <t>Qtr2</t>
  </si>
  <si>
    <t>Qtr3</t>
  </si>
  <si>
    <t>Qtr4</t>
  </si>
  <si>
    <t>Sum of Sales</t>
  </si>
  <si>
    <t>Row Labels</t>
  </si>
  <si>
    <t>Sum of Amt</t>
  </si>
  <si>
    <t>Sales Table</t>
  </si>
  <si>
    <t>Returns Table</t>
  </si>
  <si>
    <t>Marketing Table</t>
  </si>
  <si>
    <t>Vs</t>
  </si>
  <si>
    <t>Date vs Spend</t>
  </si>
  <si>
    <t>Category vs Spend</t>
  </si>
  <si>
    <t>Name vs Spend</t>
  </si>
  <si>
    <t>Date vs Amt</t>
  </si>
  <si>
    <t>Category vs Amt</t>
  </si>
  <si>
    <t>Name vs Amt</t>
  </si>
  <si>
    <t xml:space="preserve">Q1, Q2 sales drop as same </t>
  </si>
  <si>
    <t>Sales vs Date</t>
  </si>
  <si>
    <t xml:space="preserve">Month No. </t>
  </si>
  <si>
    <t>Month Name</t>
  </si>
  <si>
    <t>Day</t>
  </si>
  <si>
    <t>Weekday Name</t>
  </si>
  <si>
    <t>Weekend</t>
  </si>
  <si>
    <t>Jan</t>
  </si>
  <si>
    <t>Wed</t>
  </si>
  <si>
    <t>Thu</t>
  </si>
  <si>
    <t>Fri</t>
  </si>
  <si>
    <t>Sat</t>
  </si>
  <si>
    <t>Sun</t>
  </si>
  <si>
    <t>Mon</t>
  </si>
  <si>
    <t>Tue</t>
  </si>
  <si>
    <t>Feb</t>
  </si>
  <si>
    <t>Mar</t>
  </si>
  <si>
    <t>Apr</t>
  </si>
  <si>
    <t>May</t>
  </si>
  <si>
    <t>Jun</t>
  </si>
  <si>
    <t>Jul</t>
  </si>
  <si>
    <t>Aug</t>
  </si>
  <si>
    <t>Sep</t>
  </si>
  <si>
    <t>Oct</t>
  </si>
  <si>
    <t>Nov</t>
  </si>
  <si>
    <t>Dec</t>
  </si>
  <si>
    <t>CARDS</t>
  </si>
  <si>
    <t>TOTAL RETURNS</t>
  </si>
  <si>
    <t>TOTAL MARKETING SPEND</t>
  </si>
  <si>
    <t>TOTAL SALES</t>
  </si>
  <si>
    <t>TOTAL QTY ORDERED</t>
  </si>
  <si>
    <t>TOP CITY</t>
  </si>
  <si>
    <t>TOP COUNTRY</t>
  </si>
  <si>
    <t>TOP PRODUCT</t>
  </si>
  <si>
    <t>AVG MARKETING SPEND  EVERY QTR</t>
  </si>
  <si>
    <t>Sum of Quantity_Ordered</t>
  </si>
  <si>
    <t>Sales in USD</t>
  </si>
  <si>
    <t>Return By City</t>
  </si>
  <si>
    <t>Return By Product Category</t>
  </si>
  <si>
    <t>Returns By Products</t>
  </si>
  <si>
    <t>Marketing Spend(Amt) Overtime</t>
  </si>
  <si>
    <t>Marketing Amt By Product Category</t>
  </si>
  <si>
    <t>Marketing Amt By Products</t>
  </si>
  <si>
    <t>SALES</t>
  </si>
  <si>
    <t>RETURNS</t>
  </si>
  <si>
    <t>MARKETING AMT</t>
  </si>
  <si>
    <t>Avg_Marketing_Spend_Qtr</t>
  </si>
  <si>
    <t>RETURN RATE</t>
  </si>
  <si>
    <t>AVG SALES PER QTR</t>
  </si>
  <si>
    <t>Return_Rate</t>
  </si>
  <si>
    <t>Measure_Avg_Sales_Per_Qtr</t>
  </si>
  <si>
    <t>TOP TERRITORY</t>
  </si>
  <si>
    <t>TOP CATEGORY</t>
  </si>
  <si>
    <t>ORDER QUANTITY</t>
  </si>
  <si>
    <t>All</t>
  </si>
  <si>
    <t>SALES OVERTIME</t>
  </si>
  <si>
    <t>Q4 have max sales of year except 2005</t>
  </si>
  <si>
    <t>2003 Total</t>
  </si>
  <si>
    <t>2004 Total</t>
  </si>
  <si>
    <t>2005 Total</t>
  </si>
  <si>
    <t>CAGR</t>
  </si>
  <si>
    <t>QoQ/YoY Sales</t>
  </si>
  <si>
    <t>Q1 &amp; Q2 have negative growth except 2003</t>
  </si>
  <si>
    <t>Q3 performed well in every year</t>
  </si>
  <si>
    <t>NOTES</t>
  </si>
  <si>
    <t>TOP 10</t>
  </si>
  <si>
    <t>Lonsdale Wholesale, Millford Wholesale contributed 17.54% of sales</t>
  </si>
  <si>
    <t>9.59% and 7.95% respectively</t>
  </si>
  <si>
    <t>Top 10 Customers Out of 92 Contribute 33.65% to sales</t>
  </si>
  <si>
    <t>USA Contributes 33.84% of Sales</t>
  </si>
  <si>
    <t>Difference between USA(1) and Spain(2) is 20.63%</t>
  </si>
  <si>
    <t>Top 3 Contributes 58.98%</t>
  </si>
  <si>
    <t>Except UK(4) and Finland(5) other Countries have &lt;5% of Sales</t>
  </si>
  <si>
    <t>Beverages and Infant Nutition contributes 64%</t>
  </si>
  <si>
    <t>Top 3 Beverages, Infant Nutrition, Dairy Products consists 82%</t>
  </si>
  <si>
    <t>Other 4 categories contributes only 18% of sales</t>
  </si>
  <si>
    <t>% of Sales</t>
  </si>
  <si>
    <t>Top 10 products consists 74.69%</t>
  </si>
  <si>
    <t>Other 23 product consists 25.31% avg 1.10% each</t>
  </si>
  <si>
    <t>Top 3 product consists 32.27%</t>
  </si>
  <si>
    <t>Almost all business runs on Small Deal Size</t>
  </si>
  <si>
    <t>Count of Returns</t>
  </si>
  <si>
    <t xml:space="preserve">60% of Returns happen in 2005 </t>
  </si>
  <si>
    <t/>
  </si>
  <si>
    <t>% of Returns</t>
  </si>
  <si>
    <t>YoY %</t>
  </si>
  <si>
    <t>Returns rate have increased positively by CAGR 127%</t>
  </si>
  <si>
    <t xml:space="preserve">63% of Returns happen in 2005 </t>
  </si>
  <si>
    <t>Returns Order Qty have increased positively by CAGR 141%</t>
  </si>
  <si>
    <t>% Of Category Qty Returned</t>
  </si>
  <si>
    <t>Beverages  have highest 26.58% returns</t>
  </si>
  <si>
    <t>And 49.91% combined with Dairy Products(2)</t>
  </si>
  <si>
    <t>Only Frozen Foods and Instant foods have less than 5% retuns other range between 10.02 to 17.46%</t>
  </si>
  <si>
    <t>Top 10 Consists of 68.29% returns products</t>
  </si>
  <si>
    <t>Milko Gold have 12.15% return rate</t>
  </si>
  <si>
    <t>YoY Sales</t>
  </si>
  <si>
    <t>Marketing Spending have been dropped by 37% CAGR till 2005 and it was negative drop throughout tht years</t>
  </si>
  <si>
    <t>% of Spent</t>
  </si>
  <si>
    <t>Beverages having almost half of Marketing budget</t>
  </si>
  <si>
    <t>Combined with Infant Nutrition it is 72.72%</t>
  </si>
  <si>
    <t>Others having 27.28%</t>
  </si>
  <si>
    <t>With Frozen Foods, Water &amp; Juices, Snacks have less than 5% of marketing spent</t>
  </si>
  <si>
    <t>Top 10 product have 80% of marketing budget</t>
  </si>
  <si>
    <t>Top 3 have 40.17% of marketing budget</t>
  </si>
  <si>
    <t>Marketing Amt</t>
  </si>
  <si>
    <t>Total Quantity Ordered</t>
  </si>
  <si>
    <t>Qtr</t>
  </si>
  <si>
    <t>Correlation Matrix</t>
  </si>
  <si>
    <t>1. Marketing Effectiveness</t>
  </si>
  <si>
    <r>
      <t xml:space="preserve">(2) This confirms that </t>
    </r>
    <r>
      <rPr>
        <b/>
        <sz val="12"/>
        <color theme="1"/>
        <rFont val="Aptos Display"/>
        <family val="2"/>
      </rPr>
      <t>Higher Marketing Investment contributes directly to Increased Sales Volume and Revenue.</t>
    </r>
  </si>
  <si>
    <r>
      <t xml:space="preserve">(3) While not the sole driver, </t>
    </r>
    <r>
      <rPr>
        <b/>
        <sz val="12"/>
        <color theme="1"/>
        <rFont val="Aptos Display"/>
        <family val="2"/>
      </rPr>
      <t>Marketing plays a clear role in boosting performance.</t>
    </r>
  </si>
  <si>
    <r>
      <t xml:space="preserve">(1) Our analysis shows a </t>
    </r>
    <r>
      <rPr>
        <b/>
        <sz val="12"/>
        <color theme="1"/>
        <rFont val="Aptos Display"/>
        <family val="2"/>
      </rPr>
      <t>Moderate Positive Correlation</t>
    </r>
    <r>
      <rPr>
        <sz val="12"/>
        <color theme="1"/>
        <rFont val="Aptos Display"/>
        <family val="2"/>
      </rPr>
      <t xml:space="preserve"> between </t>
    </r>
    <r>
      <rPr>
        <b/>
        <sz val="12"/>
        <color theme="1"/>
        <rFont val="Aptos Display"/>
        <family val="2"/>
      </rPr>
      <t xml:space="preserve">Marketing Spend and Sales </t>
    </r>
    <r>
      <rPr>
        <b/>
        <i/>
        <sz val="12"/>
        <color theme="1"/>
        <rFont val="Aptos Display"/>
        <family val="2"/>
      </rPr>
      <t>(0.58)</t>
    </r>
    <r>
      <rPr>
        <sz val="12"/>
        <color theme="1"/>
        <rFont val="Aptos Display"/>
        <family val="2"/>
      </rPr>
      <t xml:space="preserve">, as well as between </t>
    </r>
    <r>
      <rPr>
        <b/>
        <sz val="12"/>
        <color theme="1"/>
        <rFont val="Aptos Display"/>
        <family val="2"/>
      </rPr>
      <t xml:space="preserve">Marketing Spend and Quantity Ordered </t>
    </r>
    <r>
      <rPr>
        <b/>
        <i/>
        <sz val="12"/>
        <color theme="1"/>
        <rFont val="Aptos Display"/>
        <family val="2"/>
      </rPr>
      <t>(0.57).</t>
    </r>
  </si>
  <si>
    <r>
      <t xml:space="preserve">(3) The trend points to a </t>
    </r>
    <r>
      <rPr>
        <b/>
        <sz val="12"/>
        <color theme="1"/>
        <rFont val="Aptos Display"/>
        <family val="2"/>
      </rPr>
      <t>Potential Risk if Marketing Cutbacks continue.</t>
    </r>
  </si>
  <si>
    <t>2. Long-Term Trends</t>
  </si>
  <si>
    <r>
      <t xml:space="preserve">(2) This suggests that over time, the company has been </t>
    </r>
    <r>
      <rPr>
        <b/>
        <sz val="12"/>
        <color theme="1"/>
        <rFont val="Aptos Display"/>
        <family val="2"/>
      </rPr>
      <t>Reducing Marketing Investments</t>
    </r>
    <r>
      <rPr>
        <sz val="12"/>
        <color theme="1"/>
        <rFont val="Aptos Display"/>
        <family val="2"/>
      </rPr>
      <t xml:space="preserve">, which is accompanied by a </t>
    </r>
    <r>
      <rPr>
        <b/>
        <sz val="12"/>
        <color theme="1"/>
        <rFont val="Aptos Display"/>
        <family val="2"/>
      </rPr>
      <t>gradual decline in sales performance</t>
    </r>
    <r>
      <rPr>
        <sz val="12"/>
        <color theme="1"/>
        <rFont val="Aptos Display"/>
        <family val="2"/>
      </rPr>
      <t>.</t>
    </r>
  </si>
  <si>
    <r>
      <t xml:space="preserve">(1) The correlation between </t>
    </r>
    <r>
      <rPr>
        <b/>
        <sz val="12"/>
        <color theme="1"/>
        <rFont val="Aptos Display"/>
        <family val="2"/>
      </rPr>
      <t xml:space="preserve">Year and Marketing Spend is Negative </t>
    </r>
    <r>
      <rPr>
        <b/>
        <i/>
        <sz val="12"/>
        <color theme="1"/>
        <rFont val="Aptos Display"/>
        <family val="2"/>
      </rPr>
      <t xml:space="preserve">(-0.57), </t>
    </r>
    <r>
      <rPr>
        <sz val="12"/>
        <color theme="1"/>
        <rFont val="Aptos Display"/>
        <family val="2"/>
      </rPr>
      <t xml:space="preserve">with a </t>
    </r>
    <r>
      <rPr>
        <b/>
        <sz val="12"/>
        <color theme="1"/>
        <rFont val="Aptos Display"/>
        <family val="2"/>
      </rPr>
      <t xml:space="preserve">Weaker Negative link to Sales </t>
    </r>
    <r>
      <rPr>
        <b/>
        <i/>
        <sz val="12"/>
        <color theme="1"/>
        <rFont val="Aptos Display"/>
        <family val="2"/>
      </rPr>
      <t>(-0.20)</t>
    </r>
    <r>
      <rPr>
        <b/>
        <sz val="12"/>
        <color theme="1"/>
        <rFont val="Aptos Display"/>
        <family val="2"/>
      </rPr>
      <t xml:space="preserve">and Quantity Ordered </t>
    </r>
    <r>
      <rPr>
        <b/>
        <i/>
        <sz val="12"/>
        <color theme="1"/>
        <rFont val="Aptos Display"/>
        <family val="2"/>
      </rPr>
      <t xml:space="preserve">(-0.17). </t>
    </r>
  </si>
  <si>
    <t>Variable</t>
  </si>
  <si>
    <r>
      <t xml:space="preserve">(1) Unsurprisingly, there is a </t>
    </r>
    <r>
      <rPr>
        <b/>
        <sz val="12"/>
        <color theme="1"/>
        <rFont val="Aptos Display"/>
        <family val="2"/>
      </rPr>
      <t xml:space="preserve">Near-Perfect Positive Correlation </t>
    </r>
    <r>
      <rPr>
        <b/>
        <i/>
        <sz val="12"/>
        <color theme="1"/>
        <rFont val="Aptos Display"/>
        <family val="2"/>
      </rPr>
      <t>(0.99)</t>
    </r>
    <r>
      <rPr>
        <sz val="12"/>
        <color theme="1"/>
        <rFont val="Aptos Display"/>
        <family val="2"/>
      </rPr>
      <t xml:space="preserve"> between </t>
    </r>
    <r>
      <rPr>
        <b/>
        <sz val="12"/>
        <color theme="1"/>
        <rFont val="Aptos Display"/>
        <family val="2"/>
      </rPr>
      <t>Sales and Quantity Ordered</t>
    </r>
    <r>
      <rPr>
        <sz val="12"/>
        <color theme="1"/>
        <rFont val="Aptos Display"/>
        <family val="2"/>
      </rPr>
      <t>.</t>
    </r>
  </si>
  <si>
    <r>
      <t xml:space="preserve">(2) This is expected, as Revenue is largely driven by units sold. It highlights that </t>
    </r>
    <r>
      <rPr>
        <b/>
        <sz val="12"/>
        <color theme="1"/>
        <rFont val="Aptos Display"/>
        <family val="2"/>
      </rPr>
      <t>Increasing Product Volume is the most Direct Lever for Growing Sales</t>
    </r>
    <r>
      <rPr>
        <sz val="12"/>
        <color theme="1"/>
        <rFont val="Aptos Display"/>
        <family val="2"/>
      </rPr>
      <t>.</t>
    </r>
  </si>
  <si>
    <t xml:space="preserve">            Key Takeaways For Decision Making</t>
  </si>
  <si>
    <t>3. Internal Sales Dynamics</t>
  </si>
  <si>
    <r>
      <t xml:space="preserve">         (2) Declining Marketing Spend may explain </t>
    </r>
    <r>
      <rPr>
        <b/>
        <sz val="12"/>
        <color theme="1"/>
        <rFont val="Aptos Display"/>
        <family val="2"/>
      </rPr>
      <t>Long-Term Sales Stagnation</t>
    </r>
    <r>
      <rPr>
        <sz val="12"/>
        <color theme="1"/>
        <rFont val="Aptos Display"/>
        <family val="2"/>
      </rPr>
      <t>.</t>
    </r>
  </si>
  <si>
    <r>
      <t xml:space="preserve">         (3) Sales are tightly tied to </t>
    </r>
    <r>
      <rPr>
        <b/>
        <sz val="12"/>
        <color theme="1"/>
        <rFont val="Aptos Display"/>
        <family val="2"/>
      </rPr>
      <t>Volume,</t>
    </r>
    <r>
      <rPr>
        <sz val="12"/>
        <color theme="1"/>
        <rFont val="Aptos Display"/>
        <family val="2"/>
      </rPr>
      <t xml:space="preserve"> reinforcing the need for </t>
    </r>
    <r>
      <rPr>
        <b/>
        <sz val="12"/>
        <color theme="1"/>
        <rFont val="Aptos Display"/>
        <family val="2"/>
      </rPr>
      <t>Demand Generation Strategies</t>
    </r>
    <r>
      <rPr>
        <sz val="12"/>
        <color theme="1"/>
        <rFont val="Aptos Display"/>
        <family val="2"/>
      </rPr>
      <t>.</t>
    </r>
  </si>
  <si>
    <r>
      <t xml:space="preserve">         (1) Marketing is a </t>
    </r>
    <r>
      <rPr>
        <b/>
        <sz val="12"/>
        <color theme="1"/>
        <rFont val="Aptos Display"/>
        <family val="2"/>
      </rPr>
      <t>Proven Growth Driver - Higher Spend links directly to Sales Growth.</t>
    </r>
  </si>
  <si>
    <t>Keep at 73% for Perfect Viewing</t>
  </si>
  <si>
    <t xml:space="preserve">Keep at 85% for Perfect Viewing </t>
  </si>
  <si>
    <t>Marketing Spend</t>
  </si>
  <si>
    <t xml:space="preserve">                  Sales</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</si>
  <si>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</si>
  <si>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</si>
  <si>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</si>
  <si>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</si>
  <si>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</si>
  <si>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</si>
  <si>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</si>
  <si>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</si>
  <si>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</si>
  <si>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</si>
  <si>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</si>
  <si>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</si>
  <si>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</si>
  <si>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</si>
  <si>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</si>
  <si>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</si>
  <si>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</si>
  <si>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</si>
  <si>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</si>
  <si>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</si>
  <si>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</si>
  <si>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</si>
  <si>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</si>
  <si>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</si>
  <si>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</si>
  <si>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</si>
  <si>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Residuals</t>
  </si>
  <si>
    <t>Standard Residuals</t>
  </si>
  <si>
    <t>PROBABILITY OUTPUT</t>
  </si>
  <si>
    <t>Percentile</t>
  </si>
  <si>
    <t>Predicted Sales</t>
  </si>
  <si>
    <t>Residuals difference</t>
  </si>
  <si>
    <t>Square Differences</t>
  </si>
  <si>
    <t>Square Residuals</t>
  </si>
  <si>
    <t>DURBIN WATSON TEST</t>
  </si>
  <si>
    <t>CORR</t>
  </si>
  <si>
    <t>Y = 8.5888x + 216640</t>
  </si>
  <si>
    <t>R Square = 0.3315</t>
  </si>
  <si>
    <t>EQUATION</t>
  </si>
  <si>
    <t>Intercept (Constant)</t>
  </si>
  <si>
    <t>Marketing Spend (x)</t>
  </si>
  <si>
    <t>Predicted Sales (y)</t>
  </si>
  <si>
    <t>This means the observed relationship between marketing spend and sales is very unlikely to be due to random chance.</t>
  </si>
  <si>
    <r>
      <t xml:space="preserve">For every </t>
    </r>
    <r>
      <rPr>
        <b/>
        <sz val="12"/>
        <color theme="1"/>
        <rFont val="Aptos Display"/>
        <family val="2"/>
      </rPr>
      <t>$1 increase in marketing spend, sales rise by approximately $8.59.</t>
    </r>
  </si>
  <si>
    <r>
      <t xml:space="preserve">1. </t>
    </r>
    <r>
      <rPr>
        <i/>
        <sz val="12"/>
        <color theme="1"/>
        <rFont val="Aptos Display"/>
        <family val="2"/>
      </rPr>
      <t xml:space="preserve"> </t>
    </r>
    <r>
      <rPr>
        <b/>
        <i/>
        <sz val="12"/>
        <color theme="1"/>
        <rFont val="Aptos Display"/>
        <family val="2"/>
      </rPr>
      <t xml:space="preserve"> </t>
    </r>
    <r>
      <rPr>
        <b/>
        <i/>
        <u/>
        <sz val="12"/>
        <color theme="1"/>
        <rFont val="Aptos Display"/>
        <family val="2"/>
      </rPr>
      <t>Impact of Marketing Spend on Sales</t>
    </r>
  </si>
  <si>
    <r>
      <t xml:space="preserve">2.  </t>
    </r>
    <r>
      <rPr>
        <i/>
        <sz val="12"/>
        <color theme="1"/>
        <rFont val="Aptos Display"/>
        <family val="2"/>
      </rPr>
      <t xml:space="preserve"> </t>
    </r>
    <r>
      <rPr>
        <b/>
        <i/>
        <u/>
        <sz val="12"/>
        <color theme="1"/>
        <rFont val="Aptos Display"/>
        <family val="2"/>
      </rPr>
      <t>Overall Model Significance</t>
    </r>
  </si>
  <si>
    <r>
      <t>Model is</t>
    </r>
    <r>
      <rPr>
        <b/>
        <sz val="12"/>
        <color theme="1"/>
        <rFont val="Aptos Display"/>
        <family val="2"/>
      </rPr>
      <t xml:space="preserve"> statistically significant</t>
    </r>
    <r>
      <rPr>
        <sz val="12"/>
        <color theme="1"/>
        <rFont val="Aptos Display"/>
        <family val="2"/>
      </rPr>
      <t xml:space="preserve"> (p=0.050</t>
    </r>
    <r>
      <rPr>
        <i/>
        <sz val="12"/>
        <color theme="1"/>
        <rFont val="Aptos Display"/>
        <family val="2"/>
      </rPr>
      <t>p</t>
    </r>
    <r>
      <rPr>
        <sz val="12"/>
        <color theme="1"/>
        <rFont val="Aptos Display"/>
        <family val="2"/>
      </rPr>
      <t>=0.050), at the 95% confidence level.</t>
    </r>
  </si>
  <si>
    <r>
      <t xml:space="preserve">Marketing spend explains </t>
    </r>
    <r>
      <rPr>
        <b/>
        <sz val="12"/>
        <color theme="1"/>
        <rFont val="Aptos Display"/>
        <family val="2"/>
      </rPr>
      <t>33% of the variance</t>
    </r>
    <r>
      <rPr>
        <sz val="12"/>
        <color theme="1"/>
        <rFont val="Aptos Display"/>
        <family val="2"/>
      </rPr>
      <t xml:space="preserve"> in sales (R2=0.33</t>
    </r>
    <r>
      <rPr>
        <i/>
        <sz val="12"/>
        <color theme="1"/>
        <rFont val="Aptos Display"/>
        <family val="2"/>
      </rPr>
      <t>R</t>
    </r>
    <r>
      <rPr>
        <sz val="12"/>
        <color theme="1"/>
        <rFont val="Aptos Display"/>
        <family val="2"/>
      </rPr>
      <t>2=0.33).</t>
    </r>
  </si>
  <si>
    <r>
      <t xml:space="preserve">3.   </t>
    </r>
    <r>
      <rPr>
        <b/>
        <i/>
        <u/>
        <sz val="12"/>
        <color theme="1"/>
        <rFont val="Aptos Display"/>
        <family val="2"/>
      </rPr>
      <t>Strength of Relationship</t>
    </r>
  </si>
  <si>
    <t>DW TEST RESULT</t>
  </si>
  <si>
    <r>
      <t xml:space="preserve">1. DW Result (1.69) Indicates </t>
    </r>
    <r>
      <rPr>
        <b/>
        <i/>
        <u/>
        <sz val="14"/>
        <color theme="1"/>
        <rFont val="Aptos Display"/>
        <family val="2"/>
      </rPr>
      <t>No Substantial Autocorrelation In Residuals, Supporting Reliability Of Model Estimates.</t>
    </r>
  </si>
  <si>
    <t>SUM OF SQUARED DIFFERENCES</t>
  </si>
  <si>
    <t>SUM OF SQUARED RESIDUALS</t>
  </si>
  <si>
    <t xml:space="preserve">       Simple Linear Regression, Durbin Watson Test, Graphs &amp; Notes</t>
  </si>
  <si>
    <t xml:space="preserve">       Correlation Analysis, Graphs &amp; Notes</t>
  </si>
  <si>
    <t>Quality Issues</t>
  </si>
  <si>
    <t>Column Labels</t>
  </si>
  <si>
    <t>Frozen Foods Total</t>
  </si>
  <si>
    <t>Instant Foods Total</t>
  </si>
  <si>
    <t>Snacks Total</t>
  </si>
  <si>
    <t>Infant Nutrition Total</t>
  </si>
  <si>
    <t>Water &amp; Juices Total</t>
  </si>
  <si>
    <t>Dairy Products Total</t>
  </si>
  <si>
    <t>Beverages Total</t>
  </si>
  <si>
    <t>Total Sum of Quantity_Ordered</t>
  </si>
  <si>
    <t>Total Qty</t>
  </si>
  <si>
    <t>Returned Qty</t>
  </si>
  <si>
    <t>Return Rate</t>
  </si>
  <si>
    <t>Sum of Quantity_Ordered_Return</t>
  </si>
  <si>
    <t>Total Sum of Quantity_Ordered_Return</t>
  </si>
  <si>
    <t>TOTAL</t>
  </si>
  <si>
    <t>PIVOT TABLE</t>
  </si>
  <si>
    <t>TEXT</t>
  </si>
  <si>
    <t>SUM OF RETURNS</t>
  </si>
  <si>
    <t>SUM OF SALES</t>
  </si>
  <si>
    <t>GRAND TOTAL</t>
  </si>
  <si>
    <t>Category</t>
  </si>
  <si>
    <t xml:space="preserve">BUSINESS PROBLEMS </t>
  </si>
  <si>
    <t>REASONS</t>
  </si>
  <si>
    <t>Undiversified/Irregular Marketing</t>
  </si>
  <si>
    <t>Diversify the marketing budget across all products/categories.</t>
  </si>
  <si>
    <t>Avoid erratic spending—maintain stable, consistent budgets across at least 3 years.</t>
  </si>
  <si>
    <t>Supply Chain Issues</t>
  </si>
  <si>
    <t>Implement stricter monitoring and improvements in storage conditions and logistics.</t>
  </si>
  <si>
    <t>Train supply chain staff on careful packaging and handling.</t>
  </si>
  <si>
    <t>LOW &amp; IRREGULAR SALES</t>
  </si>
  <si>
    <t>SHARP INCREASE IN RETURN RATES IN RECENT TIMES</t>
  </si>
  <si>
    <t>1)</t>
  </si>
  <si>
    <t>2)</t>
  </si>
  <si>
    <t>RECOMMENDATIONS</t>
  </si>
  <si>
    <t>Conduct thorough audits for all SKUs and manufacturing processes.</t>
  </si>
  <si>
    <t xml:space="preserve">             Prescriptive Analysis, Recommendations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</si>
</sst>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quot;₹&quot;\ * #,##0.00_ ;_ &quot;₹&quot;\ * \-#,##0.00_ ;_ &quot;₹&quot;\ * &quot;-&quot;??_ ;_ @_ "/>
    <numFmt numFmtId="164" formatCode="_-[$$-409]* #,##0_ ;_-[$$-409]* \-#,##0\ ;_-[$$-409]* &quot;-&quot;??_ ;_-@_ "/>
    <numFmt numFmtId="165" formatCode="_-[$$-409]* #,##0.00_ ;_-[$$-409]* \-#,##0.00\ ;_-[$$-409]* &quot;-&quot;??_ ;_-@_ "/>
    <numFmt numFmtId="166" formatCode="0.000000000000000%"/>
    <numFmt numFmtId="167" formatCode="_-[$$-409]* #,##0_ ;_-[$$-409]* \-#,##0\ ;_-[$$-409]* &quot;-&quot;????_ ;_-@_ "/>
    <numFmt numFmtId="168" formatCode="0.0000000"/>
  </numFmts>
  <fonts count="32" x14ac:knownFonts="1">
    <font>
      <sz val="11"/>
      <color theme="1"/>
      <name val="Calibri"/>
      <family val="2"/>
      <scheme val="minor"/>
    </font>
    <font>
      <b/>
      <sz val="12"/>
      <color theme="0"/>
      <name val="Aptos Display"/>
      <family val="2"/>
    </font>
    <font>
      <sz val="12"/>
      <color theme="1"/>
      <name val="Aptos Display"/>
      <family val="2"/>
    </font>
    <font>
      <sz val="11"/>
      <color theme="1"/>
      <name val="Calibri"/>
      <family val="2"/>
      <scheme val="minor"/>
    </font>
    <font>
      <b/>
      <sz val="12"/>
      <color theme="1"/>
      <name val="Aptos Display"/>
      <family val="2"/>
    </font>
    <font>
      <b/>
      <i/>
      <sz val="12"/>
      <color theme="1"/>
      <name val="Aptos Display"/>
      <family val="2"/>
    </font>
    <font>
      <sz val="8"/>
      <name val="Calibri"/>
      <family val="2"/>
      <scheme val="minor"/>
    </font>
    <font>
      <b/>
      <sz val="11"/>
      <color theme="1"/>
      <name val="Calibri"/>
      <family val="2"/>
      <scheme val="minor"/>
    </font>
    <font>
      <b/>
      <sz val="12"/>
      <color theme="1"/>
      <name val="Calibri"/>
      <family val="2"/>
      <scheme val="minor"/>
    </font>
    <font>
      <b/>
      <sz val="11"/>
      <color theme="0"/>
      <name val="Calibri"/>
      <family val="2"/>
      <scheme val="minor"/>
    </font>
    <font>
      <b/>
      <i/>
      <sz val="11"/>
      <color theme="1"/>
      <name val="Calibri"/>
      <family val="2"/>
      <scheme val="minor"/>
    </font>
    <font>
      <sz val="11"/>
      <color theme="0"/>
      <name val="Calibri"/>
      <family val="2"/>
      <scheme val="minor"/>
    </font>
    <font>
      <sz val="11"/>
      <color theme="1"/>
      <name val="Aptos Display"/>
      <family val="2"/>
    </font>
    <font>
      <b/>
      <sz val="11"/>
      <color theme="1"/>
      <name val="Aptos Display"/>
      <family val="2"/>
    </font>
    <font>
      <i/>
      <sz val="12"/>
      <color theme="1"/>
      <name val="Aptos Display"/>
      <family val="2"/>
    </font>
    <font>
      <b/>
      <sz val="16"/>
      <color theme="1"/>
      <name val="Aptos Display"/>
      <family val="2"/>
    </font>
    <font>
      <b/>
      <i/>
      <sz val="14"/>
      <color theme="1"/>
      <name val="Aptos Display"/>
      <family val="2"/>
    </font>
    <font>
      <b/>
      <i/>
      <u/>
      <sz val="14"/>
      <color theme="1"/>
      <name val="Aptos Display"/>
      <family val="2"/>
    </font>
    <font>
      <b/>
      <i/>
      <u/>
      <sz val="11"/>
      <color theme="1"/>
      <name val="Aptos Display"/>
      <family val="2"/>
    </font>
    <font>
      <b/>
      <u/>
      <sz val="12"/>
      <color theme="1"/>
      <name val="Aptos Display"/>
      <family val="2"/>
    </font>
    <font>
      <b/>
      <sz val="14"/>
      <color theme="1"/>
      <name val="Aptos Display"/>
      <family val="2"/>
    </font>
    <font>
      <i/>
      <sz val="14"/>
      <color theme="1"/>
      <name val="Aptos Display"/>
      <family val="2"/>
    </font>
    <font>
      <b/>
      <i/>
      <u/>
      <sz val="12"/>
      <color theme="1"/>
      <name val="Aptos Display"/>
      <family val="2"/>
    </font>
    <font>
      <b/>
      <sz val="14"/>
      <color theme="0"/>
      <name val="Aptos Display"/>
      <family val="2"/>
    </font>
    <font>
      <sz val="12"/>
      <color theme="1"/>
      <name val="Aptos Display"/>
      <family val="2"/>
    </font>
    <font>
      <sz val="12"/>
      <color theme="1"/>
      <name val="Aptos Display"/>
      <family val="2"/>
    </font>
    <font>
      <b/>
      <i/>
      <sz val="14"/>
      <color theme="0"/>
      <name val="Aptos Display"/>
      <family val="2"/>
    </font>
    <font>
      <i/>
      <sz val="11"/>
      <color theme="1"/>
      <name val="Calibri"/>
      <family val="2"/>
      <scheme val="minor"/>
    </font>
    <font>
      <b/>
      <i/>
      <sz val="11"/>
      <color theme="1"/>
      <name val="Aptos Display"/>
      <family val="2"/>
    </font>
    <font>
      <i/>
      <sz val="11"/>
      <color theme="1"/>
      <name val="Aptos Display"/>
      <family val="2"/>
    </font>
    <font>
      <b/>
      <sz val="11"/>
      <color rgb="FF000000"/>
      <name val="Aptos Display"/>
      <family val="2"/>
    </font>
    <font>
      <b/>
      <i/>
      <sz val="12"/>
      <color theme="0"/>
      <name val="Aptos Display"/>
      <family val="2"/>
    </font>
  </fonts>
  <fills count="14">
    <fill>
      <patternFill patternType="none"/>
    </fill>
    <fill>
      <patternFill patternType="gray125"/>
    </fill>
    <fill>
      <patternFill patternType="solid">
        <fgColor rgb="FF002060"/>
        <bgColor indexed="64"/>
      </patternFill>
    </fill>
    <fill>
      <patternFill patternType="solid">
        <fgColor rgb="FF00B0F0"/>
        <bgColor indexed="6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7" tint="0.59999389629810485"/>
        <bgColor indexed="64"/>
      </patternFill>
    </fill>
    <fill>
      <patternFill patternType="solid">
        <fgColor rgb="FFFF0000"/>
        <bgColor theme="4" tint="0.79998168889431442"/>
      </patternFill>
    </fill>
    <fill>
      <patternFill patternType="solid">
        <fgColor rgb="FF002060"/>
        <bgColor theme="4" tint="0.79998168889431442"/>
      </patternFill>
    </fill>
    <fill>
      <patternFill patternType="solid">
        <fgColor theme="0" tint="-0.499984740745262"/>
        <bgColor indexed="64"/>
      </patternFill>
    </fill>
    <fill>
      <patternFill patternType="solid">
        <fgColor theme="0"/>
        <bgColor indexed="64"/>
      </patternFill>
    </fill>
    <fill>
      <patternFill patternType="solid">
        <fgColor theme="1" tint="0.499984740745262"/>
        <bgColor indexed="64"/>
      </patternFill>
    </fill>
  </fills>
  <borders count="47">
    <border>
      <left/>
      <right/>
      <top/>
      <bottom/>
      <diagonal/>
    </border>
    <border>
      <left/>
      <right/>
      <top style="thin">
        <color theme="4" tint="0.39997558519241921"/>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style="thin">
        <color indexed="64"/>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theme="4" tint="0.39997558519241921"/>
      </right>
      <top/>
      <bottom/>
      <diagonal/>
    </border>
    <border>
      <left/>
      <right style="thin">
        <color indexed="64"/>
      </right>
      <top/>
      <bottom/>
      <diagonal/>
    </border>
    <border>
      <left/>
      <right/>
      <top/>
      <bottom style="thin">
        <color theme="4" tint="0.39997558519241921"/>
      </bottom>
      <diagonal/>
    </border>
    <border>
      <left style="thin">
        <color indexed="64"/>
      </left>
      <right/>
      <top/>
      <bottom/>
      <diagonal/>
    </border>
    <border>
      <left/>
      <right/>
      <top style="thin">
        <color theme="4"/>
      </top>
      <bottom style="thin">
        <color theme="4"/>
      </bottom>
      <diagonal/>
    </border>
    <border>
      <left/>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theme="1"/>
      </bottom>
      <diagonal/>
    </border>
    <border>
      <left style="thin">
        <color indexed="64"/>
      </left>
      <right/>
      <top/>
      <bottom style="thin">
        <color theme="4" tint="0.39997558519241921"/>
      </bottom>
      <diagonal/>
    </border>
    <border>
      <left style="thin">
        <color indexed="64"/>
      </left>
      <right/>
      <top style="thin">
        <color theme="4" tint="0.39997558519241921"/>
      </top>
      <bottom/>
      <diagonal/>
    </border>
    <border>
      <left/>
      <right/>
      <top style="medium">
        <color theme="1"/>
      </top>
      <bottom/>
      <diagonal/>
    </border>
    <border>
      <left/>
      <right style="medium">
        <color theme="1"/>
      </right>
      <top style="medium">
        <color theme="1"/>
      </top>
      <bottom/>
      <diagonal/>
    </border>
    <border>
      <left/>
      <right style="medium">
        <color theme="1"/>
      </right>
      <top/>
      <bottom/>
      <diagonal/>
    </border>
    <border>
      <left/>
      <right style="medium">
        <color theme="1"/>
      </right>
      <top/>
      <bottom style="medium">
        <color theme="1"/>
      </bottom>
      <diagonal/>
    </border>
    <border>
      <left/>
      <right/>
      <top/>
      <bottom style="medium">
        <color theme="1"/>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s>
  <cellStyleXfs count="3">
    <xf numFmtId="0" fontId="0" fillId="0" borderId="0"/>
    <xf numFmtId="9" fontId="3" fillId="0" borderId="0" applyFont="0" applyFill="0" applyBorder="0" applyAlignment="0" applyProtection="0"/>
    <xf numFmtId="44" fontId="3" fillId="0" borderId="0" applyFont="0" applyFill="0" applyBorder="0" applyAlignment="0" applyProtection="0"/>
  </cellStyleXfs>
  <cellXfs count="272">
    <xf numFmtId="0" fontId="0" fillId="0" borderId="0" xfId="0"/>
    <xf numFmtId="0" fontId="1" fillId="2" borderId="0" xfId="0" applyFont="1" applyFill="1" applyAlignment="1">
      <alignment horizontal="center" vertical="center"/>
    </xf>
    <xf numFmtId="14" fontId="1" fillId="2" borderId="0" xfId="0" applyNumberFormat="1" applyFont="1" applyFill="1" applyAlignment="1">
      <alignment horizontal="center" vertical="center"/>
    </xf>
    <xf numFmtId="0" fontId="2" fillId="0" borderId="0" xfId="0" applyFont="1" applyAlignment="1">
      <alignment horizontal="center" vertical="center"/>
    </xf>
    <xf numFmtId="14" fontId="2" fillId="0" borderId="0" xfId="0" applyNumberFormat="1" applyFont="1" applyAlignment="1">
      <alignment horizontal="center" vertical="center"/>
    </xf>
    <xf numFmtId="0" fontId="0" fillId="0" borderId="0" xfId="0" applyAlignment="1">
      <alignment horizontal="center" vertical="center"/>
    </xf>
    <xf numFmtId="0" fontId="0" fillId="0" borderId="0" xfId="0" applyAlignment="1">
      <alignment horizontal="center"/>
    </xf>
    <xf numFmtId="164" fontId="2" fillId="0" borderId="0" xfId="2" applyNumberFormat="1" applyFont="1" applyAlignment="1">
      <alignment horizontal="center" vertical="center"/>
    </xf>
    <xf numFmtId="164" fontId="2" fillId="0" borderId="0" xfId="2" applyNumberFormat="1" applyFont="1" applyAlignment="1">
      <alignment vertical="center"/>
    </xf>
    <xf numFmtId="0" fontId="0" fillId="0" borderId="0" xfId="0" applyAlignment="1">
      <alignment vertical="center"/>
    </xf>
    <xf numFmtId="14" fontId="2"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164" fontId="2" fillId="4" borderId="1" xfId="2" applyNumberFormat="1" applyFont="1" applyFill="1" applyBorder="1" applyAlignment="1">
      <alignment horizontal="center" vertical="center"/>
    </xf>
    <xf numFmtId="164" fontId="2" fillId="4" borderId="1" xfId="0" applyNumberFormat="1" applyFont="1" applyFill="1" applyBorder="1" applyAlignment="1">
      <alignment horizontal="center" vertical="center"/>
    </xf>
    <xf numFmtId="14" fontId="2" fillId="0" borderId="1" xfId="0" applyNumberFormat="1" applyFont="1" applyBorder="1" applyAlignment="1">
      <alignment horizontal="center" vertical="center"/>
    </xf>
    <xf numFmtId="0" fontId="2" fillId="0" borderId="1" xfId="0" applyFont="1" applyBorder="1" applyAlignment="1">
      <alignment horizontal="center" vertical="center"/>
    </xf>
    <xf numFmtId="164" fontId="2" fillId="0" borderId="1" xfId="2" applyNumberFormat="1" applyFont="1" applyBorder="1" applyAlignment="1">
      <alignment horizontal="center" vertical="center"/>
    </xf>
    <xf numFmtId="164" fontId="2" fillId="0" borderId="1" xfId="0" applyNumberFormat="1" applyFont="1" applyBorder="1" applyAlignment="1">
      <alignment horizontal="center" vertical="center"/>
    </xf>
    <xf numFmtId="2" fontId="2" fillId="0" borderId="2" xfId="0" applyNumberFormat="1" applyFont="1" applyBorder="1" applyAlignment="1">
      <alignment horizontal="center" vertical="center"/>
    </xf>
    <xf numFmtId="2" fontId="2" fillId="0" borderId="3" xfId="0" applyNumberFormat="1" applyFont="1" applyBorder="1" applyAlignment="1">
      <alignment horizontal="center" vertical="center"/>
    </xf>
    <xf numFmtId="2" fontId="2" fillId="0" borderId="4" xfId="0" applyNumberFormat="1" applyFont="1" applyBorder="1" applyAlignment="1">
      <alignment horizontal="center" vertical="center"/>
    </xf>
    <xf numFmtId="9" fontId="0" fillId="0" borderId="0" xfId="1" applyFont="1" applyAlignment="1">
      <alignment horizontal="center" vertical="center"/>
    </xf>
    <xf numFmtId="0" fontId="1" fillId="3" borderId="5" xfId="0" applyFont="1" applyFill="1" applyBorder="1" applyAlignment="1">
      <alignment horizontal="center" vertical="center"/>
    </xf>
    <xf numFmtId="0" fontId="4" fillId="0" borderId="6" xfId="0" applyFont="1" applyBorder="1" applyAlignment="1">
      <alignment horizontal="center" vertical="center"/>
    </xf>
    <xf numFmtId="0" fontId="4" fillId="0" borderId="5" xfId="0" applyFont="1" applyBorder="1" applyAlignment="1">
      <alignment horizontal="center" vertical="center"/>
    </xf>
    <xf numFmtId="2" fontId="2" fillId="0" borderId="6" xfId="0" applyNumberFormat="1" applyFont="1" applyBorder="1" applyAlignment="1">
      <alignment horizontal="center" vertical="center"/>
    </xf>
    <xf numFmtId="2" fontId="2" fillId="0" borderId="7" xfId="0" applyNumberFormat="1" applyFont="1" applyBorder="1" applyAlignment="1">
      <alignment horizontal="center" vertical="center"/>
    </xf>
    <xf numFmtId="2" fontId="2" fillId="0" borderId="8" xfId="0" applyNumberFormat="1" applyFont="1" applyBorder="1" applyAlignment="1">
      <alignment horizontal="center" vertical="center"/>
    </xf>
    <xf numFmtId="0" fontId="4" fillId="5" borderId="5" xfId="0" applyFont="1" applyFill="1" applyBorder="1" applyAlignment="1">
      <alignment horizontal="center" vertical="center"/>
    </xf>
    <xf numFmtId="10" fontId="0" fillId="0" borderId="0" xfId="1" applyNumberFormat="1" applyFont="1" applyAlignment="1">
      <alignment horizontal="center" vertical="center"/>
    </xf>
    <xf numFmtId="9" fontId="4" fillId="0" borderId="6" xfId="0" applyNumberFormat="1" applyFont="1" applyBorder="1" applyAlignment="1">
      <alignment horizontal="center" vertical="center"/>
    </xf>
    <xf numFmtId="9" fontId="2" fillId="0" borderId="8" xfId="1" applyFont="1" applyBorder="1" applyAlignment="1">
      <alignment horizontal="center" vertical="center"/>
    </xf>
    <xf numFmtId="0" fontId="4" fillId="0" borderId="10" xfId="0" applyFont="1" applyBorder="1" applyAlignment="1">
      <alignment horizontal="center" vertical="center"/>
    </xf>
    <xf numFmtId="1" fontId="2" fillId="0" borderId="10" xfId="0" applyNumberFormat="1" applyFont="1" applyBorder="1" applyAlignment="1">
      <alignment horizontal="center" vertical="center"/>
    </xf>
    <xf numFmtId="0" fontId="4" fillId="0" borderId="8" xfId="0" applyFont="1" applyBorder="1" applyAlignment="1">
      <alignment horizontal="center" vertical="center"/>
    </xf>
    <xf numFmtId="1" fontId="2" fillId="0" borderId="8" xfId="0" applyNumberFormat="1" applyFont="1" applyBorder="1" applyAlignment="1">
      <alignment horizontal="center" vertical="center"/>
    </xf>
    <xf numFmtId="2" fontId="2" fillId="0" borderId="10" xfId="0" applyNumberFormat="1" applyFont="1" applyBorder="1" applyAlignment="1">
      <alignment horizontal="center" vertical="center"/>
    </xf>
    <xf numFmtId="2" fontId="5" fillId="0" borderId="6" xfId="0" applyNumberFormat="1" applyFont="1" applyBorder="1" applyAlignment="1">
      <alignment horizontal="center" vertical="center"/>
    </xf>
    <xf numFmtId="2" fontId="5" fillId="0" borderId="7" xfId="0" applyNumberFormat="1" applyFont="1" applyBorder="1" applyAlignment="1">
      <alignment horizontal="center" vertical="center"/>
    </xf>
    <xf numFmtId="2" fontId="5" fillId="0" borderId="8" xfId="0" applyNumberFormat="1" applyFont="1" applyBorder="1" applyAlignment="1">
      <alignment horizontal="center" vertical="center"/>
    </xf>
    <xf numFmtId="9" fontId="0" fillId="0" borderId="0" xfId="1" applyFont="1"/>
    <xf numFmtId="10" fontId="0" fillId="0" borderId="0" xfId="1" applyNumberFormat="1" applyFont="1"/>
    <xf numFmtId="10" fontId="2" fillId="0" borderId="6" xfId="1" applyNumberFormat="1" applyFont="1" applyBorder="1" applyAlignment="1">
      <alignment horizontal="center" vertical="center"/>
    </xf>
    <xf numFmtId="10" fontId="2" fillId="0" borderId="7" xfId="1" applyNumberFormat="1" applyFont="1" applyBorder="1" applyAlignment="1">
      <alignment horizontal="center" vertical="center"/>
    </xf>
    <xf numFmtId="2" fontId="2" fillId="0" borderId="7" xfId="1" applyNumberFormat="1" applyFont="1" applyBorder="1" applyAlignment="1">
      <alignment horizontal="center" vertical="center"/>
    </xf>
    <xf numFmtId="2" fontId="2" fillId="0" borderId="8" xfId="1" applyNumberFormat="1" applyFont="1" applyBorder="1" applyAlignment="1">
      <alignment horizontal="center" vertical="center"/>
    </xf>
    <xf numFmtId="0" fontId="1" fillId="2" borderId="12"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3" xfId="2" applyNumberFormat="1" applyFont="1" applyFill="1" applyBorder="1" applyAlignment="1">
      <alignment horizontal="center" vertical="center"/>
    </xf>
    <xf numFmtId="165" fontId="0" fillId="0" borderId="0" xfId="0" applyNumberFormat="1"/>
    <xf numFmtId="14" fontId="0" fillId="0" borderId="0" xfId="0" applyNumberFormat="1"/>
    <xf numFmtId="164" fontId="2" fillId="0" borderId="0" xfId="0" applyNumberFormat="1" applyFont="1" applyAlignment="1">
      <alignment vertical="center"/>
    </xf>
    <xf numFmtId="165" fontId="2" fillId="0" borderId="0" xfId="0" applyNumberFormat="1" applyFont="1" applyAlignment="1">
      <alignment vertical="center"/>
    </xf>
    <xf numFmtId="9" fontId="2" fillId="0" borderId="0" xfId="1" applyFont="1" applyAlignment="1">
      <alignment horizontal="center" vertical="center"/>
    </xf>
    <xf numFmtId="0" fontId="1" fillId="2" borderId="14" xfId="2" applyNumberFormat="1" applyFont="1" applyFill="1" applyBorder="1" applyAlignment="1">
      <alignment horizontal="center" vertical="center"/>
    </xf>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0" fillId="0" borderId="15" xfId="0" applyBorder="1"/>
    <xf numFmtId="10" fontId="0" fillId="0" borderId="0" xfId="0" applyNumberFormat="1"/>
    <xf numFmtId="0" fontId="4" fillId="0" borderId="0" xfId="0" applyFont="1" applyAlignment="1">
      <alignment horizontal="center" vertical="center"/>
    </xf>
    <xf numFmtId="0" fontId="2" fillId="4" borderId="11" xfId="0" applyFont="1" applyFill="1" applyBorder="1" applyAlignment="1">
      <alignment horizontal="center" vertical="center"/>
    </xf>
    <xf numFmtId="0" fontId="2" fillId="0" borderId="11" xfId="0" applyFont="1" applyBorder="1" applyAlignment="1">
      <alignment horizontal="center" vertical="center"/>
    </xf>
    <xf numFmtId="0" fontId="1" fillId="2" borderId="16" xfId="0" applyFont="1" applyFill="1" applyBorder="1" applyAlignment="1">
      <alignment horizontal="center" vertical="center"/>
    </xf>
    <xf numFmtId="0" fontId="7" fillId="0" borderId="0" xfId="0" applyFont="1" applyAlignment="1">
      <alignment horizontal="center"/>
    </xf>
    <xf numFmtId="164" fontId="7" fillId="4" borderId="1" xfId="0" applyNumberFormat="1" applyFont="1" applyFill="1" applyBorder="1" applyAlignment="1">
      <alignment horizontal="center" vertical="center"/>
    </xf>
    <xf numFmtId="164" fontId="0" fillId="0" borderId="0" xfId="0" applyNumberFormat="1" applyAlignment="1">
      <alignment horizontal="center" vertical="center"/>
    </xf>
    <xf numFmtId="165" fontId="7" fillId="4" borderId="1" xfId="0" applyNumberFormat="1" applyFont="1" applyFill="1" applyBorder="1" applyAlignment="1">
      <alignment horizontal="center" vertical="center"/>
    </xf>
    <xf numFmtId="10" fontId="0" fillId="0" borderId="0" xfId="0" applyNumberFormat="1" applyAlignment="1">
      <alignment horizontal="center" vertical="center"/>
    </xf>
    <xf numFmtId="0" fontId="0" fillId="6" borderId="0" xfId="0" applyFill="1"/>
    <xf numFmtId="0" fontId="0" fillId="0" borderId="15" xfId="0" applyBorder="1" applyAlignment="1">
      <alignment horizontal="center" vertical="center"/>
    </xf>
    <xf numFmtId="0" fontId="7" fillId="4" borderId="16" xfId="0" applyFont="1" applyFill="1" applyBorder="1"/>
    <xf numFmtId="0" fontId="9" fillId="2" borderId="0" xfId="0" applyFont="1" applyFill="1" applyAlignment="1">
      <alignment horizontal="center" vertical="center"/>
    </xf>
    <xf numFmtId="9" fontId="9" fillId="7" borderId="0" xfId="1" applyFont="1" applyFill="1" applyAlignment="1">
      <alignment horizontal="center" vertical="center"/>
    </xf>
    <xf numFmtId="0" fontId="7" fillId="0" borderId="0" xfId="0" applyFont="1" applyAlignment="1">
      <alignment vertical="center"/>
    </xf>
    <xf numFmtId="164" fontId="7" fillId="4" borderId="1" xfId="0" applyNumberFormat="1" applyFont="1" applyFill="1" applyBorder="1"/>
    <xf numFmtId="0" fontId="0" fillId="0" borderId="0" xfId="0" applyAlignment="1">
      <alignment horizontal="left" vertical="center"/>
    </xf>
    <xf numFmtId="10" fontId="10" fillId="0" borderId="0" xfId="0" applyNumberFormat="1" applyFont="1" applyAlignment="1">
      <alignment vertical="center"/>
    </xf>
    <xf numFmtId="164" fontId="0" fillId="0" borderId="0" xfId="1" applyNumberFormat="1" applyFont="1" applyAlignment="1">
      <alignment horizontal="center" vertical="center"/>
    </xf>
    <xf numFmtId="0" fontId="7" fillId="0" borderId="0" xfId="0" applyFont="1"/>
    <xf numFmtId="0" fontId="7" fillId="4" borderId="0" xfId="0" applyFont="1" applyFill="1"/>
    <xf numFmtId="10" fontId="7" fillId="4" borderId="1" xfId="1" applyNumberFormat="1" applyFont="1" applyFill="1" applyBorder="1"/>
    <xf numFmtId="0" fontId="0" fillId="0" borderId="0" xfId="0" quotePrefix="1" applyAlignment="1">
      <alignment horizontal="center" vertical="center"/>
    </xf>
    <xf numFmtId="164" fontId="7" fillId="0" borderId="18" xfId="0" applyNumberFormat="1" applyFont="1" applyBorder="1"/>
    <xf numFmtId="10" fontId="11" fillId="0" borderId="0" xfId="1" applyNumberFormat="1" applyFont="1" applyAlignment="1">
      <alignment horizontal="center" vertical="center"/>
    </xf>
    <xf numFmtId="9" fontId="9" fillId="10" borderId="0" xfId="1" applyFont="1" applyFill="1" applyBorder="1" applyAlignment="1">
      <alignment horizontal="center"/>
    </xf>
    <xf numFmtId="9" fontId="9" fillId="9" borderId="0" xfId="1" applyFont="1" applyFill="1" applyBorder="1" applyAlignment="1">
      <alignment horizontal="center"/>
    </xf>
    <xf numFmtId="0" fontId="12" fillId="8" borderId="0" xfId="0" applyFont="1" applyFill="1"/>
    <xf numFmtId="0" fontId="2" fillId="0" borderId="19" xfId="0" applyFont="1" applyBorder="1" applyAlignment="1">
      <alignment horizontal="center" vertical="center"/>
    </xf>
    <xf numFmtId="2" fontId="2" fillId="0" borderId="0" xfId="0" applyNumberFormat="1" applyFont="1" applyAlignment="1">
      <alignment horizontal="center" vertical="center"/>
    </xf>
    <xf numFmtId="2" fontId="1" fillId="0" borderId="19" xfId="0" applyNumberFormat="1" applyFont="1" applyBorder="1" applyAlignment="1">
      <alignment horizontal="center" vertical="center"/>
    </xf>
    <xf numFmtId="0" fontId="5" fillId="5" borderId="23" xfId="0" applyFont="1" applyFill="1" applyBorder="1" applyAlignment="1">
      <alignment horizontal="center" vertical="center"/>
    </xf>
    <xf numFmtId="0" fontId="14" fillId="5" borderId="20" xfId="0" applyFont="1" applyFill="1" applyBorder="1" applyAlignment="1">
      <alignment horizontal="center" vertical="center"/>
    </xf>
    <xf numFmtId="0" fontId="14" fillId="5" borderId="21" xfId="0" applyFont="1" applyFill="1" applyBorder="1" applyAlignment="1">
      <alignment horizontal="center" vertical="center"/>
    </xf>
    <xf numFmtId="0" fontId="14" fillId="5" borderId="22" xfId="0" applyFont="1" applyFill="1" applyBorder="1" applyAlignment="1">
      <alignment horizontal="center" vertical="center"/>
    </xf>
    <xf numFmtId="0" fontId="2" fillId="0" borderId="0" xfId="0" applyFont="1" applyAlignment="1">
      <alignment horizontal="left" vertical="center"/>
    </xf>
    <xf numFmtId="0" fontId="4" fillId="0" borderId="24" xfId="0" applyFont="1" applyBorder="1" applyAlignment="1">
      <alignment horizontal="left" vertical="center"/>
    </xf>
    <xf numFmtId="0" fontId="2" fillId="0" borderId="24" xfId="0" applyFont="1" applyBorder="1" applyAlignment="1">
      <alignment horizontal="center" vertical="center"/>
    </xf>
    <xf numFmtId="0" fontId="2" fillId="0" borderId="17" xfId="0" applyFont="1" applyBorder="1" applyAlignment="1">
      <alignment horizontal="center" vertical="center"/>
    </xf>
    <xf numFmtId="2" fontId="1" fillId="0" borderId="15" xfId="0" applyNumberFormat="1" applyFont="1" applyBorder="1" applyAlignment="1">
      <alignment horizontal="center" vertical="center"/>
    </xf>
    <xf numFmtId="2" fontId="1" fillId="0" borderId="26" xfId="0" applyNumberFormat="1" applyFont="1" applyBorder="1" applyAlignment="1">
      <alignment horizontal="center" vertical="center"/>
    </xf>
    <xf numFmtId="0" fontId="5" fillId="5" borderId="27" xfId="0" applyFont="1" applyFill="1" applyBorder="1" applyAlignment="1">
      <alignment horizontal="center" vertical="center"/>
    </xf>
    <xf numFmtId="164" fontId="2" fillId="0" borderId="0" xfId="0" applyNumberFormat="1" applyFont="1" applyAlignment="1">
      <alignment horizontal="center" vertical="center"/>
    </xf>
    <xf numFmtId="164" fontId="2" fillId="0" borderId="19" xfId="0" applyNumberFormat="1" applyFont="1" applyBorder="1" applyAlignment="1">
      <alignment horizontal="center" vertical="center"/>
    </xf>
    <xf numFmtId="0" fontId="15" fillId="0" borderId="0" xfId="0" applyFont="1" applyAlignment="1">
      <alignment vertical="center"/>
    </xf>
    <xf numFmtId="0" fontId="2" fillId="0" borderId="15" xfId="0" applyFont="1" applyBorder="1" applyAlignment="1">
      <alignment horizontal="center" vertical="center"/>
    </xf>
    <xf numFmtId="0" fontId="2" fillId="0" borderId="0" xfId="0" applyFont="1" applyAlignment="1">
      <alignment horizontal="left"/>
    </xf>
    <xf numFmtId="0" fontId="0" fillId="0" borderId="0" xfId="0" applyAlignment="1">
      <alignment horizontal="left" vertical="center" indent="1"/>
    </xf>
    <xf numFmtId="0" fontId="14" fillId="5" borderId="28" xfId="0" applyFont="1" applyFill="1" applyBorder="1" applyAlignment="1">
      <alignment horizontal="center" vertical="center"/>
    </xf>
    <xf numFmtId="1" fontId="1" fillId="0" borderId="0" xfId="0" applyNumberFormat="1" applyFont="1" applyAlignment="1">
      <alignment horizontal="center" vertical="center"/>
    </xf>
    <xf numFmtId="2" fontId="1" fillId="0" borderId="0" xfId="0" applyNumberFormat="1" applyFont="1" applyAlignment="1">
      <alignment horizontal="center" vertical="center"/>
    </xf>
    <xf numFmtId="1" fontId="1" fillId="0" borderId="26" xfId="0" applyNumberFormat="1" applyFont="1" applyBorder="1" applyAlignment="1">
      <alignment horizontal="center" vertical="center"/>
    </xf>
    <xf numFmtId="0" fontId="18" fillId="8" borderId="0" xfId="0" applyFont="1" applyFill="1" applyAlignment="1">
      <alignment horizontal="left"/>
    </xf>
    <xf numFmtId="0" fontId="2" fillId="0" borderId="0" xfId="0" applyFont="1" applyAlignment="1">
      <alignment vertical="center"/>
    </xf>
    <xf numFmtId="0" fontId="2" fillId="11" borderId="0" xfId="0" applyFont="1" applyFill="1" applyAlignment="1">
      <alignment horizontal="center" vertical="center"/>
    </xf>
    <xf numFmtId="164" fontId="2" fillId="0" borderId="19" xfId="0" applyNumberFormat="1" applyFont="1" applyBorder="1" applyAlignment="1">
      <alignment vertical="center"/>
    </xf>
    <xf numFmtId="0" fontId="1" fillId="2" borderId="16" xfId="0" applyFont="1" applyFill="1" applyBorder="1" applyAlignment="1">
      <alignment horizontal="right" vertical="center"/>
    </xf>
    <xf numFmtId="0" fontId="19" fillId="0" borderId="0" xfId="0" applyFont="1" applyAlignment="1">
      <alignment vertical="center"/>
    </xf>
    <xf numFmtId="10" fontId="2" fillId="0" borderId="0" xfId="1" applyNumberFormat="1" applyFont="1" applyFill="1" applyBorder="1" applyAlignment="1">
      <alignment horizontal="center" vertical="center"/>
    </xf>
    <xf numFmtId="0" fontId="2" fillId="0" borderId="29" xfId="0" applyFont="1" applyBorder="1" applyAlignment="1">
      <alignment horizontal="left" vertical="center"/>
    </xf>
    <xf numFmtId="0" fontId="2" fillId="0" borderId="29" xfId="0" applyFont="1" applyBorder="1" applyAlignment="1">
      <alignment horizontal="center" vertical="center"/>
    </xf>
    <xf numFmtId="0" fontId="14" fillId="0" borderId="30" xfId="0" applyFont="1" applyBorder="1" applyAlignment="1">
      <alignment horizontal="center" vertical="center"/>
    </xf>
    <xf numFmtId="0" fontId="4" fillId="0" borderId="29" xfId="0" applyFont="1" applyBorder="1" applyAlignment="1">
      <alignment horizontal="left" vertical="center"/>
    </xf>
    <xf numFmtId="0" fontId="5" fillId="0" borderId="19" xfId="0" applyFont="1" applyBorder="1" applyAlignment="1">
      <alignment horizontal="center" vertical="center"/>
    </xf>
    <xf numFmtId="0" fontId="2" fillId="0" borderId="0" xfId="0" applyFont="1" applyAlignment="1">
      <alignment horizontal="right" vertical="center"/>
    </xf>
    <xf numFmtId="0" fontId="5" fillId="0" borderId="19" xfId="0" applyFont="1" applyBorder="1" applyAlignment="1">
      <alignment horizontal="right" vertical="center"/>
    </xf>
    <xf numFmtId="0" fontId="5" fillId="0" borderId="19" xfId="0" applyFont="1" applyBorder="1" applyAlignment="1">
      <alignment horizontal="left" vertical="center"/>
    </xf>
    <xf numFmtId="0" fontId="2" fillId="0" borderId="19" xfId="0" applyFont="1" applyBorder="1" applyAlignment="1">
      <alignment horizontal="right" vertical="center"/>
    </xf>
    <xf numFmtId="0" fontId="2" fillId="0" borderId="25" xfId="0" applyFont="1" applyBorder="1" applyAlignment="1">
      <alignment horizontal="center" vertical="center"/>
    </xf>
    <xf numFmtId="0" fontId="2" fillId="0" borderId="20" xfId="0" applyFont="1" applyBorder="1" applyAlignment="1">
      <alignment horizontal="center" vertical="center"/>
    </xf>
    <xf numFmtId="0" fontId="2" fillId="0" borderId="27" xfId="0" applyFont="1" applyBorder="1" applyAlignment="1">
      <alignment horizontal="center" vertical="center"/>
    </xf>
    <xf numFmtId="0" fontId="4" fillId="0" borderId="27" xfId="0" applyFont="1" applyBorder="1" applyAlignment="1">
      <alignment horizontal="center" vertical="center"/>
    </xf>
    <xf numFmtId="0" fontId="23" fillId="2" borderId="34" xfId="0" applyFont="1" applyFill="1" applyBorder="1" applyAlignment="1">
      <alignment horizontal="center" vertical="center"/>
    </xf>
    <xf numFmtId="0" fontId="20" fillId="12" borderId="32" xfId="0" applyFont="1" applyFill="1" applyBorder="1" applyAlignment="1">
      <alignment horizontal="center" vertical="center"/>
    </xf>
    <xf numFmtId="0" fontId="20" fillId="12" borderId="33" xfId="0" applyFont="1" applyFill="1" applyBorder="1" applyAlignment="1">
      <alignment horizontal="center" vertical="center"/>
    </xf>
    <xf numFmtId="0" fontId="23" fillId="2" borderId="32" xfId="0" applyFont="1" applyFill="1" applyBorder="1" applyAlignment="1">
      <alignment horizontal="center" vertical="center"/>
    </xf>
    <xf numFmtId="0" fontId="16" fillId="6" borderId="34" xfId="0" applyFont="1" applyFill="1" applyBorder="1" applyAlignment="1">
      <alignment horizontal="right" vertical="center"/>
    </xf>
    <xf numFmtId="164" fontId="16" fillId="0" borderId="34" xfId="0" applyNumberFormat="1" applyFont="1" applyBorder="1" applyAlignment="1">
      <alignment horizontal="center" vertical="center"/>
    </xf>
    <xf numFmtId="164" fontId="16" fillId="0" borderId="22" xfId="0" applyNumberFormat="1" applyFont="1" applyBorder="1" applyAlignment="1">
      <alignment horizontal="center" vertical="center"/>
    </xf>
    <xf numFmtId="0" fontId="24" fillId="0" borderId="0" xfId="0" applyFont="1" applyAlignment="1">
      <alignment horizontal="left" vertical="center"/>
    </xf>
    <xf numFmtId="0" fontId="25" fillId="0" borderId="0" xfId="0" applyFont="1" applyAlignment="1">
      <alignment horizontal="left" vertical="center"/>
    </xf>
    <xf numFmtId="0" fontId="5" fillId="0" borderId="0" xfId="0" applyFont="1" applyAlignment="1">
      <alignment horizontal="left" vertical="center"/>
    </xf>
    <xf numFmtId="0" fontId="0" fillId="0" borderId="25" xfId="0" applyBorder="1"/>
    <xf numFmtId="0" fontId="21" fillId="0" borderId="0" xfId="0" applyFont="1" applyAlignment="1">
      <alignment horizontal="left" vertical="center"/>
    </xf>
    <xf numFmtId="0" fontId="4" fillId="0" borderId="28" xfId="0" applyFont="1" applyBorder="1" applyAlignment="1">
      <alignment horizontal="center"/>
    </xf>
    <xf numFmtId="0" fontId="4" fillId="0" borderId="26" xfId="0" applyFont="1" applyBorder="1" applyAlignment="1">
      <alignment horizontal="center"/>
    </xf>
    <xf numFmtId="0" fontId="4" fillId="6" borderId="34" xfId="0" applyFont="1" applyFill="1" applyBorder="1" applyAlignment="1">
      <alignment horizontal="left"/>
    </xf>
    <xf numFmtId="0" fontId="4" fillId="6" borderId="22" xfId="0" applyFont="1" applyFill="1" applyBorder="1" applyAlignment="1">
      <alignment horizontal="left"/>
    </xf>
    <xf numFmtId="0" fontId="2" fillId="11" borderId="0" xfId="0" applyFont="1" applyFill="1" applyAlignment="1">
      <alignment vertical="center"/>
    </xf>
    <xf numFmtId="0" fontId="15" fillId="0" borderId="19" xfId="0" applyFont="1" applyBorder="1" applyAlignment="1">
      <alignment vertical="center"/>
    </xf>
    <xf numFmtId="0" fontId="20" fillId="12" borderId="0" xfId="0" applyFont="1" applyFill="1" applyAlignment="1">
      <alignment horizontal="center" vertical="center"/>
    </xf>
    <xf numFmtId="164" fontId="16" fillId="0" borderId="0" xfId="0" applyNumberFormat="1" applyFont="1" applyAlignment="1">
      <alignment horizontal="center" vertical="center"/>
    </xf>
    <xf numFmtId="164" fontId="14" fillId="0" borderId="0" xfId="0" applyNumberFormat="1" applyFont="1" applyAlignment="1">
      <alignment horizontal="center" vertical="center"/>
    </xf>
    <xf numFmtId="164" fontId="2" fillId="0" borderId="15" xfId="0" applyNumberFormat="1" applyFont="1" applyBorder="1" applyAlignment="1">
      <alignment vertical="center"/>
    </xf>
    <xf numFmtId="2" fontId="20" fillId="0" borderId="0" xfId="0" applyNumberFormat="1" applyFont="1" applyAlignment="1">
      <alignment horizontal="center" vertical="center"/>
    </xf>
    <xf numFmtId="2" fontId="20" fillId="0" borderId="36" xfId="0" applyNumberFormat="1" applyFont="1" applyBorder="1" applyAlignment="1">
      <alignment horizontal="center" vertical="center"/>
    </xf>
    <xf numFmtId="167" fontId="2" fillId="0" borderId="15" xfId="0" applyNumberFormat="1" applyFont="1" applyBorder="1" applyAlignment="1">
      <alignment horizontal="center" vertical="center"/>
    </xf>
    <xf numFmtId="167" fontId="14" fillId="0" borderId="0" xfId="0" applyNumberFormat="1" applyFont="1" applyAlignment="1">
      <alignment horizontal="center" vertical="center"/>
    </xf>
    <xf numFmtId="0" fontId="12" fillId="0" borderId="0" xfId="0" applyFont="1" applyAlignment="1">
      <alignment horizontal="center"/>
    </xf>
    <xf numFmtId="0" fontId="12" fillId="0" borderId="0" xfId="0" applyFont="1" applyAlignment="1">
      <alignment horizontal="center" vertical="center"/>
    </xf>
    <xf numFmtId="0" fontId="0" fillId="0" borderId="0" xfId="0" pivotButton="1" applyAlignment="1">
      <alignment horizontal="center"/>
    </xf>
    <xf numFmtId="0" fontId="7" fillId="4" borderId="16" xfId="0" applyFont="1" applyFill="1" applyBorder="1" applyAlignment="1">
      <alignment horizontal="center"/>
    </xf>
    <xf numFmtId="164" fontId="0" fillId="0" borderId="0" xfId="0" applyNumberFormat="1" applyAlignment="1">
      <alignment horizontal="center"/>
    </xf>
    <xf numFmtId="0" fontId="13" fillId="0" borderId="0" xfId="0" applyFont="1" applyAlignment="1">
      <alignment horizontal="center" vertical="center"/>
    </xf>
    <xf numFmtId="10" fontId="13" fillId="0" borderId="0" xfId="1" applyNumberFormat="1" applyFont="1" applyAlignment="1">
      <alignment horizontal="center"/>
    </xf>
    <xf numFmtId="0" fontId="13" fillId="4" borderId="16" xfId="0" applyFont="1" applyFill="1" applyBorder="1" applyAlignment="1">
      <alignment horizontal="center" vertical="center"/>
    </xf>
    <xf numFmtId="10" fontId="12" fillId="0" borderId="0" xfId="1" applyNumberFormat="1" applyFont="1" applyBorder="1" applyAlignment="1">
      <alignment horizontal="center" vertical="center"/>
    </xf>
    <xf numFmtId="0" fontId="9" fillId="7" borderId="0" xfId="1" applyNumberFormat="1" applyFont="1" applyFill="1" applyAlignment="1">
      <alignment horizontal="center" vertical="center"/>
    </xf>
    <xf numFmtId="0" fontId="7" fillId="0" borderId="18" xfId="0" applyFont="1" applyBorder="1"/>
    <xf numFmtId="1" fontId="0" fillId="0" borderId="0" xfId="0" applyNumberFormat="1" applyAlignment="1">
      <alignment horizontal="center" vertical="center"/>
    </xf>
    <xf numFmtId="0" fontId="13" fillId="4" borderId="0" xfId="0" applyFont="1" applyFill="1" applyAlignment="1">
      <alignment horizontal="center" vertical="center"/>
    </xf>
    <xf numFmtId="0" fontId="13" fillId="4" borderId="1" xfId="0" applyFont="1" applyFill="1" applyBorder="1" applyAlignment="1">
      <alignment horizontal="center" vertical="center"/>
    </xf>
    <xf numFmtId="0" fontId="13" fillId="0" borderId="0" xfId="0" applyFont="1" applyAlignment="1">
      <alignment horizontal="center"/>
    </xf>
    <xf numFmtId="0" fontId="7" fillId="4" borderId="1" xfId="0" applyFont="1" applyFill="1" applyBorder="1" applyAlignment="1">
      <alignment horizontal="center"/>
    </xf>
    <xf numFmtId="10" fontId="13" fillId="4" borderId="1" xfId="1" applyNumberFormat="1" applyFont="1" applyFill="1" applyBorder="1" applyAlignment="1">
      <alignment horizontal="center" vertical="center"/>
    </xf>
    <xf numFmtId="0" fontId="13" fillId="4" borderId="37" xfId="0" applyFont="1" applyFill="1" applyBorder="1" applyAlignment="1">
      <alignment horizontal="center" vertical="center"/>
    </xf>
    <xf numFmtId="10" fontId="28" fillId="0" borderId="17" xfId="1" applyNumberFormat="1" applyFont="1" applyBorder="1" applyAlignment="1">
      <alignment horizontal="center" vertical="center"/>
    </xf>
    <xf numFmtId="10" fontId="28" fillId="4" borderId="38" xfId="1" applyNumberFormat="1" applyFont="1" applyFill="1" applyBorder="1" applyAlignment="1">
      <alignment horizontal="center" vertical="center"/>
    </xf>
    <xf numFmtId="0" fontId="0" fillId="0" borderId="23" xfId="0" applyBorder="1" applyAlignment="1">
      <alignment horizontal="center"/>
    </xf>
    <xf numFmtId="0" fontId="0" fillId="0" borderId="23" xfId="0" pivotButton="1" applyBorder="1" applyAlignment="1">
      <alignment horizontal="center"/>
    </xf>
    <xf numFmtId="0" fontId="7" fillId="4" borderId="23" xfId="0" applyFont="1" applyFill="1" applyBorder="1" applyAlignment="1">
      <alignment horizontal="center"/>
    </xf>
    <xf numFmtId="0" fontId="7" fillId="0" borderId="23" xfId="0" applyFont="1" applyBorder="1" applyAlignment="1">
      <alignment horizontal="center"/>
    </xf>
    <xf numFmtId="0" fontId="7" fillId="4" borderId="23" xfId="0" applyFont="1" applyFill="1" applyBorder="1" applyAlignment="1">
      <alignment horizontal="right"/>
    </xf>
    <xf numFmtId="0" fontId="27" fillId="0" borderId="23" xfId="0" applyFont="1" applyBorder="1" applyAlignment="1">
      <alignment horizontal="center"/>
    </xf>
    <xf numFmtId="0" fontId="10" fillId="4" borderId="23" xfId="0" applyFont="1" applyFill="1" applyBorder="1" applyAlignment="1">
      <alignment horizontal="center"/>
    </xf>
    <xf numFmtId="0" fontId="10" fillId="0" borderId="23" xfId="0" applyFont="1" applyBorder="1" applyAlignment="1">
      <alignment horizontal="center"/>
    </xf>
    <xf numFmtId="0" fontId="7" fillId="0" borderId="0" xfId="0" applyFont="1" applyAlignment="1">
      <alignment horizontal="center" vertical="center"/>
    </xf>
    <xf numFmtId="0" fontId="7" fillId="4" borderId="23" xfId="0" applyFont="1" applyFill="1" applyBorder="1" applyAlignment="1">
      <alignment horizontal="center" vertical="center"/>
    </xf>
    <xf numFmtId="10" fontId="0" fillId="0" borderId="23" xfId="1" applyNumberFormat="1" applyFont="1" applyBorder="1" applyAlignment="1">
      <alignment horizontal="center"/>
    </xf>
    <xf numFmtId="10" fontId="7" fillId="0" borderId="23" xfId="1" applyNumberFormat="1" applyFont="1" applyBorder="1" applyAlignment="1">
      <alignment horizontal="center"/>
    </xf>
    <xf numFmtId="0" fontId="7" fillId="4" borderId="35" xfId="0" applyFont="1" applyFill="1" applyBorder="1"/>
    <xf numFmtId="10" fontId="7" fillId="0" borderId="0" xfId="1" applyNumberFormat="1" applyFont="1" applyAlignment="1">
      <alignment horizontal="center" vertical="center"/>
    </xf>
    <xf numFmtId="1" fontId="0" fillId="0" borderId="0" xfId="1" applyNumberFormat="1" applyFont="1" applyAlignment="1">
      <alignment horizontal="center" vertical="center"/>
    </xf>
    <xf numFmtId="168" fontId="0" fillId="0" borderId="0" xfId="0" applyNumberFormat="1" applyAlignment="1">
      <alignment horizontal="center" vertical="center"/>
    </xf>
    <xf numFmtId="2" fontId="0" fillId="0" borderId="0" xfId="0" applyNumberFormat="1" applyAlignment="1">
      <alignment horizontal="center" vertical="center"/>
    </xf>
    <xf numFmtId="10" fontId="7" fillId="0" borderId="23" xfId="1" applyNumberFormat="1" applyFont="1" applyBorder="1" applyAlignment="1">
      <alignment horizontal="center" vertical="center"/>
    </xf>
    <xf numFmtId="0" fontId="13" fillId="0" borderId="19" xfId="0" applyFont="1" applyBorder="1" applyAlignment="1">
      <alignment horizontal="center"/>
    </xf>
    <xf numFmtId="0" fontId="13" fillId="0" borderId="26" xfId="0" applyFont="1" applyBorder="1" applyAlignment="1">
      <alignment horizontal="center" vertical="center"/>
    </xf>
    <xf numFmtId="0" fontId="12" fillId="0" borderId="15" xfId="0" applyFont="1" applyBorder="1" applyAlignment="1">
      <alignment horizontal="center" vertical="center"/>
    </xf>
    <xf numFmtId="10" fontId="12" fillId="0" borderId="15" xfId="1" applyNumberFormat="1" applyFont="1" applyBorder="1" applyAlignment="1">
      <alignment horizontal="center" vertical="center"/>
    </xf>
    <xf numFmtId="1" fontId="12" fillId="0" borderId="15" xfId="1" applyNumberFormat="1" applyFont="1" applyBorder="1" applyAlignment="1">
      <alignment horizontal="center" vertical="center"/>
    </xf>
    <xf numFmtId="10" fontId="13" fillId="0" borderId="28" xfId="1" applyNumberFormat="1" applyFont="1" applyBorder="1" applyAlignment="1">
      <alignment horizontal="center" vertical="center"/>
    </xf>
    <xf numFmtId="0" fontId="13" fillId="0" borderId="20" xfId="0" applyFont="1" applyBorder="1" applyAlignment="1">
      <alignment horizontal="center" vertical="center"/>
    </xf>
    <xf numFmtId="0" fontId="13" fillId="0" borderId="33" xfId="0" applyFont="1" applyBorder="1" applyAlignment="1">
      <alignment horizontal="center"/>
    </xf>
    <xf numFmtId="10" fontId="29" fillId="0" borderId="17" xfId="1" applyNumberFormat="1" applyFont="1" applyBorder="1" applyAlignment="1">
      <alignment horizontal="center"/>
    </xf>
    <xf numFmtId="9" fontId="13" fillId="0" borderId="32" xfId="0" applyNumberFormat="1" applyFont="1" applyBorder="1" applyAlignment="1">
      <alignment horizontal="center" vertical="center"/>
    </xf>
    <xf numFmtId="0" fontId="29" fillId="5" borderId="0" xfId="0" applyFont="1" applyFill="1" applyAlignment="1">
      <alignment horizontal="center" vertical="center"/>
    </xf>
    <xf numFmtId="0" fontId="28" fillId="5" borderId="0" xfId="0" applyFont="1" applyFill="1" applyAlignment="1">
      <alignment horizontal="center" vertical="center"/>
    </xf>
    <xf numFmtId="0" fontId="29" fillId="5" borderId="41" xfId="0" applyFont="1" applyFill="1" applyBorder="1" applyAlignment="1">
      <alignment horizontal="center" vertical="center"/>
    </xf>
    <xf numFmtId="0" fontId="29" fillId="5" borderId="41" xfId="0" applyFont="1" applyFill="1" applyBorder="1" applyAlignment="1">
      <alignment horizontal="left" vertical="center"/>
    </xf>
    <xf numFmtId="0" fontId="29" fillId="5" borderId="42" xfId="0" applyFont="1" applyFill="1" applyBorder="1" applyAlignment="1">
      <alignment horizontal="left" vertical="center"/>
    </xf>
    <xf numFmtId="0" fontId="29" fillId="5" borderId="43" xfId="0" applyFont="1" applyFill="1" applyBorder="1" applyAlignment="1">
      <alignment horizontal="center" vertical="center"/>
    </xf>
    <xf numFmtId="0" fontId="12" fillId="5" borderId="45" xfId="0" applyFont="1" applyFill="1" applyBorder="1" applyAlignment="1">
      <alignment horizontal="center" vertical="center"/>
    </xf>
    <xf numFmtId="0" fontId="13" fillId="5" borderId="45" xfId="0" applyFont="1" applyFill="1" applyBorder="1" applyAlignment="1">
      <alignment horizontal="center" vertical="center"/>
    </xf>
    <xf numFmtId="0" fontId="28" fillId="5" borderId="43" xfId="0" applyFont="1" applyFill="1" applyBorder="1" applyAlignment="1">
      <alignment horizontal="center" vertical="center"/>
    </xf>
    <xf numFmtId="0" fontId="12" fillId="5" borderId="46" xfId="0" applyFont="1" applyFill="1" applyBorder="1" applyAlignment="1">
      <alignment horizontal="center" vertical="center"/>
    </xf>
    <xf numFmtId="0" fontId="12" fillId="13" borderId="0" xfId="0" applyFont="1" applyFill="1" applyAlignment="1">
      <alignment horizontal="center" vertical="center"/>
    </xf>
    <xf numFmtId="0" fontId="1" fillId="2" borderId="44" xfId="0" applyFont="1" applyFill="1" applyBorder="1" applyAlignment="1">
      <alignment horizontal="center" vertical="center"/>
    </xf>
    <xf numFmtId="0" fontId="1" fillId="2" borderId="39" xfId="0" applyFont="1" applyFill="1" applyBorder="1" applyAlignment="1">
      <alignment horizontal="center" vertical="center"/>
    </xf>
    <xf numFmtId="0" fontId="31" fillId="2" borderId="39" xfId="0" applyFont="1" applyFill="1" applyBorder="1" applyAlignment="1">
      <alignment horizontal="center" vertical="center"/>
    </xf>
    <xf numFmtId="0" fontId="31" fillId="2" borderId="40" xfId="0" applyFont="1" applyFill="1" applyBorder="1" applyAlignment="1">
      <alignment horizontal="center" vertical="center"/>
    </xf>
    <xf numFmtId="0" fontId="12" fillId="0" borderId="19" xfId="0" applyFont="1" applyBorder="1" applyAlignment="1">
      <alignment horizontal="center" vertical="center"/>
    </xf>
    <xf numFmtId="0" fontId="12" fillId="0" borderId="29" xfId="0" applyFont="1" applyBorder="1" applyAlignment="1">
      <alignment horizontal="center" vertical="center"/>
    </xf>
    <xf numFmtId="0" fontId="4" fillId="0" borderId="19" xfId="0" applyFont="1" applyBorder="1" applyAlignment="1">
      <alignment vertical="center"/>
    </xf>
    <xf numFmtId="0" fontId="13" fillId="8" borderId="0" xfId="0" applyFont="1" applyFill="1" applyAlignment="1">
      <alignment horizontal="center" vertical="center"/>
    </xf>
    <xf numFmtId="0" fontId="17" fillId="6" borderId="0" xfId="0" applyFont="1" applyFill="1" applyAlignment="1">
      <alignment horizontal="right" vertical="center"/>
    </xf>
    <xf numFmtId="0" fontId="16" fillId="6" borderId="0" xfId="0" applyFont="1" applyFill="1" applyAlignment="1">
      <alignment horizontal="right" vertical="center"/>
    </xf>
    <xf numFmtId="0" fontId="0" fillId="6" borderId="0" xfId="0" applyFill="1" applyAlignment="1">
      <alignment horizontal="center"/>
    </xf>
    <xf numFmtId="0" fontId="2" fillId="11" borderId="0" xfId="0" applyFont="1" applyFill="1" applyAlignment="1">
      <alignment horizontal="center" vertical="center"/>
    </xf>
    <xf numFmtId="0" fontId="15" fillId="0" borderId="25" xfId="0" applyFont="1" applyBorder="1" applyAlignment="1">
      <alignment horizontal="left" vertical="top"/>
    </xf>
    <xf numFmtId="0" fontId="16" fillId="0" borderId="33" xfId="0" applyFont="1" applyBorder="1" applyAlignment="1">
      <alignment horizontal="center" vertical="center"/>
    </xf>
    <xf numFmtId="0" fontId="16" fillId="0" borderId="26" xfId="0" applyFont="1" applyBorder="1" applyAlignment="1">
      <alignment horizontal="center" vertical="center"/>
    </xf>
    <xf numFmtId="0" fontId="4" fillId="0" borderId="25" xfId="0" applyFont="1" applyBorder="1" applyAlignment="1">
      <alignment horizontal="center" vertical="center"/>
    </xf>
    <xf numFmtId="0" fontId="5" fillId="0" borderId="25" xfId="0" applyFont="1" applyBorder="1" applyAlignment="1">
      <alignment horizontal="center" vertical="center"/>
    </xf>
    <xf numFmtId="0" fontId="19" fillId="0" borderId="0" xfId="0" applyFont="1" applyAlignment="1">
      <alignment horizontal="center" vertical="center"/>
    </xf>
    <xf numFmtId="0" fontId="4" fillId="0" borderId="31" xfId="0" applyFont="1" applyBorder="1" applyAlignment="1">
      <alignment horizontal="center" vertical="center"/>
    </xf>
    <xf numFmtId="0" fontId="15" fillId="0" borderId="25" xfId="0" applyFont="1" applyBorder="1" applyAlignment="1">
      <alignment horizontal="left" vertical="center"/>
    </xf>
    <xf numFmtId="0" fontId="26" fillId="2" borderId="35" xfId="0" applyFont="1" applyFill="1" applyBorder="1" applyAlignment="1">
      <alignment horizontal="center" vertical="center"/>
    </xf>
    <xf numFmtId="0" fontId="26" fillId="2" borderId="26" xfId="0" applyFont="1" applyFill="1" applyBorder="1" applyAlignment="1">
      <alignment horizontal="center" vertical="center"/>
    </xf>
    <xf numFmtId="0" fontId="16" fillId="0" borderId="32" xfId="0" applyFont="1" applyBorder="1" applyAlignment="1">
      <alignment horizontal="center" vertical="center"/>
    </xf>
    <xf numFmtId="0" fontId="16" fillId="0" borderId="28" xfId="0" applyFont="1" applyBorder="1" applyAlignment="1">
      <alignment horizontal="center" vertical="center"/>
    </xf>
    <xf numFmtId="0" fontId="30" fillId="5" borderId="45" xfId="0" applyFont="1" applyFill="1" applyBorder="1" applyAlignment="1">
      <alignment horizontal="center" vertical="center"/>
    </xf>
    <xf numFmtId="0" fontId="30" fillId="5" borderId="46" xfId="0" applyFont="1" applyFill="1" applyBorder="1" applyAlignment="1">
      <alignment horizontal="center" vertical="center"/>
    </xf>
    <xf numFmtId="0" fontId="28" fillId="5" borderId="44" xfId="0" applyFont="1" applyFill="1" applyBorder="1" applyAlignment="1">
      <alignment horizontal="center" vertical="center"/>
    </xf>
    <xf numFmtId="0" fontId="28" fillId="5" borderId="45" xfId="0" applyFont="1" applyFill="1" applyBorder="1" applyAlignment="1">
      <alignment horizontal="center" vertical="center"/>
    </xf>
    <xf numFmtId="0" fontId="28" fillId="5" borderId="46" xfId="0" applyFont="1" applyFill="1" applyBorder="1" applyAlignment="1">
      <alignment horizontal="center" vertical="center"/>
    </xf>
    <xf numFmtId="0" fontId="13" fillId="5" borderId="45" xfId="0" applyFont="1" applyFill="1" applyBorder="1" applyAlignment="1">
      <alignment horizontal="center" vertical="center"/>
    </xf>
    <xf numFmtId="0" fontId="13" fillId="5" borderId="46" xfId="0" applyFont="1" applyFill="1" applyBorder="1" applyAlignment="1">
      <alignment horizontal="center" vertical="center"/>
    </xf>
    <xf numFmtId="0" fontId="10" fillId="4" borderId="35" xfId="0" applyFont="1" applyFill="1" applyBorder="1" applyAlignment="1">
      <alignment horizontal="center"/>
    </xf>
    <xf numFmtId="0" fontId="10" fillId="4" borderId="25" xfId="0" applyFont="1" applyFill="1" applyBorder="1" applyAlignment="1">
      <alignment horizontal="center"/>
    </xf>
    <xf numFmtId="0" fontId="10" fillId="4" borderId="27" xfId="0" applyFont="1" applyFill="1" applyBorder="1" applyAlignment="1">
      <alignment horizontal="center"/>
    </xf>
    <xf numFmtId="0" fontId="7" fillId="4" borderId="35" xfId="0" applyFont="1" applyFill="1" applyBorder="1" applyAlignment="1">
      <alignment horizontal="center"/>
    </xf>
    <xf numFmtId="0" fontId="7" fillId="4" borderId="25" xfId="0" applyFont="1" applyFill="1" applyBorder="1" applyAlignment="1">
      <alignment horizontal="center"/>
    </xf>
    <xf numFmtId="0" fontId="7" fillId="4" borderId="27" xfId="0" applyFont="1" applyFill="1" applyBorder="1" applyAlignment="1">
      <alignment horizontal="center"/>
    </xf>
    <xf numFmtId="0" fontId="13" fillId="4" borderId="0" xfId="0" applyFont="1" applyFill="1" applyAlignment="1">
      <alignment horizontal="center" vertical="center"/>
    </xf>
    <xf numFmtId="164" fontId="9" fillId="2" borderId="23" xfId="0" applyNumberFormat="1" applyFont="1" applyFill="1" applyBorder="1" applyAlignment="1">
      <alignment horizontal="center"/>
    </xf>
    <xf numFmtId="0" fontId="9" fillId="2" borderId="0" xfId="0" applyFont="1" applyFill="1" applyAlignment="1">
      <alignment horizontal="center" vertical="center"/>
    </xf>
    <xf numFmtId="0" fontId="7" fillId="0" borderId="0" xfId="0" applyFont="1" applyAlignment="1">
      <alignment horizontal="left" vertical="center"/>
    </xf>
    <xf numFmtId="0" fontId="7" fillId="8" borderId="0" xfId="0" applyFont="1" applyFill="1" applyAlignment="1">
      <alignment horizontal="center" vertical="center"/>
    </xf>
    <xf numFmtId="0" fontId="7" fillId="0" borderId="0" xfId="0" applyFont="1" applyAlignment="1">
      <alignment horizontal="center"/>
    </xf>
    <xf numFmtId="0" fontId="7" fillId="0" borderId="0" xfId="0" applyFont="1" applyAlignment="1">
      <alignment horizontal="center" vertical="center"/>
    </xf>
    <xf numFmtId="10" fontId="10" fillId="0" borderId="0" xfId="0" applyNumberFormat="1" applyFont="1" applyAlignment="1">
      <alignment horizontal="left" vertical="center"/>
    </xf>
    <xf numFmtId="0" fontId="8" fillId="0" borderId="0" xfId="0" applyFont="1" applyAlignment="1">
      <alignment horizontal="center" vertical="center"/>
    </xf>
    <xf numFmtId="0" fontId="8" fillId="0" borderId="15" xfId="0" applyFont="1" applyBorder="1" applyAlignment="1">
      <alignment horizontal="center" vertical="center"/>
    </xf>
    <xf numFmtId="0" fontId="7" fillId="0" borderId="17" xfId="0" applyFont="1" applyBorder="1" applyAlignment="1">
      <alignment horizontal="center" vertical="center"/>
    </xf>
    <xf numFmtId="0" fontId="7" fillId="0" borderId="15" xfId="0" applyFont="1" applyBorder="1" applyAlignment="1">
      <alignment horizontal="center" vertical="center"/>
    </xf>
    <xf numFmtId="0" fontId="0" fillId="0" borderId="0" xfId="0" applyAlignment="1">
      <alignment horizontal="center" vertical="center"/>
    </xf>
    <xf numFmtId="0" fontId="7" fillId="0" borderId="0" xfId="0" applyFont="1" applyAlignment="1">
      <alignment horizontal="left"/>
    </xf>
    <xf numFmtId="0" fontId="1" fillId="2" borderId="9" xfId="0" applyFont="1" applyFill="1" applyBorder="1" applyAlignment="1">
      <alignment horizontal="center" vertical="center"/>
    </xf>
    <xf numFmtId="0" fontId="1" fillId="2" borderId="0" xfId="0" applyFont="1" applyFill="1" applyAlignment="1">
      <alignment horizontal="center" vertical="center"/>
    </xf>
  </cellXfs>
  <cellStyles count="3">
    <cellStyle name="Currency" xfId="2" builtinId="4"/>
    <cellStyle name="Normal" xfId="0" builtinId="0"/>
    <cellStyle name="Percent" xfId="1" builtinId="5"/>
  </cellStyles>
  <dxfs count="245">
    <dxf>
      <font>
        <color rgb="FF9C0006"/>
      </font>
      <fill>
        <patternFill>
          <bgColor rgb="FFFFC7CE"/>
        </patternFill>
      </fill>
    </dxf>
    <dxf>
      <font>
        <b/>
        <i val="0"/>
        <color theme="1"/>
      </font>
      <fill>
        <patternFill>
          <bgColor theme="5"/>
        </patternFill>
      </fill>
    </dxf>
    <dxf>
      <font>
        <b/>
        <i val="0"/>
        <color theme="0"/>
      </font>
      <fill>
        <patternFill>
          <bgColor rgb="FFFF0000"/>
        </patternFill>
      </fill>
    </dxf>
    <dxf>
      <font>
        <color rgb="FF9C0006"/>
      </font>
      <fill>
        <patternFill>
          <bgColor rgb="FFFFC7CE"/>
        </patternFill>
      </fill>
    </dxf>
    <dxf>
      <font>
        <b/>
        <i val="0"/>
        <color theme="1"/>
      </font>
      <fill>
        <patternFill>
          <bgColor theme="5"/>
        </patternFill>
      </fill>
    </dxf>
    <dxf>
      <font>
        <b/>
        <i val="0"/>
        <color theme="0"/>
      </font>
      <fill>
        <patternFill>
          <bgColor rgb="FFFF0000"/>
        </patternFill>
      </fill>
    </dxf>
    <dxf>
      <font>
        <b val="0"/>
        <i val="0"/>
        <strike val="0"/>
        <condense val="0"/>
        <extend val="0"/>
        <outline val="0"/>
        <shadow val="0"/>
        <u val="none"/>
        <vertAlign val="baseline"/>
        <sz val="12"/>
        <color theme="1"/>
        <name val="Aptos Display"/>
        <family val="2"/>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Aptos Display"/>
        <family val="2"/>
        <scheme val="none"/>
      </font>
      <fill>
        <patternFill patternType="solid">
          <fgColor theme="4" tint="0.79998168889431442"/>
          <bgColor theme="4" tint="0.79998168889431442"/>
        </patternFill>
      </fill>
      <alignment horizontal="center" vertical="center"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2"/>
        <color theme="0"/>
        <name val="Aptos Display"/>
        <family val="2"/>
        <scheme val="none"/>
      </font>
      <fill>
        <patternFill patternType="solid">
          <fgColor indexed="64"/>
          <bgColor rgb="FF002060"/>
        </patternFill>
      </fill>
      <alignment horizontal="center" vertical="center" textRotation="0" wrapText="0" indent="0" justifyLastLine="0" shrinkToFit="0" readingOrder="0"/>
    </dxf>
    <dxf>
      <border outline="0">
        <top style="thin">
          <color theme="4" tint="0.39997558519241921"/>
        </top>
      </border>
    </dxf>
    <dxf>
      <border outline="0">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2"/>
        <color theme="0"/>
        <name val="Aptos Display"/>
        <family val="2"/>
        <scheme val="none"/>
      </font>
      <fill>
        <patternFill patternType="solid">
          <fgColor indexed="64"/>
          <bgColor rgb="FF00206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0"/>
        <name val="Aptos Display"/>
        <family val="2"/>
        <scheme val="none"/>
      </font>
      <fill>
        <patternFill patternType="solid">
          <fgColor indexed="64"/>
          <bgColor rgb="FF00206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Aptos Display"/>
        <family val="2"/>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Aptos Display"/>
        <family val="2"/>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font>
        <b val="0"/>
        <i val="0"/>
        <strike val="0"/>
        <condense val="0"/>
        <extend val="0"/>
        <outline val="0"/>
        <shadow val="0"/>
        <u val="none"/>
        <vertAlign val="baseline"/>
        <sz val="12"/>
        <color theme="1"/>
        <name val="Aptos Display"/>
        <family val="2"/>
        <scheme val="none"/>
      </font>
      <fill>
        <patternFill patternType="solid">
          <fgColor theme="4" tint="0.79998168889431442"/>
          <bgColor theme="4" tint="0.79998168889431442"/>
        </patternFill>
      </fill>
      <alignment horizontal="center" vertical="center"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2"/>
        <color theme="0"/>
        <name val="Aptos Display"/>
        <family val="2"/>
        <scheme val="none"/>
      </font>
      <fill>
        <patternFill patternType="solid">
          <fgColor indexed="64"/>
          <bgColor rgb="FF00206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0"/>
        <name val="Aptos Display"/>
        <family val="2"/>
        <scheme val="none"/>
      </font>
      <fill>
        <patternFill patternType="solid">
          <fgColor indexed="64"/>
          <bgColor rgb="FF00206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numFmt numFmtId="165" formatCode="_-[$$-409]* #,##0.00_ ;_-[$$-409]* \-#,##0.00\ ;_-[$$-409]* &quot;-&quot;??_ ;_-@_ "/>
      <alignment horizontal="general"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numFmt numFmtId="164" formatCode="_-[$$-409]* #,##0_ ;_-[$$-409]* \-#,##0\ ;_-[$$-409]* &quot;-&quot;??_ ;_-@_ "/>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numFmt numFmtId="164" formatCode="_-[$$-409]* #,##0_ ;_-[$$-409]* \-#,##0\ ;_-[$$-409]* &quot;-&quot;??_ ;_-@_ "/>
      <alignment horizontal="general"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numFmt numFmtId="164" formatCode="_-[$$-409]* #,##0_ ;_-[$$-409]* \-#,##0\ ;_-[$$-409]* &quot;-&quot;??_ ;_-@_ "/>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numFmt numFmtId="19" formatCode="dd/mm/yyyy"/>
      <alignment horizontal="center" vertical="center" textRotation="0" wrapText="0" indent="0" justifyLastLine="0" shrinkToFit="0" readingOrder="0"/>
    </dxf>
    <dxf>
      <font>
        <b/>
        <i val="0"/>
        <strike val="0"/>
        <condense val="0"/>
        <extend val="0"/>
        <outline val="0"/>
        <shadow val="0"/>
        <u val="none"/>
        <vertAlign val="baseline"/>
        <sz val="12"/>
        <color theme="0"/>
        <name val="Aptos Display"/>
        <family val="2"/>
        <scheme val="none"/>
      </font>
      <numFmt numFmtId="0" formatCode="General"/>
      <fill>
        <patternFill patternType="solid">
          <fgColor indexed="64"/>
          <bgColor rgb="FF00206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numFmt numFmtId="164" formatCode="_-[$$-409]* #,##0_ ;_-[$$-409]* \-#,##0\ ;_-[$$-409]* &quot;-&quot;??_ ;_-@_ "/>
      <alignment horizontal="general"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numFmt numFmtId="164" formatCode="_-[$$-409]* #,##0_ ;_-[$$-409]* \-#,##0\ ;_-[$$-409]* &quot;-&quot;??_ ;_-@_ "/>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0"/>
        <name val="Aptos Display"/>
        <family val="2"/>
        <scheme val="none"/>
      </font>
      <fill>
        <patternFill patternType="solid">
          <fgColor indexed="64"/>
          <bgColor rgb="FF00206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0"/>
        <name val="Aptos Display"/>
        <family val="2"/>
        <scheme val="none"/>
      </font>
      <fill>
        <patternFill patternType="solid">
          <fgColor indexed="64"/>
          <bgColor rgb="FF00206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numFmt numFmtId="164" formatCode="_-[$$-409]* #,##0_ ;_-[$$-409]* \-#,##0\ ;_-[$$-409]* &quot;-&quot;??_ ;_-@_ "/>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0"/>
        <name val="Aptos Display"/>
        <family val="2"/>
        <scheme val="none"/>
      </font>
      <fill>
        <patternFill patternType="solid">
          <fgColor indexed="64"/>
          <bgColor rgb="FF00206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Aptos Display"/>
        <family val="2"/>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Display"/>
        <family val="2"/>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Display"/>
        <family val="2"/>
        <scheme val="none"/>
      </font>
      <numFmt numFmtId="164" formatCode="_-[$$-409]* #,##0_ ;_-[$$-409]* \-#,##0\ ;_-[$$-409]* &quot;-&quot;??_ ;_-@_ "/>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Display"/>
        <family val="2"/>
        <scheme val="none"/>
      </font>
      <numFmt numFmtId="164" formatCode="_-[$$-409]* #,##0_ ;_-[$$-409]* \-#,##0\ ;_-[$$-409]* &quot;-&quot;??_ ;_-@_ "/>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Display"/>
        <family val="2"/>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Display"/>
        <family val="2"/>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Display"/>
        <family val="2"/>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Display"/>
        <family val="2"/>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Display"/>
        <family val="2"/>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Display"/>
        <family val="2"/>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Display"/>
        <family val="2"/>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Display"/>
        <family val="2"/>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Display"/>
        <family val="2"/>
        <scheme val="none"/>
      </font>
      <numFmt numFmtId="19" formatCode="dd/mm/yyyy"/>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Display"/>
        <family val="2"/>
        <scheme val="none"/>
      </font>
      <numFmt numFmtId="19" formatCode="dd/mm/yyyy"/>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Display"/>
        <family val="2"/>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Aptos Display"/>
        <family val="2"/>
        <scheme val="none"/>
      </font>
      <fill>
        <patternFill patternType="solid">
          <fgColor theme="4" tint="0.79998168889431442"/>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2"/>
        <color theme="0"/>
        <name val="Aptos Display"/>
        <family val="2"/>
        <scheme val="none"/>
      </font>
      <fill>
        <patternFill patternType="solid">
          <fgColor indexed="64"/>
          <bgColor rgb="FF002060"/>
        </patternFill>
      </fill>
      <alignment horizontal="center" vertical="center" textRotation="0" wrapText="0" indent="0" justifyLastLine="0" shrinkToFit="0" readingOrder="0"/>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4" formatCode="0.00%"/>
    </dxf>
    <dxf>
      <numFmt numFmtId="164" formatCode="_-[$$-409]* #,##0_ ;_-[$$-409]* \-#,##0\ ;_-[$$-409]* &quot;-&quot;??_ ;_-@_ "/>
    </dxf>
    <dxf>
      <numFmt numFmtId="164" formatCode="_-[$$-409]* #,##0_ ;_-[$$-409]* \-#,##0\ ;_-[$$-409]* &quot;-&quot;??_ ;_-@_ "/>
    </dxf>
    <dxf>
      <numFmt numFmtId="0" formatCode="General"/>
    </dxf>
    <dxf>
      <numFmt numFmtId="164" formatCode="_-[$$-409]* #,##0_ ;_-[$$-409]* \-#,##0\ ;_-[$$-409]* &quot;-&quot;??_ ;_-@_ "/>
    </dxf>
    <dxf>
      <alignment vertical="center"/>
    </dxf>
    <dxf>
      <alignment horizontal="center"/>
    </dxf>
    <dxf>
      <numFmt numFmtId="0" formatCode="General"/>
    </dxf>
    <dxf>
      <numFmt numFmtId="14" formatCode="0.00%"/>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0" formatCode="General"/>
    </dxf>
    <dxf>
      <numFmt numFmtId="0" formatCode="General"/>
    </dxf>
    <dxf>
      <numFmt numFmtId="164" formatCode="_-[$$-409]* #,##0_ ;_-[$$-409]* \-#,##0\ ;_-[$$-409]* &quot;-&quot;??_ ;_-@_ "/>
    </dxf>
    <dxf>
      <numFmt numFmtId="164" formatCode="_-[$$-409]* #,##0_ ;_-[$$-409]* \-#,##0\ ;_-[$$-409]* &quot;-&quot;??_ ;_-@_ "/>
    </dxf>
    <dxf>
      <numFmt numFmtId="164" formatCode="_-[$$-409]* #,##0_ ;_-[$$-409]* \-#,##0\ ;_-[$$-409]* &quot;-&quot;??_ ;_-@_ "/>
    </dxf>
    <dxf>
      <alignment vertical="center"/>
    </dxf>
    <dxf>
      <alignment horizontal="center"/>
    </dxf>
    <dxf>
      <numFmt numFmtId="0" formatCode="General"/>
    </dxf>
    <dxf>
      <numFmt numFmtId="14" formatCode="0.00%"/>
    </dxf>
    <dxf>
      <numFmt numFmtId="164" formatCode="_-[$$-409]* #,##0_ ;_-[$$-409]* \-#,##0\ ;_-[$$-409]* &quot;-&quot;??_ ;_-@_ "/>
    </dxf>
    <dxf>
      <alignment vertical="center"/>
    </dxf>
    <dxf>
      <alignment horizontal="center"/>
    </dxf>
    <dxf>
      <numFmt numFmtId="0" formatCode="General"/>
    </dxf>
    <dxf>
      <numFmt numFmtId="14" formatCode="0.00%"/>
    </dxf>
    <dxf>
      <numFmt numFmtId="0" formatCode="General"/>
    </dxf>
    <dxf>
      <numFmt numFmtId="164" formatCode="_-[$$-409]* #,##0_ ;_-[$$-409]* \-#,##0\ ;_-[$$-409]* &quot;-&quot;??_ ;_-@_ "/>
    </dxf>
    <dxf>
      <numFmt numFmtId="14" formatCode="0.00%"/>
    </dxf>
    <dxf>
      <numFmt numFmtId="0" formatCode="General"/>
    </dxf>
    <dxf>
      <alignment vertical="center"/>
    </dxf>
    <dxf>
      <alignment horizontal="center"/>
    </dxf>
    <dxf>
      <numFmt numFmtId="0" formatCode="General"/>
    </dxf>
    <dxf>
      <numFmt numFmtId="14" formatCode="0.00%"/>
    </dxf>
    <dxf>
      <numFmt numFmtId="164" formatCode="_-[$$-409]* #,##0_ ;_-[$$-409]* \-#,##0\ ;_-[$$-409]* &quot;-&quot;??_ ;_-@_ "/>
    </dxf>
    <dxf>
      <alignment vertical="center"/>
    </dxf>
    <dxf>
      <alignment horizontal="center"/>
    </dxf>
    <dxf>
      <numFmt numFmtId="0" formatCode="General"/>
    </dxf>
    <dxf>
      <numFmt numFmtId="14" formatCode="0.00%"/>
    </dxf>
    <dxf>
      <numFmt numFmtId="164" formatCode="_-[$$-409]* #,##0_ ;_-[$$-409]* \-#,##0\ ;_-[$$-409]* &quot;-&quot;??_ ;_-@_ "/>
    </dxf>
    <dxf>
      <alignment vertical="center"/>
    </dxf>
    <dxf>
      <alignment horizontal="center"/>
    </dxf>
    <dxf>
      <numFmt numFmtId="0" formatCode="General"/>
    </dxf>
    <dxf>
      <numFmt numFmtId="14" formatCode="0.00%"/>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5" formatCode="_-[$$-409]* #,##0.00_ ;_-[$$-409]* \-#,##0.00\ ;_-[$$-409]* &quot;-&quot;??_ ;_-@_ "/>
    </dxf>
    <dxf>
      <numFmt numFmtId="14" formatCode="0.00%"/>
    </dxf>
    <dxf>
      <alignment horizontal="center" indent="0"/>
    </dxf>
    <dxf>
      <alignment horizontal="center" indent="0"/>
    </dxf>
    <dxf>
      <alignment horizontal="center" indent="0"/>
    </dxf>
    <dxf>
      <numFmt numFmtId="164" formatCode="_-[$$-409]* #,##0_ ;_-[$$-409]* \-#,##0\ ;_-[$$-409]* &quot;-&quot;??_ ;_-@_ "/>
    </dxf>
    <dxf>
      <numFmt numFmtId="0" formatCode="General"/>
    </dxf>
    <dxf>
      <numFmt numFmtId="0" formatCode="General"/>
    </dxf>
    <dxf>
      <alignment vertical="center"/>
    </dxf>
    <dxf>
      <alignment horizontal="center"/>
    </dxf>
    <dxf>
      <numFmt numFmtId="0" formatCode="General"/>
    </dxf>
    <dxf>
      <numFmt numFmtId="14" formatCode="0.00%"/>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64" formatCode="_-[$$-409]* #,##0_ ;_-[$$-409]* \-#,##0\ ;_-[$$-409]* &quot;-&quot;??_ ;_-@_ "/>
    </dxf>
    <dxf>
      <numFmt numFmtId="0" formatCode="General"/>
    </dxf>
    <dxf>
      <numFmt numFmtId="164" formatCode="_-[$$-409]* #,##0_ ;_-[$$-409]* \-#,##0\ ;_-[$$-409]* &quot;-&quot;??_ ;_-@_ "/>
    </dxf>
    <dxf>
      <numFmt numFmtId="0" formatCode="General"/>
    </dxf>
    <dxf>
      <numFmt numFmtId="164" formatCode="_-[$$-409]* #,##0_ ;_-[$$-409]* \-#,##0\ ;_-[$$-409]* &quot;-&quot;??_ ;_-@_ "/>
    </dxf>
    <dxf>
      <alignment vertical="center"/>
    </dxf>
    <dxf>
      <alignment horizontal="center"/>
    </dxf>
    <dxf>
      <numFmt numFmtId="0" formatCode="General"/>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numFmt numFmtId="0" formatCode="General"/>
    </dxf>
    <dxf>
      <numFmt numFmtId="164" formatCode="_-[$$-409]* #,##0_ ;_-[$$-409]* \-#,##0\ ;_-[$$-409]* &quot;-&quot;??_ ;_-@_ "/>
    </dxf>
    <dxf>
      <alignment vertical="center"/>
    </dxf>
    <dxf>
      <alignment horizontal="center"/>
    </dxf>
    <dxf>
      <numFmt numFmtId="0" formatCode="General"/>
    </dxf>
    <dxf>
      <numFmt numFmtId="14" formatCode="0.00%"/>
    </dxf>
    <dxf>
      <numFmt numFmtId="14" formatCode="0.00%"/>
    </dxf>
    <dxf>
      <alignment vertical="center"/>
    </dxf>
    <dxf>
      <alignment horizontal="center"/>
    </dxf>
    <dxf>
      <numFmt numFmtId="0" formatCode="General"/>
    </dxf>
    <dxf>
      <numFmt numFmtId="14" formatCode="0.00%"/>
    </dxf>
    <dxf>
      <numFmt numFmtId="164" formatCode="_-[$$-409]* #,##0_ ;_-[$$-409]* \-#,##0\ ;_-[$$-409]* &quot;-&quot;??_ ;_-@_ "/>
    </dxf>
    <dxf>
      <numFmt numFmtId="164" formatCode="_-[$$-409]* #,##0_ ;_-[$$-409]* \-#,##0\ ;_-[$$-409]* &quot;-&quot;??_ ;_-@_ "/>
    </dxf>
    <dxf>
      <numFmt numFmtId="0" formatCode="General"/>
    </dxf>
    <dxf>
      <numFmt numFmtId="0" formatCode="General"/>
    </dxf>
    <dxf>
      <numFmt numFmtId="164" formatCode="_-[$$-409]* #,##0_ ;_-[$$-409]* \-#,##0\ ;_-[$$-409]* &quot;-&quot;??_ ;_-@_ "/>
    </dxf>
    <dxf>
      <numFmt numFmtId="164" formatCode="_-[$$-409]* #,##0_ ;_-[$$-409]* \-#,##0\ ;_-[$$-409]* &quot;-&quot;??_ ;_-@_ "/>
    </dxf>
    <dxf>
      <numFmt numFmtId="0" formatCode="General"/>
    </dxf>
    <dxf>
      <fill>
        <patternFill>
          <bgColor rgb="FF0070C0"/>
        </patternFill>
      </fill>
    </dxf>
    <dxf>
      <font>
        <b/>
        <i val="0"/>
        <sz val="12"/>
        <color theme="0"/>
        <name val="Aptos Display"/>
        <family val="2"/>
        <scheme val="none"/>
      </font>
      <fill>
        <patternFill>
          <bgColor rgb="FF002060"/>
        </patternFill>
      </fill>
    </dxf>
  </dxfs>
  <tableStyles count="1" defaultTableStyle="TableStyleMedium2" defaultPivotStyle="PivotStyleLight16">
    <tableStyle name="Slicer Style 1" pivot="0" table="0" count="2" xr9:uid="{E33C8875-F332-478F-97EA-C039F41DB91B}">
      <tableStyleElement type="wholeTable" dxfId="244"/>
      <tableStyleElement type="headerRow" dxfId="243"/>
    </tableStyle>
  </tableStyles>
  <colors>
    <mruColors>
      <color rgb="FF05035D"/>
      <color rgb="FFFEFCAA"/>
      <color rgb="FF14065A"/>
      <color rgb="FF4A162A"/>
    </mruColors>
  </colors>
  <extLst>
    <ext xmlns:x14="http://schemas.microsoft.com/office/spreadsheetml/2009/9/main" uri="{EB79DEF2-80B8-43e5-95BD-54CBDDF9020C}">
      <x14:slicerStyles defaultSlicerStyle="Slicer Style 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1.xml"/><Relationship Id="rId21" Type="http://schemas.openxmlformats.org/officeDocument/2006/relationships/pivotCacheDefinition" Target="pivotCache/pivotCacheDefinition6.xml"/><Relationship Id="rId42" Type="http://schemas.openxmlformats.org/officeDocument/2006/relationships/pivotCacheDefinition" Target="pivotCache/pivotCacheDefinition27.xml"/><Relationship Id="rId47" Type="http://schemas.openxmlformats.org/officeDocument/2006/relationships/pivotCacheDefinition" Target="pivotCache/pivotCacheDefinition32.xml"/><Relationship Id="rId63" Type="http://schemas.microsoft.com/office/2017/06/relationships/rdRichValueTypes" Target="richData/rdRichValueTypes.xml"/><Relationship Id="rId68" Type="http://schemas.openxmlformats.org/officeDocument/2006/relationships/customXml" Target="../customXml/item2.xml"/><Relationship Id="rId84" Type="http://schemas.openxmlformats.org/officeDocument/2006/relationships/customXml" Target="../customXml/item18.xml"/><Relationship Id="rId89" Type="http://schemas.openxmlformats.org/officeDocument/2006/relationships/customXml" Target="../customXml/item23.xml"/><Relationship Id="rId16" Type="http://schemas.openxmlformats.org/officeDocument/2006/relationships/pivotCacheDefinition" Target="pivotCache/pivotCacheDefinition1.xml"/><Relationship Id="rId11" Type="http://schemas.openxmlformats.org/officeDocument/2006/relationships/worksheet" Target="worksheets/sheet11.xml"/><Relationship Id="rId32" Type="http://schemas.openxmlformats.org/officeDocument/2006/relationships/pivotCacheDefinition" Target="pivotCache/pivotCacheDefinition17.xml"/><Relationship Id="rId37" Type="http://schemas.openxmlformats.org/officeDocument/2006/relationships/pivotCacheDefinition" Target="pivotCache/pivotCacheDefinition22.xml"/><Relationship Id="rId53" Type="http://schemas.microsoft.com/office/2007/relationships/slicerCache" Target="slicerCaches/slicerCache4.xml"/><Relationship Id="rId58" Type="http://schemas.openxmlformats.org/officeDocument/2006/relationships/styles" Target="styles.xml"/><Relationship Id="rId74" Type="http://schemas.openxmlformats.org/officeDocument/2006/relationships/customXml" Target="../customXml/item8.xml"/><Relationship Id="rId79" Type="http://schemas.openxmlformats.org/officeDocument/2006/relationships/customXml" Target="../customXml/item13.xml"/><Relationship Id="rId102" Type="http://schemas.openxmlformats.org/officeDocument/2006/relationships/customXml" Target="../customXml/item36.xml"/><Relationship Id="rId5" Type="http://schemas.openxmlformats.org/officeDocument/2006/relationships/worksheet" Target="worksheets/sheet5.xml"/><Relationship Id="rId90" Type="http://schemas.openxmlformats.org/officeDocument/2006/relationships/customXml" Target="../customXml/item24.xml"/><Relationship Id="rId95" Type="http://schemas.openxmlformats.org/officeDocument/2006/relationships/customXml" Target="../customXml/item29.xml"/><Relationship Id="rId22" Type="http://schemas.openxmlformats.org/officeDocument/2006/relationships/pivotCacheDefinition" Target="pivotCache/pivotCacheDefinition7.xml"/><Relationship Id="rId27" Type="http://schemas.openxmlformats.org/officeDocument/2006/relationships/pivotCacheDefinition" Target="pivotCache/pivotCacheDefinition12.xml"/><Relationship Id="rId43" Type="http://schemas.openxmlformats.org/officeDocument/2006/relationships/pivotCacheDefinition" Target="pivotCache/pivotCacheDefinition28.xml"/><Relationship Id="rId48" Type="http://schemas.openxmlformats.org/officeDocument/2006/relationships/pivotCacheDefinition" Target="pivotCache/pivotCacheDefinition33.xml"/><Relationship Id="rId64" Type="http://schemas.openxmlformats.org/officeDocument/2006/relationships/powerPivotData" Target="model/item.data"/><Relationship Id="rId69" Type="http://schemas.openxmlformats.org/officeDocument/2006/relationships/customXml" Target="../customXml/item3.xml"/><Relationship Id="rId80" Type="http://schemas.openxmlformats.org/officeDocument/2006/relationships/customXml" Target="../customXml/item14.xml"/><Relationship Id="rId85" Type="http://schemas.openxmlformats.org/officeDocument/2006/relationships/customXml" Target="../customXml/item19.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33" Type="http://schemas.openxmlformats.org/officeDocument/2006/relationships/pivotCacheDefinition" Target="pivotCache/pivotCacheDefinition18.xml"/><Relationship Id="rId38" Type="http://schemas.openxmlformats.org/officeDocument/2006/relationships/pivotCacheDefinition" Target="pivotCache/pivotCacheDefinition23.xml"/><Relationship Id="rId59" Type="http://schemas.openxmlformats.org/officeDocument/2006/relationships/sharedStrings" Target="sharedStrings.xml"/><Relationship Id="rId103" Type="http://schemas.openxmlformats.org/officeDocument/2006/relationships/customXml" Target="../customXml/item37.xml"/><Relationship Id="rId20" Type="http://schemas.openxmlformats.org/officeDocument/2006/relationships/pivotCacheDefinition" Target="pivotCache/pivotCacheDefinition5.xml"/><Relationship Id="rId41" Type="http://schemas.openxmlformats.org/officeDocument/2006/relationships/pivotCacheDefinition" Target="pivotCache/pivotCacheDefinition26.xml"/><Relationship Id="rId54" Type="http://schemas.microsoft.com/office/2007/relationships/slicerCache" Target="slicerCaches/slicerCache5.xml"/><Relationship Id="rId62" Type="http://schemas.microsoft.com/office/2017/06/relationships/rdRichValueStructure" Target="richData/rdrichvaluestructure.xml"/><Relationship Id="rId70" Type="http://schemas.openxmlformats.org/officeDocument/2006/relationships/customXml" Target="../customXml/item4.xml"/><Relationship Id="rId75" Type="http://schemas.openxmlformats.org/officeDocument/2006/relationships/customXml" Target="../customXml/item9.xml"/><Relationship Id="rId83" Type="http://schemas.openxmlformats.org/officeDocument/2006/relationships/customXml" Target="../customXml/item17.xml"/><Relationship Id="rId88" Type="http://schemas.openxmlformats.org/officeDocument/2006/relationships/customXml" Target="../customXml/item22.xml"/><Relationship Id="rId91" Type="http://schemas.openxmlformats.org/officeDocument/2006/relationships/customXml" Target="../customXml/item25.xml"/><Relationship Id="rId96"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pivotCacheDefinition" Target="pivotCache/pivotCacheDefinition13.xml"/><Relationship Id="rId36" Type="http://schemas.openxmlformats.org/officeDocument/2006/relationships/pivotCacheDefinition" Target="pivotCache/pivotCacheDefinition21.xml"/><Relationship Id="rId49" Type="http://schemas.openxmlformats.org/officeDocument/2006/relationships/pivotCacheDefinition" Target="pivotCache/pivotCacheDefinition34.xml"/><Relationship Id="rId57" Type="http://schemas.openxmlformats.org/officeDocument/2006/relationships/connections" Target="connections.xml"/><Relationship Id="rId10" Type="http://schemas.openxmlformats.org/officeDocument/2006/relationships/worksheet" Target="worksheets/sheet10.xml"/><Relationship Id="rId31" Type="http://schemas.openxmlformats.org/officeDocument/2006/relationships/pivotCacheDefinition" Target="pivotCache/pivotCacheDefinition16.xml"/><Relationship Id="rId44" Type="http://schemas.openxmlformats.org/officeDocument/2006/relationships/pivotCacheDefinition" Target="pivotCache/pivotCacheDefinition29.xml"/><Relationship Id="rId52" Type="http://schemas.microsoft.com/office/2007/relationships/slicerCache" Target="slicerCaches/slicerCache3.xml"/><Relationship Id="rId60" Type="http://schemas.openxmlformats.org/officeDocument/2006/relationships/sheetMetadata" Target="metadata.xml"/><Relationship Id="rId65" Type="http://schemas.microsoft.com/office/2017/10/relationships/person" Target="persons/person.xml"/><Relationship Id="rId73" Type="http://schemas.openxmlformats.org/officeDocument/2006/relationships/customXml" Target="../customXml/item7.xml"/><Relationship Id="rId78" Type="http://schemas.openxmlformats.org/officeDocument/2006/relationships/customXml" Target="../customXml/item12.xml"/><Relationship Id="rId81" Type="http://schemas.openxmlformats.org/officeDocument/2006/relationships/customXml" Target="../customXml/item15.xml"/><Relationship Id="rId86" Type="http://schemas.openxmlformats.org/officeDocument/2006/relationships/customXml" Target="../customXml/item20.xml"/><Relationship Id="rId94" Type="http://schemas.openxmlformats.org/officeDocument/2006/relationships/customXml" Target="../customXml/item28.xml"/><Relationship Id="rId99" Type="http://schemas.openxmlformats.org/officeDocument/2006/relationships/customXml" Target="../customXml/item33.xml"/><Relationship Id="rId101"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9" Type="http://schemas.openxmlformats.org/officeDocument/2006/relationships/pivotCacheDefinition" Target="pivotCache/pivotCacheDefinition24.xml"/><Relationship Id="rId34" Type="http://schemas.openxmlformats.org/officeDocument/2006/relationships/pivotCacheDefinition" Target="pivotCache/pivotCacheDefinition19.xml"/><Relationship Id="rId50" Type="http://schemas.microsoft.com/office/2007/relationships/slicerCache" Target="slicerCaches/slicerCache1.xml"/><Relationship Id="rId55" Type="http://schemas.microsoft.com/office/2007/relationships/slicerCache" Target="slicerCaches/slicerCache6.xml"/><Relationship Id="rId76" Type="http://schemas.openxmlformats.org/officeDocument/2006/relationships/customXml" Target="../customXml/item10.xml"/><Relationship Id="rId97" Type="http://schemas.openxmlformats.org/officeDocument/2006/relationships/customXml" Target="../customXml/item31.xml"/><Relationship Id="rId104" Type="http://schemas.openxmlformats.org/officeDocument/2006/relationships/customXml" Target="../customXml/item38.xml"/><Relationship Id="rId7" Type="http://schemas.openxmlformats.org/officeDocument/2006/relationships/worksheet" Target="worksheets/sheet7.xml"/><Relationship Id="rId71" Type="http://schemas.openxmlformats.org/officeDocument/2006/relationships/customXml" Target="../customXml/item5.xml"/><Relationship Id="rId92" Type="http://schemas.openxmlformats.org/officeDocument/2006/relationships/customXml" Target="../customXml/item26.xml"/><Relationship Id="rId2" Type="http://schemas.openxmlformats.org/officeDocument/2006/relationships/worksheet" Target="worksheets/sheet2.xml"/><Relationship Id="rId29" Type="http://schemas.openxmlformats.org/officeDocument/2006/relationships/pivotCacheDefinition" Target="pivotCache/pivotCacheDefinition14.xml"/><Relationship Id="rId24" Type="http://schemas.openxmlformats.org/officeDocument/2006/relationships/pivotCacheDefinition" Target="pivotCache/pivotCacheDefinition9.xml"/><Relationship Id="rId40" Type="http://schemas.openxmlformats.org/officeDocument/2006/relationships/pivotCacheDefinition" Target="pivotCache/pivotCacheDefinition25.xml"/><Relationship Id="rId45" Type="http://schemas.openxmlformats.org/officeDocument/2006/relationships/pivotCacheDefinition" Target="pivotCache/pivotCacheDefinition30.xml"/><Relationship Id="rId66" Type="http://schemas.openxmlformats.org/officeDocument/2006/relationships/calcChain" Target="calcChain.xml"/><Relationship Id="rId87" Type="http://schemas.openxmlformats.org/officeDocument/2006/relationships/customXml" Target="../customXml/item21.xml"/><Relationship Id="rId61" Type="http://schemas.microsoft.com/office/2017/06/relationships/rdRichValue" Target="richData/rdrichvalue.xml"/><Relationship Id="rId82" Type="http://schemas.openxmlformats.org/officeDocument/2006/relationships/customXml" Target="../customXml/item16.xml"/><Relationship Id="rId19" Type="http://schemas.openxmlformats.org/officeDocument/2006/relationships/pivotCacheDefinition" Target="pivotCache/pivotCacheDefinition4.xml"/><Relationship Id="rId14" Type="http://schemas.openxmlformats.org/officeDocument/2006/relationships/worksheet" Target="worksheets/sheet14.xml"/><Relationship Id="rId30" Type="http://schemas.openxmlformats.org/officeDocument/2006/relationships/pivotCacheDefinition" Target="pivotCache/pivotCacheDefinition15.xml"/><Relationship Id="rId35" Type="http://schemas.openxmlformats.org/officeDocument/2006/relationships/pivotCacheDefinition" Target="pivotCache/pivotCacheDefinition20.xml"/><Relationship Id="rId56" Type="http://schemas.openxmlformats.org/officeDocument/2006/relationships/theme" Target="theme/theme1.xml"/><Relationship Id="rId77" Type="http://schemas.openxmlformats.org/officeDocument/2006/relationships/customXml" Target="../customXml/item11.xml"/><Relationship Id="rId100" Type="http://schemas.openxmlformats.org/officeDocument/2006/relationships/customXml" Target="../customXml/item34.xml"/><Relationship Id="rId105" Type="http://schemas.openxmlformats.org/officeDocument/2006/relationships/customXml" Target="../customXml/item39.xml"/><Relationship Id="rId8" Type="http://schemas.openxmlformats.org/officeDocument/2006/relationships/worksheet" Target="worksheets/sheet8.xml"/><Relationship Id="rId51" Type="http://schemas.microsoft.com/office/2007/relationships/slicerCache" Target="slicerCaches/slicerCache2.xml"/><Relationship Id="rId72" Type="http://schemas.openxmlformats.org/officeDocument/2006/relationships/customXml" Target="../customXml/item6.xml"/><Relationship Id="rId93" Type="http://schemas.openxmlformats.org/officeDocument/2006/relationships/customXml" Target="../customXml/item27.xml"/><Relationship Id="rId98" Type="http://schemas.openxmlformats.org/officeDocument/2006/relationships/customXml" Target="../customXml/item32.xml"/><Relationship Id="rId3" Type="http://schemas.openxmlformats.org/officeDocument/2006/relationships/worksheet" Target="worksheets/sheet3.xml"/><Relationship Id="rId25" Type="http://schemas.openxmlformats.org/officeDocument/2006/relationships/pivotCacheDefinition" Target="pivotCache/pivotCacheDefinition10.xml"/><Relationship Id="rId46" Type="http://schemas.openxmlformats.org/officeDocument/2006/relationships/pivotCacheDefinition" Target="pivotCache/pivotCacheDefinition31.xml"/><Relationship Id="rId6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6.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8.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9.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0.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1.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2.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3.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4.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Ex1.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Ex2.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Ex3.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Ex4.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Ex5.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Ex6.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Ex7.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Ex8.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Ex9.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Ex10.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Ex11.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Ex12.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Ex13.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Ex14.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Ex15.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Ex16.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Data Analytics Project.xlsx]Pivot!Sales In USD</c:name>
    <c:fmtId val="26"/>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5400" cap="rnd" cmpd="sng" algn="ctr">
            <a:solidFill>
              <a:schemeClr val="accent2">
                <a:lumMod val="60000"/>
                <a:lumOff val="40000"/>
              </a:schemeClr>
            </a:solidFill>
            <a:round/>
          </a:ln>
          <a:effectLst/>
        </c:spPr>
        <c:marker>
          <c:symbol val="circle"/>
          <c:size val="7"/>
          <c:spPr>
            <a:solidFill>
              <a:schemeClr val="bg1"/>
            </a:solidFill>
            <a:ln w="9525" cap="flat" cmpd="sng" algn="ctr">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5400" cap="rnd" cmpd="sng" algn="ctr">
            <a:solidFill>
              <a:schemeClr val="accent2">
                <a:lumMod val="60000"/>
                <a:lumOff val="40000"/>
              </a:schemeClr>
            </a:solidFill>
            <a:round/>
          </a:ln>
          <a:effectLst/>
        </c:spPr>
        <c:marker>
          <c:symbol val="circle"/>
          <c:size val="7"/>
          <c:spPr>
            <a:solidFill>
              <a:schemeClr val="bg1"/>
            </a:solidFill>
            <a:ln w="9525" cap="flat" cmpd="sng" algn="ctr">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5400" cap="rnd" cmpd="sng" algn="ctr">
            <a:solidFill>
              <a:schemeClr val="accent2">
                <a:lumMod val="60000"/>
                <a:lumOff val="40000"/>
              </a:schemeClr>
            </a:solidFill>
            <a:round/>
          </a:ln>
          <a:effectLst/>
        </c:spPr>
        <c:marker>
          <c:symbol val="circle"/>
          <c:size val="7"/>
          <c:spPr>
            <a:solidFill>
              <a:schemeClr val="bg1"/>
            </a:solidFill>
            <a:ln w="9525" cap="flat" cmpd="sng" algn="ctr">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Pivot!$C$4</c:f>
              <c:strCache>
                <c:ptCount val="1"/>
                <c:pt idx="0">
                  <c:v>Total</c:v>
                </c:pt>
              </c:strCache>
            </c:strRef>
          </c:tx>
          <c:spPr>
            <a:ln w="25400" cap="rnd" cmpd="sng" algn="ctr">
              <a:solidFill>
                <a:schemeClr val="accent2">
                  <a:lumMod val="60000"/>
                  <a:lumOff val="40000"/>
                </a:schemeClr>
              </a:solidFill>
              <a:round/>
            </a:ln>
            <a:effectLst/>
          </c:spPr>
          <c:marker>
            <c:symbol val="circle"/>
            <c:size val="7"/>
            <c:spPr>
              <a:solidFill>
                <a:schemeClr val="bg1"/>
              </a:solidFill>
              <a:ln w="9525" cap="flat" cmpd="sng" algn="ctr">
                <a:noFill/>
                <a:round/>
              </a:ln>
              <a:effectLst/>
            </c:spPr>
          </c:marker>
          <c:cat>
            <c:multiLvlStrRef>
              <c:f>Pivot!$B$5:$B$20</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2003</c:v>
                  </c:pt>
                  <c:pt idx="4">
                    <c:v>2004</c:v>
                  </c:pt>
                  <c:pt idx="8">
                    <c:v>2005</c:v>
                  </c:pt>
                </c:lvl>
              </c:multiLvlStrCache>
            </c:multiLvlStrRef>
          </c:cat>
          <c:val>
            <c:numRef>
              <c:f>Pivot!$C$5:$C$20</c:f>
              <c:numCache>
                <c:formatCode>_-[$$-409]* #,##0_ ;_-[$$-409]* \-#,##0\ ;_-[$$-409]* "-"??_ ;_-@_ </c:formatCode>
                <c:ptCount val="12"/>
                <c:pt idx="0">
                  <c:v>291678</c:v>
                </c:pt>
                <c:pt idx="1">
                  <c:v>397260</c:v>
                </c:pt>
                <c:pt idx="2">
                  <c:v>436115</c:v>
                </c:pt>
                <c:pt idx="3">
                  <c:v>1127834</c:v>
                </c:pt>
                <c:pt idx="4">
                  <c:v>579705</c:v>
                </c:pt>
                <c:pt idx="5">
                  <c:v>321094</c:v>
                </c:pt>
                <c:pt idx="6">
                  <c:v>712020</c:v>
                </c:pt>
                <c:pt idx="7">
                  <c:v>1235742</c:v>
                </c:pt>
                <c:pt idx="8">
                  <c:v>627296</c:v>
                </c:pt>
                <c:pt idx="9">
                  <c:v>275503</c:v>
                </c:pt>
                <c:pt idx="10">
                  <c:v>571967</c:v>
                </c:pt>
                <c:pt idx="11">
                  <c:v>135654</c:v>
                </c:pt>
              </c:numCache>
            </c:numRef>
          </c:val>
          <c:smooth val="0"/>
          <c:extLst>
            <c:ext xmlns:c16="http://schemas.microsoft.com/office/drawing/2014/chart" uri="{C3380CC4-5D6E-409C-BE32-E72D297353CC}">
              <c16:uniqueId val="{00000000-24D4-498A-9601-D7E2FA23FC66}"/>
            </c:ext>
          </c:extLst>
        </c:ser>
        <c:dLbls>
          <c:showLegendKey val="0"/>
          <c:showVal val="0"/>
          <c:showCatName val="0"/>
          <c:showSerName val="0"/>
          <c:showPercent val="0"/>
          <c:showBubbleSize val="0"/>
        </c:dLbls>
        <c:dropLines>
          <c:spPr>
            <a:ln w="9525" cap="flat" cmpd="sng" algn="ctr">
              <a:solidFill>
                <a:schemeClr val="accent4">
                  <a:lumMod val="60000"/>
                  <a:lumOff val="40000"/>
                </a:schemeClr>
              </a:solidFill>
              <a:round/>
            </a:ln>
            <a:effectLst/>
          </c:spPr>
        </c:dropLines>
        <c:marker val="1"/>
        <c:smooth val="0"/>
        <c:axId val="632390224"/>
        <c:axId val="632392144"/>
      </c:lineChart>
      <c:catAx>
        <c:axId val="63239022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chemeClr val="bg1"/>
                </a:solidFill>
                <a:latin typeface="Aptos Display" panose="020B0004020202020204" pitchFamily="34" charset="0"/>
                <a:ea typeface="+mn-ea"/>
                <a:cs typeface="+mn-cs"/>
              </a:defRPr>
            </a:pPr>
            <a:endParaRPr lang="en-US"/>
          </a:p>
        </c:txPr>
        <c:crossAx val="632392144"/>
        <c:crosses val="autoZero"/>
        <c:auto val="1"/>
        <c:lblAlgn val="ctr"/>
        <c:lblOffset val="100"/>
        <c:noMultiLvlLbl val="0"/>
      </c:catAx>
      <c:valAx>
        <c:axId val="632392144"/>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spc="20" baseline="0">
                <a:solidFill>
                  <a:schemeClr val="bg1"/>
                </a:solidFill>
                <a:latin typeface="Aptos Display" panose="020B0004020202020204" pitchFamily="34" charset="0"/>
                <a:ea typeface="+mn-ea"/>
                <a:cs typeface="+mn-cs"/>
              </a:defRPr>
            </a:pPr>
            <a:endParaRPr lang="en-US"/>
          </a:p>
        </c:txPr>
        <c:crossAx val="63239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Data Analytics Project.xlsx]Pivot!Marketing Spend (Amt) Overtime</c:name>
    <c:fmtId val="37"/>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5400" cap="rnd" cmpd="sng" algn="ctr">
            <a:solidFill>
              <a:schemeClr val="accent2">
                <a:lumMod val="60000"/>
                <a:lumOff val="40000"/>
              </a:schemeClr>
            </a:solidFill>
            <a:round/>
          </a:ln>
          <a:effectLst/>
        </c:spPr>
        <c:marker>
          <c:symbol val="circle"/>
          <c:size val="7"/>
          <c:spPr>
            <a:solidFill>
              <a:schemeClr val="bg1"/>
            </a:solidFill>
            <a:ln w="9525" cap="flat" cmpd="sng" algn="ctr">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5400" cap="rnd" cmpd="sng" algn="ctr">
            <a:solidFill>
              <a:schemeClr val="accent2">
                <a:lumMod val="60000"/>
                <a:lumOff val="40000"/>
              </a:schemeClr>
            </a:solidFill>
            <a:round/>
          </a:ln>
          <a:effectLst/>
        </c:spPr>
        <c:marker>
          <c:symbol val="circle"/>
          <c:size val="7"/>
          <c:spPr>
            <a:solidFill>
              <a:schemeClr val="bg1"/>
            </a:solidFill>
            <a:ln w="9525" cap="flat" cmpd="sng" algn="ctr">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5400" cap="rnd" cmpd="sng" algn="ctr">
            <a:solidFill>
              <a:schemeClr val="accent2">
                <a:lumMod val="60000"/>
                <a:lumOff val="40000"/>
              </a:schemeClr>
            </a:solidFill>
            <a:round/>
          </a:ln>
          <a:effectLst/>
        </c:spPr>
        <c:marker>
          <c:symbol val="circle"/>
          <c:size val="7"/>
          <c:spPr>
            <a:solidFill>
              <a:schemeClr val="bg1"/>
            </a:solidFill>
            <a:ln w="9525" cap="flat" cmpd="sng" algn="ctr">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Pivot!$AL$4</c:f>
              <c:strCache>
                <c:ptCount val="1"/>
                <c:pt idx="0">
                  <c:v>Total</c:v>
                </c:pt>
              </c:strCache>
            </c:strRef>
          </c:tx>
          <c:spPr>
            <a:ln w="25400" cap="rnd" cmpd="sng" algn="ctr">
              <a:solidFill>
                <a:schemeClr val="accent2">
                  <a:lumMod val="60000"/>
                  <a:lumOff val="40000"/>
                </a:schemeClr>
              </a:solidFill>
              <a:round/>
            </a:ln>
            <a:effectLst/>
          </c:spPr>
          <c:marker>
            <c:symbol val="circle"/>
            <c:size val="7"/>
            <c:spPr>
              <a:solidFill>
                <a:schemeClr val="bg1"/>
              </a:solidFill>
              <a:ln w="9525" cap="flat" cmpd="sng" algn="ctr">
                <a:noFill/>
                <a:round/>
              </a:ln>
              <a:effectLst/>
            </c:spPr>
          </c:marker>
          <c:cat>
            <c:multiLvlStrRef>
              <c:f>Pivot!$AK$5:$AK$20</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2003</c:v>
                  </c:pt>
                  <c:pt idx="4">
                    <c:v>2004</c:v>
                  </c:pt>
                  <c:pt idx="8">
                    <c:v>2005</c:v>
                  </c:pt>
                </c:lvl>
              </c:multiLvlStrCache>
            </c:multiLvlStrRef>
          </c:cat>
          <c:val>
            <c:numRef>
              <c:f>Pivot!$AL$5:$AL$20</c:f>
              <c:numCache>
                <c:formatCode>_-[$$-409]* #,##0_ ;_-[$$-409]* \-#,##0\ ;_-[$$-409]* "-"??_ ;_-@_ </c:formatCode>
                <c:ptCount val="12"/>
                <c:pt idx="0">
                  <c:v>50506.344999999987</c:v>
                </c:pt>
                <c:pt idx="1">
                  <c:v>50506.344999999987</c:v>
                </c:pt>
                <c:pt idx="2">
                  <c:v>50506.344999999987</c:v>
                </c:pt>
                <c:pt idx="3">
                  <c:v>50506.344999999987</c:v>
                </c:pt>
                <c:pt idx="4">
                  <c:v>20315.925000000007</c:v>
                </c:pt>
                <c:pt idx="5">
                  <c:v>20315.925000000007</c:v>
                </c:pt>
                <c:pt idx="6">
                  <c:v>77432.677499999991</c:v>
                </c:pt>
                <c:pt idx="7">
                  <c:v>77432.677499999991</c:v>
                </c:pt>
                <c:pt idx="8">
                  <c:v>20315.925000000007</c:v>
                </c:pt>
                <c:pt idx="9">
                  <c:v>20315.925000000007</c:v>
                </c:pt>
                <c:pt idx="10">
                  <c:v>20315.925000000007</c:v>
                </c:pt>
                <c:pt idx="11">
                  <c:v>20315.925000000007</c:v>
                </c:pt>
              </c:numCache>
            </c:numRef>
          </c:val>
          <c:smooth val="0"/>
          <c:extLst>
            <c:ext xmlns:c16="http://schemas.microsoft.com/office/drawing/2014/chart" uri="{C3380CC4-5D6E-409C-BE32-E72D297353CC}">
              <c16:uniqueId val="{00000000-3580-47BE-BE92-417C9D0E8EC3}"/>
            </c:ext>
          </c:extLst>
        </c:ser>
        <c:dLbls>
          <c:showLegendKey val="0"/>
          <c:showVal val="0"/>
          <c:showCatName val="0"/>
          <c:showSerName val="0"/>
          <c:showPercent val="0"/>
          <c:showBubbleSize val="0"/>
        </c:dLbls>
        <c:dropLines>
          <c:spPr>
            <a:ln w="9525" cap="flat" cmpd="sng" algn="ctr">
              <a:solidFill>
                <a:schemeClr val="accent4">
                  <a:lumMod val="60000"/>
                  <a:lumOff val="40000"/>
                </a:schemeClr>
              </a:solidFill>
              <a:round/>
            </a:ln>
            <a:effectLst/>
          </c:spPr>
        </c:dropLines>
        <c:marker val="1"/>
        <c:smooth val="0"/>
        <c:axId val="639744191"/>
        <c:axId val="639746591"/>
      </c:lineChart>
      <c:catAx>
        <c:axId val="63974419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en-US" sz="900" b="1" i="0" u="none" strike="noStrike" kern="1200" spc="20" baseline="0">
                <a:solidFill>
                  <a:schemeClr val="bg1"/>
                </a:solidFill>
                <a:latin typeface="Aptos Display" panose="020B0004020202020204" pitchFamily="34" charset="0"/>
                <a:ea typeface="+mn-ea"/>
                <a:cs typeface="+mn-cs"/>
              </a:defRPr>
            </a:pPr>
            <a:endParaRPr lang="en-US"/>
          </a:p>
        </c:txPr>
        <c:crossAx val="639746591"/>
        <c:crosses val="autoZero"/>
        <c:auto val="1"/>
        <c:lblAlgn val="ctr"/>
        <c:lblOffset val="100"/>
        <c:noMultiLvlLbl val="0"/>
      </c:catAx>
      <c:valAx>
        <c:axId val="639746591"/>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50" b="1" i="0" u="none" strike="noStrike" kern="1200" spc="20" baseline="0">
                <a:solidFill>
                  <a:schemeClr val="bg1"/>
                </a:solidFill>
                <a:latin typeface="Aptos Display" panose="020B0004020202020204" pitchFamily="34" charset="0"/>
                <a:ea typeface="+mn-ea"/>
                <a:cs typeface="+mn-cs"/>
              </a:defRPr>
            </a:pPr>
            <a:endParaRPr lang="en-US"/>
          </a:p>
        </c:txPr>
        <c:crossAx val="63974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Data Analytics Project.xlsx]Pivot!Return By City</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2">
                      <a:lumMod val="1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pivotFmt>
      <c:pivotFmt>
        <c:idx val="6"/>
        <c:spPr>
          <a:solidFill>
            <a:srgbClr val="C00000"/>
          </a:solidFill>
          <a:ln>
            <a:no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pivotFmt>
      <c:pivotFmt>
        <c:idx val="8"/>
        <c:spPr>
          <a:solidFill>
            <a:srgbClr val="C00000"/>
          </a:solidFill>
          <a:ln>
            <a:noFill/>
          </a:ln>
          <a:effectLst/>
        </c:spPr>
      </c:pivotFmt>
      <c:pivotFmt>
        <c:idx val="9"/>
        <c:spPr>
          <a:solidFill>
            <a:srgbClr val="C00000"/>
          </a:solidFill>
          <a:ln>
            <a:noFill/>
          </a:ln>
          <a:effectLst/>
        </c:spPr>
      </c:pivotFmt>
      <c:pivotFmt>
        <c:idx val="10"/>
        <c:spPr>
          <a:solidFill>
            <a:srgbClr val="C00000"/>
          </a:solidFill>
          <a:ln>
            <a:no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00000"/>
          </a:solidFill>
          <a:ln>
            <a:noFill/>
          </a:ln>
          <a:effectLst/>
        </c:spPr>
      </c:pivotFmt>
      <c:pivotFmt>
        <c:idx val="12"/>
        <c:spPr>
          <a:solidFill>
            <a:srgbClr val="C00000"/>
          </a:solidFill>
          <a:ln>
            <a:noFill/>
          </a:ln>
          <a:effectLst/>
        </c:spPr>
      </c:pivotFmt>
      <c:pivotFmt>
        <c:idx val="13"/>
        <c:spPr>
          <a:solidFill>
            <a:srgbClr val="C00000"/>
          </a:solidFill>
          <a:ln>
            <a:noFill/>
          </a:ln>
          <a:effectLst/>
        </c:spPr>
      </c:pivotFmt>
      <c:pivotFmt>
        <c:idx val="14"/>
        <c:spPr>
          <a:solidFill>
            <a:srgbClr val="C00000"/>
          </a:solidFill>
          <a:ln>
            <a:no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C00000"/>
          </a:solidFill>
          <a:ln>
            <a:noFill/>
          </a:ln>
          <a:effectLst/>
        </c:spPr>
      </c:pivotFmt>
      <c:pivotFmt>
        <c:idx val="16"/>
        <c:spPr>
          <a:solidFill>
            <a:srgbClr val="C00000"/>
          </a:solidFill>
          <a:ln>
            <a:noFill/>
          </a:ln>
          <a:effectLst/>
        </c:spPr>
      </c:pivotFmt>
      <c:pivotFmt>
        <c:idx val="17"/>
        <c:spPr>
          <a:solidFill>
            <a:srgbClr val="C00000"/>
          </a:solidFill>
          <a:ln>
            <a:noFill/>
          </a:ln>
          <a:effectLst/>
        </c:spPr>
      </c:pivotFmt>
    </c:pivotFmts>
    <c:plotArea>
      <c:layout/>
      <c:barChart>
        <c:barDir val="bar"/>
        <c:grouping val="clustered"/>
        <c:varyColors val="0"/>
        <c:ser>
          <c:idx val="0"/>
          <c:order val="0"/>
          <c:tx>
            <c:strRef>
              <c:f>Pivot!$Q$4</c:f>
              <c:strCache>
                <c:ptCount val="1"/>
                <c:pt idx="0">
                  <c:v>Total</c:v>
                </c:pt>
              </c:strCache>
            </c:strRef>
          </c:tx>
          <c:spPr>
            <a:solidFill>
              <a:srgbClr val="C00000"/>
            </a:solidFill>
            <a:ln>
              <a:noFill/>
            </a:ln>
            <a:effectLst/>
          </c:spPr>
          <c:invertIfNegative val="0"/>
          <c:dPt>
            <c:idx val="7"/>
            <c:invertIfNegative val="0"/>
            <c:bubble3D val="0"/>
            <c:spPr>
              <a:solidFill>
                <a:srgbClr val="C00000"/>
              </a:solidFill>
              <a:ln>
                <a:noFill/>
              </a:ln>
              <a:effectLst/>
            </c:spPr>
            <c:extLst>
              <c:ext xmlns:c16="http://schemas.microsoft.com/office/drawing/2014/chart" uri="{C3380CC4-5D6E-409C-BE32-E72D297353CC}">
                <c16:uniqueId val="{00000001-0A54-4AD1-8D41-5D2BA92AA306}"/>
              </c:ext>
            </c:extLst>
          </c:dPt>
          <c:dPt>
            <c:idx val="8"/>
            <c:invertIfNegative val="0"/>
            <c:bubble3D val="0"/>
            <c:spPr>
              <a:solidFill>
                <a:srgbClr val="C00000"/>
              </a:solidFill>
              <a:ln>
                <a:noFill/>
              </a:ln>
              <a:effectLst/>
            </c:spPr>
            <c:extLst>
              <c:ext xmlns:c16="http://schemas.microsoft.com/office/drawing/2014/chart" uri="{C3380CC4-5D6E-409C-BE32-E72D297353CC}">
                <c16:uniqueId val="{00000003-0A54-4AD1-8D41-5D2BA92AA306}"/>
              </c:ext>
            </c:extLst>
          </c:dPt>
          <c:dPt>
            <c:idx val="9"/>
            <c:invertIfNegative val="0"/>
            <c:bubble3D val="0"/>
            <c:spPr>
              <a:solidFill>
                <a:srgbClr val="C00000"/>
              </a:solidFill>
              <a:ln>
                <a:noFill/>
              </a:ln>
              <a:effectLst/>
            </c:spPr>
            <c:extLst>
              <c:ext xmlns:c16="http://schemas.microsoft.com/office/drawing/2014/chart" uri="{C3380CC4-5D6E-409C-BE32-E72D297353CC}">
                <c16:uniqueId val="{00000005-0A54-4AD1-8D41-5D2BA92AA306}"/>
              </c:ext>
            </c:extLst>
          </c:dPt>
          <c:dLbls>
            <c:spPr>
              <a:solidFill>
                <a:schemeClr val="accent1">
                  <a:lumMod val="75000"/>
                </a:schemeClr>
              </a:solid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Pivot!$P$5:$P$15</c:f>
              <c:strCache>
                <c:ptCount val="10"/>
                <c:pt idx="0">
                  <c:v>Nantes</c:v>
                </c:pt>
                <c:pt idx="1">
                  <c:v>Liverpool</c:v>
                </c:pt>
                <c:pt idx="2">
                  <c:v>NYC</c:v>
                </c:pt>
                <c:pt idx="3">
                  <c:v>Pasadena</c:v>
                </c:pt>
                <c:pt idx="4">
                  <c:v>Boston</c:v>
                </c:pt>
                <c:pt idx="5">
                  <c:v>Chatswood</c:v>
                </c:pt>
                <c:pt idx="6">
                  <c:v>Boras</c:v>
                </c:pt>
                <c:pt idx="7">
                  <c:v>San Jose</c:v>
                </c:pt>
                <c:pt idx="8">
                  <c:v>Newark</c:v>
                </c:pt>
                <c:pt idx="9">
                  <c:v>Madrid</c:v>
                </c:pt>
              </c:strCache>
            </c:strRef>
          </c:cat>
          <c:val>
            <c:numRef>
              <c:f>Pivot!$Q$5:$Q$15</c:f>
              <c:numCache>
                <c:formatCode>General</c:formatCode>
                <c:ptCount val="10"/>
                <c:pt idx="0">
                  <c:v>427</c:v>
                </c:pt>
                <c:pt idx="1">
                  <c:v>429</c:v>
                </c:pt>
                <c:pt idx="2">
                  <c:v>454</c:v>
                </c:pt>
                <c:pt idx="3">
                  <c:v>469</c:v>
                </c:pt>
                <c:pt idx="4">
                  <c:v>506</c:v>
                </c:pt>
                <c:pt idx="5">
                  <c:v>532</c:v>
                </c:pt>
                <c:pt idx="6">
                  <c:v>550</c:v>
                </c:pt>
                <c:pt idx="7">
                  <c:v>571</c:v>
                </c:pt>
                <c:pt idx="8">
                  <c:v>585</c:v>
                </c:pt>
                <c:pt idx="9">
                  <c:v>1783</c:v>
                </c:pt>
              </c:numCache>
            </c:numRef>
          </c:val>
          <c:extLst>
            <c:ext xmlns:c16="http://schemas.microsoft.com/office/drawing/2014/chart" uri="{C3380CC4-5D6E-409C-BE32-E72D297353CC}">
              <c16:uniqueId val="{00000007-6882-4618-B571-CC5A6AAC9A00}"/>
            </c:ext>
          </c:extLst>
        </c:ser>
        <c:dLbls>
          <c:dLblPos val="outEnd"/>
          <c:showLegendKey val="0"/>
          <c:showVal val="1"/>
          <c:showCatName val="0"/>
          <c:showSerName val="0"/>
          <c:showPercent val="0"/>
          <c:showBubbleSize val="0"/>
        </c:dLbls>
        <c:gapWidth val="182"/>
        <c:axId val="355503007"/>
        <c:axId val="355489567"/>
      </c:barChart>
      <c:catAx>
        <c:axId val="355503007"/>
        <c:scaling>
          <c:orientation val="minMax"/>
        </c:scaling>
        <c:delete val="0"/>
        <c:axPos val="l"/>
        <c:numFmt formatCode="General" sourceLinked="1"/>
        <c:majorTickMark val="none"/>
        <c:minorTickMark val="none"/>
        <c:tickLblPos val="nextTo"/>
        <c:spPr>
          <a:solidFill>
            <a:schemeClr val="accent1">
              <a:lumMod val="75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Aptos Display" panose="020B0004020202020204" pitchFamily="34" charset="0"/>
                <a:ea typeface="+mn-ea"/>
                <a:cs typeface="+mn-cs"/>
              </a:defRPr>
            </a:pPr>
            <a:endParaRPr lang="en-US"/>
          </a:p>
        </c:txPr>
        <c:crossAx val="355489567"/>
        <c:crosses val="autoZero"/>
        <c:auto val="1"/>
        <c:lblAlgn val="ctr"/>
        <c:lblOffset val="100"/>
        <c:noMultiLvlLbl val="0"/>
      </c:catAx>
      <c:valAx>
        <c:axId val="355489567"/>
        <c:scaling>
          <c:orientation val="minMax"/>
        </c:scaling>
        <c:delete val="1"/>
        <c:axPos val="b"/>
        <c:numFmt formatCode="General" sourceLinked="1"/>
        <c:majorTickMark val="none"/>
        <c:minorTickMark val="none"/>
        <c:tickLblPos val="nextTo"/>
        <c:crossAx val="355503007"/>
        <c:crosses val="autoZero"/>
        <c:crossBetween val="between"/>
        <c:majorUnit val="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Data Analytics Project.xlsx]Pivot!Return By Products</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2">
                      <a:lumMod val="1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2">
                      <a:lumMod val="1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bg2">
                      <a:lumMod val="1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pivotFmt>
      <c:pivotFmt>
        <c:idx val="6"/>
        <c:spPr>
          <a:solidFill>
            <a:srgbClr val="FF0000"/>
          </a:solidFill>
          <a:ln>
            <a:noFill/>
          </a:ln>
          <a:effectLst/>
        </c:spPr>
      </c:pivotFmt>
      <c:pivotFmt>
        <c:idx val="7"/>
        <c:spPr>
          <a:solidFill>
            <a:srgbClr val="C00000">
              <a:alpha val="96000"/>
            </a:srgbClr>
          </a:solidFill>
          <a:ln>
            <a:no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0000">
              <a:alpha val="96000"/>
            </a:srgbClr>
          </a:solidFill>
          <a:ln>
            <a:noFill/>
          </a:ln>
          <a:effectLst/>
        </c:spPr>
      </c:pivotFmt>
      <c:pivotFmt>
        <c:idx val="9"/>
        <c:spPr>
          <a:solidFill>
            <a:srgbClr val="C00000">
              <a:alpha val="96000"/>
            </a:srgbClr>
          </a:solidFill>
          <a:ln>
            <a:noFill/>
          </a:ln>
          <a:effectLst/>
        </c:spPr>
      </c:pivotFmt>
      <c:pivotFmt>
        <c:idx val="10"/>
        <c:spPr>
          <a:solidFill>
            <a:srgbClr val="C00000">
              <a:alpha val="96000"/>
            </a:srgbClr>
          </a:solidFill>
          <a:ln>
            <a:noFill/>
          </a:ln>
          <a:effectLst/>
        </c:spPr>
      </c:pivotFmt>
      <c:pivotFmt>
        <c:idx val="11"/>
        <c:spPr>
          <a:solidFill>
            <a:srgbClr val="C00000">
              <a:alpha val="96000"/>
            </a:srgbClr>
          </a:solidFill>
          <a:ln>
            <a:no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00000">
              <a:alpha val="96000"/>
            </a:srgbClr>
          </a:solidFill>
          <a:ln>
            <a:noFill/>
          </a:ln>
          <a:effectLst/>
        </c:spPr>
      </c:pivotFmt>
      <c:pivotFmt>
        <c:idx val="13"/>
        <c:spPr>
          <a:solidFill>
            <a:srgbClr val="C00000">
              <a:alpha val="96000"/>
            </a:srgbClr>
          </a:solidFill>
          <a:ln>
            <a:noFill/>
          </a:ln>
          <a:effectLst/>
        </c:spPr>
      </c:pivotFmt>
      <c:pivotFmt>
        <c:idx val="14"/>
        <c:spPr>
          <a:solidFill>
            <a:srgbClr val="C00000">
              <a:alpha val="96000"/>
            </a:srgbClr>
          </a:solidFill>
          <a:ln>
            <a:noFill/>
          </a:ln>
          <a:effectLst/>
        </c:spPr>
      </c:pivotFmt>
      <c:pivotFmt>
        <c:idx val="15"/>
        <c:spPr>
          <a:solidFill>
            <a:srgbClr val="C00000">
              <a:alpha val="96000"/>
            </a:srgbClr>
          </a:solidFill>
          <a:ln>
            <a:no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C00000">
              <a:alpha val="96000"/>
            </a:srgbClr>
          </a:solidFill>
          <a:ln>
            <a:noFill/>
          </a:ln>
          <a:effectLst/>
        </c:spPr>
      </c:pivotFmt>
      <c:pivotFmt>
        <c:idx val="17"/>
        <c:spPr>
          <a:solidFill>
            <a:srgbClr val="C00000">
              <a:alpha val="96000"/>
            </a:srgbClr>
          </a:solidFill>
          <a:ln>
            <a:noFill/>
          </a:ln>
          <a:effectLst/>
        </c:spPr>
      </c:pivotFmt>
      <c:pivotFmt>
        <c:idx val="18"/>
        <c:spPr>
          <a:solidFill>
            <a:srgbClr val="C00000">
              <a:alpha val="96000"/>
            </a:srgbClr>
          </a:solidFill>
          <a:ln>
            <a:noFill/>
          </a:ln>
          <a:effectLst/>
        </c:spPr>
      </c:pivotFmt>
    </c:pivotFmts>
    <c:plotArea>
      <c:layout/>
      <c:barChart>
        <c:barDir val="bar"/>
        <c:grouping val="clustered"/>
        <c:varyColors val="0"/>
        <c:ser>
          <c:idx val="0"/>
          <c:order val="0"/>
          <c:tx>
            <c:strRef>
              <c:f>Pivot!$Q$23</c:f>
              <c:strCache>
                <c:ptCount val="1"/>
                <c:pt idx="0">
                  <c:v>Total</c:v>
                </c:pt>
              </c:strCache>
            </c:strRef>
          </c:tx>
          <c:spPr>
            <a:solidFill>
              <a:srgbClr val="C00000">
                <a:alpha val="96000"/>
              </a:srgbClr>
            </a:solidFill>
            <a:ln>
              <a:noFill/>
            </a:ln>
            <a:effectLst/>
          </c:spPr>
          <c:invertIfNegative val="0"/>
          <c:dPt>
            <c:idx val="7"/>
            <c:invertIfNegative val="0"/>
            <c:bubble3D val="0"/>
            <c:spPr>
              <a:solidFill>
                <a:srgbClr val="C00000">
                  <a:alpha val="96000"/>
                </a:srgbClr>
              </a:solidFill>
              <a:ln>
                <a:noFill/>
              </a:ln>
              <a:effectLst/>
            </c:spPr>
            <c:extLst>
              <c:ext xmlns:c16="http://schemas.microsoft.com/office/drawing/2014/chart" uri="{C3380CC4-5D6E-409C-BE32-E72D297353CC}">
                <c16:uniqueId val="{00000001-3919-435C-8029-38888F127928}"/>
              </c:ext>
            </c:extLst>
          </c:dPt>
          <c:dPt>
            <c:idx val="8"/>
            <c:invertIfNegative val="0"/>
            <c:bubble3D val="0"/>
            <c:spPr>
              <a:solidFill>
                <a:srgbClr val="C00000">
                  <a:alpha val="96000"/>
                </a:srgbClr>
              </a:solidFill>
              <a:ln>
                <a:noFill/>
              </a:ln>
              <a:effectLst/>
            </c:spPr>
            <c:extLst>
              <c:ext xmlns:c16="http://schemas.microsoft.com/office/drawing/2014/chart" uri="{C3380CC4-5D6E-409C-BE32-E72D297353CC}">
                <c16:uniqueId val="{00000003-3919-435C-8029-38888F127928}"/>
              </c:ext>
            </c:extLst>
          </c:dPt>
          <c:dPt>
            <c:idx val="9"/>
            <c:invertIfNegative val="0"/>
            <c:bubble3D val="0"/>
            <c:spPr>
              <a:solidFill>
                <a:srgbClr val="C00000">
                  <a:alpha val="96000"/>
                </a:srgbClr>
              </a:solidFill>
              <a:ln>
                <a:noFill/>
              </a:ln>
              <a:effectLst/>
            </c:spPr>
            <c:extLst>
              <c:ext xmlns:c16="http://schemas.microsoft.com/office/drawing/2014/chart" uri="{C3380CC4-5D6E-409C-BE32-E72D297353CC}">
                <c16:uniqueId val="{00000005-3919-435C-8029-38888F127928}"/>
              </c:ext>
            </c:extLst>
          </c:dPt>
          <c:dLbls>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Pivot!$P$24:$P$34</c:f>
              <c:strCache>
                <c:ptCount val="10"/>
                <c:pt idx="0">
                  <c:v>SliceCheeze</c:v>
                </c:pt>
                <c:pt idx="1">
                  <c:v>BabyGrow 2</c:v>
                </c:pt>
                <c:pt idx="2">
                  <c:v>Butterly</c:v>
                </c:pt>
                <c:pt idx="3">
                  <c:v>AppleJoy</c:v>
                </c:pt>
                <c:pt idx="4">
                  <c:v>BrewSip Classic Coffee</c:v>
                </c:pt>
                <c:pt idx="5">
                  <c:v>Cold Bean Coffee</c:v>
                </c:pt>
                <c:pt idx="6">
                  <c:v>AquaGo</c:v>
                </c:pt>
                <c:pt idx="7">
                  <c:v>Brew Black Coffee</c:v>
                </c:pt>
                <c:pt idx="8">
                  <c:v>BabyGrow 1</c:v>
                </c:pt>
                <c:pt idx="9">
                  <c:v>Milko Gold</c:v>
                </c:pt>
              </c:strCache>
            </c:strRef>
          </c:cat>
          <c:val>
            <c:numRef>
              <c:f>Pivot!$Q$24:$Q$34</c:f>
              <c:numCache>
                <c:formatCode>General</c:formatCode>
                <c:ptCount val="10"/>
                <c:pt idx="0">
                  <c:v>196</c:v>
                </c:pt>
                <c:pt idx="1">
                  <c:v>303</c:v>
                </c:pt>
                <c:pt idx="2">
                  <c:v>459</c:v>
                </c:pt>
                <c:pt idx="3">
                  <c:v>483</c:v>
                </c:pt>
                <c:pt idx="4">
                  <c:v>486</c:v>
                </c:pt>
                <c:pt idx="5">
                  <c:v>535</c:v>
                </c:pt>
                <c:pt idx="6">
                  <c:v>543</c:v>
                </c:pt>
                <c:pt idx="7">
                  <c:v>589</c:v>
                </c:pt>
                <c:pt idx="8">
                  <c:v>668</c:v>
                </c:pt>
                <c:pt idx="9">
                  <c:v>931</c:v>
                </c:pt>
              </c:numCache>
            </c:numRef>
          </c:val>
          <c:extLst>
            <c:ext xmlns:c16="http://schemas.microsoft.com/office/drawing/2014/chart" uri="{C3380CC4-5D6E-409C-BE32-E72D297353CC}">
              <c16:uniqueId val="{00000007-C91D-445D-8729-71DE2127D4D5}"/>
            </c:ext>
          </c:extLst>
        </c:ser>
        <c:dLbls>
          <c:dLblPos val="outEnd"/>
          <c:showLegendKey val="0"/>
          <c:showVal val="1"/>
          <c:showCatName val="0"/>
          <c:showSerName val="0"/>
          <c:showPercent val="0"/>
          <c:showBubbleSize val="0"/>
        </c:dLbls>
        <c:gapWidth val="182"/>
        <c:axId val="1925142399"/>
        <c:axId val="1925139039"/>
      </c:barChart>
      <c:catAx>
        <c:axId val="19251423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bg1"/>
                </a:solidFill>
                <a:latin typeface="Aptos Display" panose="020B0004020202020204" pitchFamily="34" charset="0"/>
                <a:ea typeface="+mn-ea"/>
                <a:cs typeface="+mn-cs"/>
              </a:defRPr>
            </a:pPr>
            <a:endParaRPr lang="en-US"/>
          </a:p>
        </c:txPr>
        <c:crossAx val="1925139039"/>
        <c:crosses val="autoZero"/>
        <c:auto val="1"/>
        <c:lblAlgn val="ctr"/>
        <c:lblOffset val="100"/>
        <c:noMultiLvlLbl val="0"/>
      </c:catAx>
      <c:valAx>
        <c:axId val="1925139039"/>
        <c:scaling>
          <c:orientation val="minMax"/>
        </c:scaling>
        <c:delete val="1"/>
        <c:axPos val="b"/>
        <c:numFmt formatCode="General" sourceLinked="1"/>
        <c:majorTickMark val="out"/>
        <c:minorTickMark val="none"/>
        <c:tickLblPos val="nextTo"/>
        <c:crossAx val="192514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050" b="1" i="0" u="none" strike="noStrike" kern="1200" baseline="0">
          <a:solidFill>
            <a:schemeClr val="bg2">
              <a:lumMod val="10000"/>
            </a:schemeClr>
          </a:solidFill>
          <a:latin typeface="Aptos Display" panose="020B000402020202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Data Analytics Project.xlsx]Pivot!Marketing Spend(Amt) On Products</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2">
                      <a:lumMod val="1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2">
                      <a:lumMod val="1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2">
                      <a:lumMod val="1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2">
                      <a:lumMod val="1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a:no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60000"/>
              <a:lumOff val="40000"/>
            </a:schemeClr>
          </a:solidFill>
          <a:ln>
            <a:noFill/>
          </a:ln>
          <a:effectLst/>
        </c:spPr>
      </c:pivotFmt>
      <c:pivotFmt>
        <c:idx val="10"/>
        <c:spPr>
          <a:solidFill>
            <a:schemeClr val="accent2">
              <a:lumMod val="60000"/>
              <a:lumOff val="40000"/>
            </a:schemeClr>
          </a:solidFill>
          <a:ln>
            <a:no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60000"/>
              <a:lumOff val="40000"/>
            </a:schemeClr>
          </a:solidFill>
          <a:ln>
            <a:noFill/>
          </a:ln>
          <a:effectLst/>
        </c:spPr>
      </c:pivotFmt>
      <c:pivotFmt>
        <c:idx val="12"/>
        <c:spPr>
          <a:solidFill>
            <a:schemeClr val="accent2">
              <a:lumMod val="60000"/>
              <a:lumOff val="40000"/>
            </a:schemeClr>
          </a:solidFill>
          <a:ln>
            <a:noFill/>
          </a:ln>
          <a:effectLst/>
        </c:spPr>
      </c:pivotFmt>
      <c:pivotFmt>
        <c:idx val="13"/>
        <c:spPr>
          <a:solidFill>
            <a:schemeClr val="accent2">
              <a:lumMod val="60000"/>
              <a:lumOff val="40000"/>
            </a:schemeClr>
          </a:solidFill>
          <a:ln>
            <a:noFill/>
          </a:ln>
          <a:effectLst/>
        </c:spPr>
      </c:pivotFmt>
      <c:pivotFmt>
        <c:idx val="14"/>
        <c:spPr>
          <a:solidFill>
            <a:schemeClr val="accent2">
              <a:lumMod val="60000"/>
              <a:lumOff val="40000"/>
            </a:schemeClr>
          </a:solidFill>
          <a:ln>
            <a:no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60000"/>
              <a:lumOff val="40000"/>
            </a:schemeClr>
          </a:solidFill>
          <a:ln>
            <a:noFill/>
          </a:ln>
          <a:effectLst/>
        </c:spPr>
      </c:pivotFmt>
      <c:pivotFmt>
        <c:idx val="16"/>
        <c:spPr>
          <a:solidFill>
            <a:schemeClr val="accent2">
              <a:lumMod val="60000"/>
              <a:lumOff val="40000"/>
            </a:schemeClr>
          </a:solidFill>
          <a:ln>
            <a:noFill/>
          </a:ln>
          <a:effectLst/>
        </c:spPr>
      </c:pivotFmt>
      <c:pivotFmt>
        <c:idx val="17"/>
        <c:spPr>
          <a:solidFill>
            <a:schemeClr val="accent2">
              <a:lumMod val="60000"/>
              <a:lumOff val="40000"/>
            </a:schemeClr>
          </a:solidFill>
          <a:ln>
            <a:noFill/>
          </a:ln>
          <a:effectLst/>
        </c:spPr>
      </c:pivotFmt>
    </c:pivotFmts>
    <c:plotArea>
      <c:layout/>
      <c:barChart>
        <c:barDir val="bar"/>
        <c:grouping val="clustered"/>
        <c:varyColors val="0"/>
        <c:ser>
          <c:idx val="0"/>
          <c:order val="0"/>
          <c:tx>
            <c:strRef>
              <c:f>Pivot!$AL$26</c:f>
              <c:strCache>
                <c:ptCount val="1"/>
                <c:pt idx="0">
                  <c:v>Total</c:v>
                </c:pt>
              </c:strCache>
            </c:strRef>
          </c:tx>
          <c:spPr>
            <a:solidFill>
              <a:schemeClr val="accent2">
                <a:lumMod val="60000"/>
                <a:lumOff val="40000"/>
              </a:schemeClr>
            </a:solidFill>
            <a:ln>
              <a:noFill/>
            </a:ln>
            <a:effectLst/>
          </c:spPr>
          <c:invertIfNegative val="0"/>
          <c:dPt>
            <c:idx val="7"/>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3D06-423E-96D9-C0B3E4A543DD}"/>
              </c:ext>
            </c:extLst>
          </c:dPt>
          <c:dPt>
            <c:idx val="8"/>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3D06-423E-96D9-C0B3E4A543DD}"/>
              </c:ext>
            </c:extLst>
          </c:dPt>
          <c:dPt>
            <c:idx val="9"/>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3D06-423E-96D9-C0B3E4A543DD}"/>
              </c:ext>
            </c:extLst>
          </c:dPt>
          <c:dLbls>
            <c:spPr>
              <a:solidFill>
                <a:schemeClr val="accent1">
                  <a:lumMod val="75000"/>
                </a:schemeClr>
              </a:solid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Pivot!$AK$27:$AK$37</c:f>
              <c:strCache>
                <c:ptCount val="10"/>
                <c:pt idx="0">
                  <c:v>FizzUp Orange Soda</c:v>
                </c:pt>
                <c:pt idx="1">
                  <c:v>PastaJoy</c:v>
                </c:pt>
                <c:pt idx="2">
                  <c:v>TinyBite Cereal</c:v>
                </c:pt>
                <c:pt idx="3">
                  <c:v>Milko Gold</c:v>
                </c:pt>
                <c:pt idx="4">
                  <c:v>Zest Lemon Tea</c:v>
                </c:pt>
                <c:pt idx="5">
                  <c:v>BabyGrow 1</c:v>
                </c:pt>
                <c:pt idx="6">
                  <c:v>BabyGrow 2</c:v>
                </c:pt>
                <c:pt idx="7">
                  <c:v>Cold Bean Coffee</c:v>
                </c:pt>
                <c:pt idx="8">
                  <c:v>Brew Black Coffee</c:v>
                </c:pt>
                <c:pt idx="9">
                  <c:v>BrewSip Classic Coffee</c:v>
                </c:pt>
              </c:strCache>
            </c:strRef>
          </c:cat>
          <c:val>
            <c:numRef>
              <c:f>Pivot!$AL$27:$AL$37</c:f>
              <c:numCache>
                <c:formatCode>_-[$$-409]* #,##0_ ;_-[$$-409]* \-#,##0\ ;_-[$$-409]* "-"??_ ;_-@_ </c:formatCode>
                <c:ptCount val="10"/>
                <c:pt idx="0">
                  <c:v>11836.65</c:v>
                </c:pt>
                <c:pt idx="1">
                  <c:v>14878.75</c:v>
                </c:pt>
                <c:pt idx="2">
                  <c:v>23701.049999999996</c:v>
                </c:pt>
                <c:pt idx="3">
                  <c:v>27125.160000000003</c:v>
                </c:pt>
                <c:pt idx="4">
                  <c:v>29727.637499999997</c:v>
                </c:pt>
                <c:pt idx="5">
                  <c:v>38613.300000000003</c:v>
                </c:pt>
                <c:pt idx="6">
                  <c:v>45926.25</c:v>
                </c:pt>
                <c:pt idx="7">
                  <c:v>58359.600000000013</c:v>
                </c:pt>
                <c:pt idx="8">
                  <c:v>62950.149999999994</c:v>
                </c:pt>
                <c:pt idx="9">
                  <c:v>71034.600000000006</c:v>
                </c:pt>
              </c:numCache>
            </c:numRef>
          </c:val>
          <c:extLst>
            <c:ext xmlns:c16="http://schemas.microsoft.com/office/drawing/2014/chart" uri="{C3380CC4-5D6E-409C-BE32-E72D297353CC}">
              <c16:uniqueId val="{00000006-3D06-423E-96D9-C0B3E4A543DD}"/>
            </c:ext>
          </c:extLst>
        </c:ser>
        <c:dLbls>
          <c:dLblPos val="outEnd"/>
          <c:showLegendKey val="0"/>
          <c:showVal val="1"/>
          <c:showCatName val="0"/>
          <c:showSerName val="0"/>
          <c:showPercent val="0"/>
          <c:showBubbleSize val="0"/>
        </c:dLbls>
        <c:gapWidth val="182"/>
        <c:axId val="751660447"/>
        <c:axId val="751665247"/>
      </c:barChart>
      <c:catAx>
        <c:axId val="751660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bg1"/>
                </a:solidFill>
                <a:latin typeface="Aptos Display" panose="020B0004020202020204" pitchFamily="34" charset="0"/>
                <a:ea typeface="+mn-ea"/>
                <a:cs typeface="+mn-cs"/>
              </a:defRPr>
            </a:pPr>
            <a:endParaRPr lang="en-US"/>
          </a:p>
        </c:txPr>
        <c:crossAx val="751665247"/>
        <c:crosses val="autoZero"/>
        <c:auto val="1"/>
        <c:lblAlgn val="ctr"/>
        <c:lblOffset val="100"/>
        <c:noMultiLvlLbl val="0"/>
      </c:catAx>
      <c:valAx>
        <c:axId val="751665247"/>
        <c:scaling>
          <c:orientation val="minMax"/>
        </c:scaling>
        <c:delete val="1"/>
        <c:axPos val="b"/>
        <c:numFmt formatCode="_-[$$-409]* #,##0_ ;_-[$$-409]* \-#,##0\ ;_-[$$-409]* &quot;-&quot;??_ ;_-@_ " sourceLinked="1"/>
        <c:majorTickMark val="none"/>
        <c:minorTickMark val="none"/>
        <c:tickLblPos val="nextTo"/>
        <c:crossAx val="75166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Data Analytics Project.xlsx]Pivot!Return By Product Catgeory</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2">
                      <a:lumMod val="1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2">
                      <a:lumMod val="1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2">
                      <a:lumMod val="1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Pivot!$Z$4</c:f>
              <c:strCache>
                <c:ptCount val="1"/>
                <c:pt idx="0">
                  <c:v>Total</c:v>
                </c:pt>
              </c:strCache>
            </c:strRef>
          </c:tx>
          <c:spPr>
            <a:solidFill>
              <a:srgbClr val="C00000"/>
            </a:solidFill>
            <a:ln>
              <a:noFill/>
            </a:ln>
            <a:effectLst/>
          </c:spPr>
          <c:invertIfNegative val="0"/>
          <c:dLbls>
            <c:spPr>
              <a:solidFill>
                <a:schemeClr val="accent1">
                  <a:lumMod val="75000"/>
                </a:schemeClr>
              </a:solid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chemeClr val="bg1"/>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Pivot!$Y$5:$Y$12</c:f>
              <c:strCache>
                <c:ptCount val="7"/>
                <c:pt idx="0">
                  <c:v>Beverages</c:v>
                </c:pt>
                <c:pt idx="1">
                  <c:v>Dairy Products</c:v>
                </c:pt>
                <c:pt idx="2">
                  <c:v>Frozen Foods</c:v>
                </c:pt>
                <c:pt idx="3">
                  <c:v>Infant Nutrition</c:v>
                </c:pt>
                <c:pt idx="4">
                  <c:v>Instant Foods</c:v>
                </c:pt>
                <c:pt idx="5">
                  <c:v>Snacks</c:v>
                </c:pt>
                <c:pt idx="6">
                  <c:v>Water &amp; Juices</c:v>
                </c:pt>
              </c:strCache>
            </c:strRef>
          </c:cat>
          <c:val>
            <c:numRef>
              <c:f>Pivot!$Z$5:$Z$12</c:f>
              <c:numCache>
                <c:formatCode>General</c:formatCode>
                <c:ptCount val="7"/>
                <c:pt idx="0">
                  <c:v>2037</c:v>
                </c:pt>
                <c:pt idx="1">
                  <c:v>1788</c:v>
                </c:pt>
                <c:pt idx="2">
                  <c:v>90</c:v>
                </c:pt>
                <c:pt idx="3">
                  <c:v>1335</c:v>
                </c:pt>
                <c:pt idx="4">
                  <c:v>308</c:v>
                </c:pt>
                <c:pt idx="5">
                  <c:v>768</c:v>
                </c:pt>
                <c:pt idx="6">
                  <c:v>1338</c:v>
                </c:pt>
              </c:numCache>
            </c:numRef>
          </c:val>
          <c:extLst>
            <c:ext xmlns:c16="http://schemas.microsoft.com/office/drawing/2014/chart" uri="{C3380CC4-5D6E-409C-BE32-E72D297353CC}">
              <c16:uniqueId val="{00000001-476F-41AF-A134-5E68BA38834A}"/>
            </c:ext>
          </c:extLst>
        </c:ser>
        <c:dLbls>
          <c:dLblPos val="outEnd"/>
          <c:showLegendKey val="0"/>
          <c:showVal val="1"/>
          <c:showCatName val="0"/>
          <c:showSerName val="0"/>
          <c:showPercent val="0"/>
          <c:showBubbleSize val="0"/>
        </c:dLbls>
        <c:gapWidth val="219"/>
        <c:overlap val="-27"/>
        <c:axId val="404916703"/>
        <c:axId val="566395359"/>
      </c:barChart>
      <c:catAx>
        <c:axId val="404916703"/>
        <c:scaling>
          <c:orientation val="minMax"/>
        </c:scaling>
        <c:delete val="0"/>
        <c:axPos val="b"/>
        <c:numFmt formatCode="General" sourceLinked="1"/>
        <c:majorTickMark val="none"/>
        <c:minorTickMark val="none"/>
        <c:tickLblPos val="nextTo"/>
        <c:spPr>
          <a:solidFill>
            <a:schemeClr val="accent1">
              <a:lumMod val="75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bg1"/>
                </a:solidFill>
                <a:latin typeface="Aptos Display" panose="020B0004020202020204" pitchFamily="34" charset="0"/>
                <a:ea typeface="+mn-ea"/>
                <a:cs typeface="+mn-cs"/>
              </a:defRPr>
            </a:pPr>
            <a:endParaRPr lang="en-US"/>
          </a:p>
        </c:txPr>
        <c:crossAx val="566395359"/>
        <c:crosses val="autoZero"/>
        <c:auto val="1"/>
        <c:lblAlgn val="ctr"/>
        <c:lblOffset val="100"/>
        <c:noMultiLvlLbl val="0"/>
      </c:catAx>
      <c:valAx>
        <c:axId val="566395359"/>
        <c:scaling>
          <c:orientation val="minMax"/>
        </c:scaling>
        <c:delete val="1"/>
        <c:axPos val="l"/>
        <c:numFmt formatCode="General" sourceLinked="1"/>
        <c:majorTickMark val="none"/>
        <c:minorTickMark val="none"/>
        <c:tickLblPos val="nextTo"/>
        <c:crossAx val="40491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Data Analytics Project.xlsx]Pivot!Marketing Spend(Amt) On Product Category</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bg2">
                      <a:lumMod val="1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900" b="1" i="0" u="none" strike="noStrike" kern="1200" baseline="0">
                  <a:solidFill>
                    <a:schemeClr val="bg2">
                      <a:lumMod val="1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1050" b="1" i="0" u="none" strike="noStrike" kern="1200" baseline="0">
                  <a:solidFill>
                    <a:schemeClr val="bg1"/>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1050" b="1" i="0" u="none" strike="noStrike" kern="1200" baseline="0">
                  <a:solidFill>
                    <a:schemeClr val="bg1"/>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1050" b="1" i="0" u="none" strike="noStrike" kern="1200" baseline="0">
                  <a:solidFill>
                    <a:schemeClr val="bg1"/>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Pivot!$AR$4</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anchor="ctr" anchorCtr="0"/>
              <a:lstStyle/>
              <a:p>
                <a:pPr algn="ctr">
                  <a:defRPr lang="en-US" sz="1050" b="1" i="0" u="none" strike="noStrike" kern="1200" baseline="0">
                    <a:solidFill>
                      <a:schemeClr val="bg1"/>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Pivot!$AQ$5:$AQ$12</c:f>
              <c:strCache>
                <c:ptCount val="7"/>
                <c:pt idx="0">
                  <c:v>Beverages</c:v>
                </c:pt>
                <c:pt idx="1">
                  <c:v>Dairy Products</c:v>
                </c:pt>
                <c:pt idx="2">
                  <c:v>Frozen Foods</c:v>
                </c:pt>
                <c:pt idx="3">
                  <c:v>Infant Nutrition</c:v>
                </c:pt>
                <c:pt idx="4">
                  <c:v>Instant Foods</c:v>
                </c:pt>
                <c:pt idx="5">
                  <c:v>Snacks</c:v>
                </c:pt>
                <c:pt idx="6">
                  <c:v>Water &amp; Juices</c:v>
                </c:pt>
              </c:strCache>
            </c:strRef>
          </c:cat>
          <c:val>
            <c:numRef>
              <c:f>Pivot!$AR$5:$AR$12</c:f>
              <c:numCache>
                <c:formatCode>_-[$$-409]* #,##0_ ;_-[$$-409]* \-#,##0\ ;_-[$$-409]* "-"??_ ;_-@_ </c:formatCode>
                <c:ptCount val="7"/>
                <c:pt idx="0">
                  <c:v>233908.63749999998</c:v>
                </c:pt>
                <c:pt idx="1">
                  <c:v>54022.80999999999</c:v>
                </c:pt>
                <c:pt idx="2">
                  <c:v>8737.6500000000051</c:v>
                </c:pt>
                <c:pt idx="3">
                  <c:v>114275.80000000002</c:v>
                </c:pt>
                <c:pt idx="4">
                  <c:v>34195.450000000012</c:v>
                </c:pt>
                <c:pt idx="5">
                  <c:v>18870.950000000004</c:v>
                </c:pt>
                <c:pt idx="6">
                  <c:v>14774.987499999999</c:v>
                </c:pt>
              </c:numCache>
            </c:numRef>
          </c:val>
          <c:extLst>
            <c:ext xmlns:c16="http://schemas.microsoft.com/office/drawing/2014/chart" uri="{C3380CC4-5D6E-409C-BE32-E72D297353CC}">
              <c16:uniqueId val="{00000000-6791-4308-8B38-2A8A01A31908}"/>
            </c:ext>
          </c:extLst>
        </c:ser>
        <c:dLbls>
          <c:dLblPos val="outEnd"/>
          <c:showLegendKey val="0"/>
          <c:showVal val="1"/>
          <c:showCatName val="0"/>
          <c:showSerName val="0"/>
          <c:showPercent val="0"/>
          <c:showBubbleSize val="0"/>
        </c:dLbls>
        <c:gapWidth val="219"/>
        <c:overlap val="-27"/>
        <c:axId val="355487167"/>
        <c:axId val="355501087"/>
      </c:barChart>
      <c:catAx>
        <c:axId val="35548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bg1"/>
                </a:solidFill>
                <a:latin typeface="Aptos Display" panose="020B0004020202020204" pitchFamily="34" charset="0"/>
                <a:ea typeface="+mn-ea"/>
                <a:cs typeface="+mn-cs"/>
              </a:defRPr>
            </a:pPr>
            <a:endParaRPr lang="en-US"/>
          </a:p>
        </c:txPr>
        <c:crossAx val="355501087"/>
        <c:crosses val="autoZero"/>
        <c:auto val="1"/>
        <c:lblAlgn val="ctr"/>
        <c:lblOffset val="100"/>
        <c:noMultiLvlLbl val="0"/>
      </c:catAx>
      <c:valAx>
        <c:axId val="355501087"/>
        <c:scaling>
          <c:orientation val="minMax"/>
        </c:scaling>
        <c:delete val="1"/>
        <c:axPos val="l"/>
        <c:numFmt formatCode="_-[$$-409]* #,##0_ ;_-[$$-409]* \-#,##0\ ;_-[$$-409]* &quot;-&quot;??_ ;_-@_ " sourceLinked="1"/>
        <c:majorTickMark val="none"/>
        <c:minorTickMark val="none"/>
        <c:tickLblPos val="nextTo"/>
        <c:crossAx val="35548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7040314650934118E-2"/>
          <c:y val="0.16388983502118004"/>
          <c:w val="0.94591937069813181"/>
          <c:h val="0.75175165681807532"/>
        </c:manualLayout>
      </c:layout>
      <c:barChart>
        <c:barDir val="col"/>
        <c:grouping val="clustered"/>
        <c:varyColors val="0"/>
        <c:ser>
          <c:idx val="0"/>
          <c:order val="0"/>
          <c:tx>
            <c:strRef>
              <c:f>'Diagnostic Analysis'!$U$10</c:f>
              <c:strCache>
                <c:ptCount val="1"/>
                <c:pt idx="0">
                  <c:v>Sales</c:v>
                </c:pt>
              </c:strCache>
            </c:strRef>
          </c:tx>
          <c:spPr>
            <a:solidFill>
              <a:schemeClr val="accent1"/>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1-2C81-4EB3-A917-C01625F4BBE9}"/>
              </c:ext>
            </c:extLst>
          </c:dPt>
          <c:dPt>
            <c:idx val="1"/>
            <c:invertIfNegative val="0"/>
            <c:bubble3D val="0"/>
            <c:spPr>
              <a:solidFill>
                <a:srgbClr val="0070C0"/>
              </a:solidFill>
              <a:ln>
                <a:noFill/>
              </a:ln>
              <a:effectLst/>
            </c:spPr>
            <c:extLst>
              <c:ext xmlns:c16="http://schemas.microsoft.com/office/drawing/2014/chart" uri="{C3380CC4-5D6E-409C-BE32-E72D297353CC}">
                <c16:uniqueId val="{00000003-2C81-4EB3-A917-C01625F4BBE9}"/>
              </c:ext>
            </c:extLst>
          </c:dPt>
          <c:dPt>
            <c:idx val="2"/>
            <c:invertIfNegative val="0"/>
            <c:bubble3D val="0"/>
            <c:spPr>
              <a:solidFill>
                <a:srgbClr val="0070C0"/>
              </a:solidFill>
              <a:ln>
                <a:noFill/>
              </a:ln>
              <a:effectLst/>
            </c:spPr>
            <c:extLst>
              <c:ext xmlns:c16="http://schemas.microsoft.com/office/drawing/2014/chart" uri="{C3380CC4-5D6E-409C-BE32-E72D297353CC}">
                <c16:uniqueId val="{00000005-2C81-4EB3-A917-C01625F4BBE9}"/>
              </c:ext>
            </c:extLst>
          </c:dPt>
          <c:dPt>
            <c:idx val="3"/>
            <c:invertIfNegative val="0"/>
            <c:bubble3D val="0"/>
            <c:spPr>
              <a:solidFill>
                <a:srgbClr val="002060"/>
              </a:solidFill>
              <a:ln>
                <a:noFill/>
              </a:ln>
              <a:effectLst/>
            </c:spPr>
            <c:extLst>
              <c:ext xmlns:c16="http://schemas.microsoft.com/office/drawing/2014/chart" uri="{C3380CC4-5D6E-409C-BE32-E72D297353CC}">
                <c16:uniqueId val="{00000007-2C81-4EB3-A917-C01625F4BBE9}"/>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'Diagnostic Analysis'!$T$11:$T$14</c:f>
              <c:strCache>
                <c:ptCount val="4"/>
                <c:pt idx="0">
                  <c:v>Year</c:v>
                </c:pt>
                <c:pt idx="1">
                  <c:v>Qtr</c:v>
                </c:pt>
                <c:pt idx="2">
                  <c:v>Marketing Amt</c:v>
                </c:pt>
                <c:pt idx="3">
                  <c:v>Total Quantity Ordered</c:v>
                </c:pt>
              </c:strCache>
            </c:strRef>
          </c:cat>
          <c:val>
            <c:numRef>
              <c:f>'Diagnostic Analysis'!$U$11:$U$14</c:f>
              <c:numCache>
                <c:formatCode>0.00</c:formatCode>
                <c:ptCount val="4"/>
                <c:pt idx="0">
                  <c:v>-0.20405423603968789</c:v>
                </c:pt>
                <c:pt idx="1">
                  <c:v>0.43234274829946956</c:v>
                </c:pt>
                <c:pt idx="2">
                  <c:v>0.57576270590322565</c:v>
                </c:pt>
                <c:pt idx="3">
                  <c:v>0.99362987980375983</c:v>
                </c:pt>
              </c:numCache>
            </c:numRef>
          </c:val>
          <c:extLst>
            <c:ext xmlns:c16="http://schemas.microsoft.com/office/drawing/2014/chart" uri="{C3380CC4-5D6E-409C-BE32-E72D297353CC}">
              <c16:uniqueId val="{00000008-2C81-4EB3-A917-C01625F4BBE9}"/>
            </c:ext>
          </c:extLst>
        </c:ser>
        <c:dLbls>
          <c:dLblPos val="outEnd"/>
          <c:showLegendKey val="0"/>
          <c:showVal val="1"/>
          <c:showCatName val="0"/>
          <c:showSerName val="0"/>
          <c:showPercent val="0"/>
          <c:showBubbleSize val="0"/>
        </c:dLbls>
        <c:gapWidth val="219"/>
        <c:overlap val="-27"/>
        <c:axId val="1046909264"/>
        <c:axId val="1046914064"/>
      </c:barChart>
      <c:catAx>
        <c:axId val="10469092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85000"/>
                    <a:lumOff val="15000"/>
                  </a:schemeClr>
                </a:solidFill>
                <a:latin typeface="Aptos Display" panose="020B0004020202020204" pitchFamily="34" charset="0"/>
                <a:ea typeface="+mn-ea"/>
                <a:cs typeface="+mn-cs"/>
              </a:defRPr>
            </a:pPr>
            <a:endParaRPr lang="en-US"/>
          </a:p>
        </c:txPr>
        <c:crossAx val="1046914064"/>
        <c:crosses val="autoZero"/>
        <c:auto val="1"/>
        <c:lblAlgn val="ctr"/>
        <c:lblOffset val="100"/>
        <c:noMultiLvlLbl val="0"/>
      </c:catAx>
      <c:valAx>
        <c:axId val="1046914064"/>
        <c:scaling>
          <c:orientation val="minMax"/>
          <c:max val="1.1000000000000001"/>
          <c:min val="-0.4"/>
        </c:scaling>
        <c:delete val="1"/>
        <c:axPos val="l"/>
        <c:numFmt formatCode="0.00" sourceLinked="1"/>
        <c:majorTickMark val="out"/>
        <c:minorTickMark val="none"/>
        <c:tickLblPos val="nextTo"/>
        <c:crossAx val="1046909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800" b="0" i="0" u="none" strike="noStrike" kern="1200" cap="none" spc="20" baseline="0">
                <a:solidFill>
                  <a:srgbClr val="00B0F0"/>
                </a:solidFill>
                <a:latin typeface="+mn-lt"/>
                <a:ea typeface="+mn-ea"/>
                <a:cs typeface="+mn-cs"/>
              </a:defRPr>
            </a:pPr>
            <a:r>
              <a:rPr lang="en-IN" sz="1800" b="1">
                <a:solidFill>
                  <a:srgbClr val="00B0F0"/>
                </a:solidFill>
                <a:latin typeface="Aptos Display" panose="020B0004020202020204" pitchFamily="34" charset="0"/>
              </a:rPr>
              <a:t>Sales</a:t>
            </a:r>
            <a:r>
              <a:rPr lang="en-IN" sz="1800" b="1" baseline="0">
                <a:solidFill>
                  <a:srgbClr val="00B0F0"/>
                </a:solidFill>
                <a:latin typeface="Aptos Display" panose="020B0004020202020204" pitchFamily="34" charset="0"/>
              </a:rPr>
              <a:t> vs Marketing Amt</a:t>
            </a:r>
            <a:endParaRPr lang="en-IN" sz="1800" b="1">
              <a:solidFill>
                <a:srgbClr val="00B0F0"/>
              </a:solidFill>
              <a:latin typeface="Aptos Display" panose="020B0004020202020204" pitchFamily="34" charset="0"/>
            </a:endParaRPr>
          </a:p>
        </c:rich>
      </c:tx>
      <c:layout>
        <c:manualLayout>
          <c:xMode val="edge"/>
          <c:yMode val="edge"/>
          <c:x val="1.4035157103802759E-2"/>
          <c:y val="8.160236747680467E-4"/>
        </c:manualLayout>
      </c:layout>
      <c:overlay val="0"/>
      <c:spPr>
        <a:noFill/>
        <a:ln>
          <a:noFill/>
        </a:ln>
        <a:effectLst/>
      </c:spPr>
      <c:txPr>
        <a:bodyPr rot="0" spcFirstLastPara="1" vertOverflow="ellipsis" vert="horz" wrap="square" anchor="ctr" anchorCtr="1"/>
        <a:lstStyle/>
        <a:p>
          <a:pPr algn="ctr">
            <a:defRPr sz="1800" b="0" i="0" u="none" strike="noStrike" kern="1200" cap="none" spc="20" baseline="0">
              <a:solidFill>
                <a:srgbClr val="00B0F0"/>
              </a:solidFill>
              <a:latin typeface="+mn-lt"/>
              <a:ea typeface="+mn-ea"/>
              <a:cs typeface="+mn-cs"/>
            </a:defRPr>
          </a:pPr>
          <a:endParaRPr lang="en-IN"/>
        </a:p>
      </c:txPr>
    </c:title>
    <c:autoTitleDeleted val="0"/>
    <c:plotArea>
      <c:layout/>
      <c:lineChart>
        <c:grouping val="standard"/>
        <c:varyColors val="0"/>
        <c:ser>
          <c:idx val="0"/>
          <c:order val="0"/>
          <c:tx>
            <c:strRef>
              <c:f>'Diagnostic Analysis'!$D$4</c:f>
              <c:strCache>
                <c:ptCount val="1"/>
                <c:pt idx="0">
                  <c:v>Sales</c:v>
                </c:pt>
              </c:strCache>
            </c:strRef>
          </c:tx>
          <c:spPr>
            <a:ln w="22225" cap="rnd" cmpd="sng" algn="ctr">
              <a:solidFill>
                <a:schemeClr val="accent1"/>
              </a:solidFill>
              <a:round/>
            </a:ln>
            <a:effectLst/>
          </c:spPr>
          <c:marker>
            <c:symbol val="circle"/>
            <c:size val="4"/>
            <c:spPr>
              <a:solidFill>
                <a:srgbClr val="002060"/>
              </a:solidFill>
              <a:ln w="9525" cap="flat" cmpd="sng" algn="ctr">
                <a:noFill/>
                <a:round/>
              </a:ln>
              <a:effectLst/>
            </c:spPr>
          </c:marker>
          <c:val>
            <c:numRef>
              <c:f>'Diagnostic Analysis'!$D$5:$D$16</c:f>
              <c:numCache>
                <c:formatCode>_-[$$-409]* #,##0_ ;_-[$$-409]* \-#,##0\ ;_-[$$-409]* "-"??_ ;_-@_ </c:formatCode>
                <c:ptCount val="12"/>
                <c:pt idx="0">
                  <c:v>291678</c:v>
                </c:pt>
                <c:pt idx="1">
                  <c:v>397260</c:v>
                </c:pt>
                <c:pt idx="2">
                  <c:v>436115</c:v>
                </c:pt>
                <c:pt idx="3">
                  <c:v>1127834</c:v>
                </c:pt>
                <c:pt idx="4">
                  <c:v>579705</c:v>
                </c:pt>
                <c:pt idx="5">
                  <c:v>321094</c:v>
                </c:pt>
                <c:pt idx="6">
                  <c:v>712020</c:v>
                </c:pt>
                <c:pt idx="7">
                  <c:v>1235742</c:v>
                </c:pt>
                <c:pt idx="8">
                  <c:v>627296</c:v>
                </c:pt>
                <c:pt idx="9">
                  <c:v>275503</c:v>
                </c:pt>
                <c:pt idx="10">
                  <c:v>571967</c:v>
                </c:pt>
                <c:pt idx="11">
                  <c:v>135654</c:v>
                </c:pt>
              </c:numCache>
            </c:numRef>
          </c:val>
          <c:smooth val="1"/>
          <c:extLst>
            <c:ext xmlns:c16="http://schemas.microsoft.com/office/drawing/2014/chart" uri="{C3380CC4-5D6E-409C-BE32-E72D297353CC}">
              <c16:uniqueId val="{00000000-4C6F-4BE8-8D5E-2CEF7D2CAA90}"/>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57576544"/>
        <c:axId val="994060272"/>
      </c:lineChart>
      <c:lineChart>
        <c:grouping val="standard"/>
        <c:varyColors val="0"/>
        <c:ser>
          <c:idx val="1"/>
          <c:order val="1"/>
          <c:tx>
            <c:strRef>
              <c:f>'Diagnostic Analysis'!$C$4</c:f>
              <c:strCache>
                <c:ptCount val="1"/>
                <c:pt idx="0">
                  <c:v>Marketing Amt</c:v>
                </c:pt>
              </c:strCache>
            </c:strRef>
          </c:tx>
          <c:spPr>
            <a:ln w="22225" cap="rnd" cmpd="sng" algn="ctr">
              <a:solidFill>
                <a:schemeClr val="accent2"/>
              </a:solidFill>
              <a:round/>
            </a:ln>
            <a:effectLst/>
          </c:spPr>
          <c:marker>
            <c:symbol val="circle"/>
            <c:size val="4"/>
            <c:spPr>
              <a:solidFill>
                <a:srgbClr val="002060"/>
              </a:solidFill>
              <a:ln w="9525" cap="flat" cmpd="sng" algn="ctr">
                <a:noFill/>
                <a:round/>
              </a:ln>
              <a:effectLst/>
            </c:spPr>
          </c:marker>
          <c:val>
            <c:numRef>
              <c:f>'Diagnostic Analysis'!$C$5:$C$16</c:f>
              <c:numCache>
                <c:formatCode>_-[$$-409]* #,##0_ ;_-[$$-409]* \-#,##0\ ;_-[$$-409]* "-"??_ ;_-@_ </c:formatCode>
                <c:ptCount val="12"/>
                <c:pt idx="0">
                  <c:v>50506.344999999987</c:v>
                </c:pt>
                <c:pt idx="1">
                  <c:v>50506.344999999987</c:v>
                </c:pt>
                <c:pt idx="2">
                  <c:v>50506.344999999987</c:v>
                </c:pt>
                <c:pt idx="3">
                  <c:v>50506.344999999987</c:v>
                </c:pt>
                <c:pt idx="4">
                  <c:v>20315.925000000007</c:v>
                </c:pt>
                <c:pt idx="5">
                  <c:v>20315.925000000007</c:v>
                </c:pt>
                <c:pt idx="6">
                  <c:v>77432.677499999991</c:v>
                </c:pt>
                <c:pt idx="7">
                  <c:v>77432.677499999991</c:v>
                </c:pt>
                <c:pt idx="8">
                  <c:v>20315.925000000007</c:v>
                </c:pt>
                <c:pt idx="9">
                  <c:v>20315.925000000007</c:v>
                </c:pt>
                <c:pt idx="10">
                  <c:v>20315.925000000007</c:v>
                </c:pt>
                <c:pt idx="11">
                  <c:v>20315.925000000007</c:v>
                </c:pt>
              </c:numCache>
            </c:numRef>
          </c:val>
          <c:smooth val="1"/>
          <c:extLst>
            <c:ext xmlns:c16="http://schemas.microsoft.com/office/drawing/2014/chart" uri="{C3380CC4-5D6E-409C-BE32-E72D297353CC}">
              <c16:uniqueId val="{00000001-4C6F-4BE8-8D5E-2CEF7D2CAA90}"/>
            </c:ext>
          </c:extLst>
        </c:ser>
        <c:dLbls>
          <c:showLegendKey val="0"/>
          <c:showVal val="0"/>
          <c:showCatName val="0"/>
          <c:showSerName val="0"/>
          <c:showPercent val="0"/>
          <c:showBubbleSize val="0"/>
        </c:dLbls>
        <c:marker val="1"/>
        <c:smooth val="0"/>
        <c:axId val="605620592"/>
        <c:axId val="776851824"/>
      </c:lineChart>
      <c:catAx>
        <c:axId val="657576544"/>
        <c:scaling>
          <c:orientation val="minMax"/>
        </c:scaling>
        <c:delete val="1"/>
        <c:axPos val="b"/>
        <c:majorTickMark val="out"/>
        <c:minorTickMark val="none"/>
        <c:tickLblPos val="nextTo"/>
        <c:crossAx val="994060272"/>
        <c:crosses val="autoZero"/>
        <c:auto val="1"/>
        <c:lblAlgn val="ctr"/>
        <c:lblOffset val="100"/>
        <c:noMultiLvlLbl val="0"/>
      </c:catAx>
      <c:valAx>
        <c:axId val="994060272"/>
        <c:scaling>
          <c:orientation val="minMax"/>
        </c:scaling>
        <c:delete val="0"/>
        <c:axPos val="l"/>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100" b="1" i="0" u="none" strike="noStrike" kern="1200" spc="20" baseline="0">
                <a:solidFill>
                  <a:schemeClr val="dk1">
                    <a:lumMod val="65000"/>
                    <a:lumOff val="35000"/>
                  </a:schemeClr>
                </a:solidFill>
                <a:latin typeface="Aptos Display" panose="020B0004020202020204" pitchFamily="34" charset="0"/>
                <a:ea typeface="+mn-ea"/>
                <a:cs typeface="+mn-cs"/>
              </a:defRPr>
            </a:pPr>
            <a:endParaRPr lang="en-US"/>
          </a:p>
        </c:txPr>
        <c:crossAx val="657576544"/>
        <c:crosses val="autoZero"/>
        <c:crossBetween val="between"/>
      </c:valAx>
      <c:valAx>
        <c:axId val="776851824"/>
        <c:scaling>
          <c:orientation val="minMax"/>
        </c:scaling>
        <c:delete val="0"/>
        <c:axPos val="r"/>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spc="20" baseline="0">
                <a:solidFill>
                  <a:schemeClr val="dk1">
                    <a:lumMod val="65000"/>
                    <a:lumOff val="35000"/>
                  </a:schemeClr>
                </a:solidFill>
                <a:latin typeface="Aptos Display" panose="020B0004020202020204" pitchFamily="34" charset="0"/>
                <a:ea typeface="+mn-ea"/>
                <a:cs typeface="+mn-cs"/>
              </a:defRPr>
            </a:pPr>
            <a:endParaRPr lang="en-US"/>
          </a:p>
        </c:txPr>
        <c:crossAx val="605620592"/>
        <c:crosses val="max"/>
        <c:crossBetween val="between"/>
      </c:valAx>
      <c:catAx>
        <c:axId val="605620592"/>
        <c:scaling>
          <c:orientation val="minMax"/>
        </c:scaling>
        <c:delete val="1"/>
        <c:axPos val="t"/>
        <c:majorTickMark val="out"/>
        <c:minorTickMark val="none"/>
        <c:tickLblPos val="nextTo"/>
        <c:crossAx val="776851824"/>
        <c:crosses val="max"/>
        <c:auto val="1"/>
        <c:lblAlgn val="ctr"/>
        <c:lblOffset val="100"/>
        <c:noMultiLvlLbl val="0"/>
      </c:catAx>
      <c:spPr>
        <a:gradFill>
          <a:gsLst>
            <a:gs pos="100000">
              <a:schemeClr val="lt1">
                <a:lumMod val="95000"/>
              </a:schemeClr>
            </a:gs>
            <a:gs pos="0">
              <a:schemeClr val="lt1"/>
            </a:gs>
          </a:gsLst>
          <a:lin ang="5400000" scaled="0"/>
        </a:gradFill>
        <a:ln>
          <a:noFill/>
        </a:ln>
        <a:effectLst/>
      </c:spPr>
    </c:plotArea>
    <c:legend>
      <c:legendPos val="t"/>
      <c:layout>
        <c:manualLayout>
          <c:xMode val="edge"/>
          <c:yMode val="edge"/>
          <c:x val="0.36867868414138"/>
          <c:y val="0.11008264462809918"/>
          <c:w val="0.26557614291612891"/>
          <c:h val="7.5310875396773752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65000"/>
                  <a:lumOff val="35000"/>
                </a:schemeClr>
              </a:solidFill>
              <a:latin typeface="Aptos Display"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sz="1600" u="sng">
                <a:solidFill>
                  <a:srgbClr val="00B0F0"/>
                </a:solidFill>
                <a:latin typeface="Aptos Display" panose="020B0004020202020204" pitchFamily="34" charset="0"/>
              </a:rPr>
              <a:t>Marketing Spend  Residual Plot</a:t>
            </a:r>
          </a:p>
        </c:rich>
      </c:tx>
      <c:layout>
        <c:manualLayout>
          <c:xMode val="edge"/>
          <c:yMode val="edge"/>
          <c:x val="0.34250457021064018"/>
          <c:y val="3.7219843745039186E-2"/>
        </c:manualLayout>
      </c:layout>
      <c:overlay val="0"/>
    </c:title>
    <c:autoTitleDeleted val="0"/>
    <c:plotArea>
      <c:layout/>
      <c:scatterChart>
        <c:scatterStyle val="lineMarker"/>
        <c:varyColors val="0"/>
        <c:ser>
          <c:idx val="0"/>
          <c:order val="0"/>
          <c:spPr>
            <a:ln w="19050">
              <a:noFill/>
            </a:ln>
          </c:spPr>
          <c:marker>
            <c:spPr>
              <a:solidFill>
                <a:srgbClr val="002060"/>
              </a:solidFill>
            </c:spPr>
          </c:marker>
          <c:xVal>
            <c:numRef>
              <c:f>'Predictive Analysis'!$H$12:$H$23</c:f>
              <c:numCache>
                <c:formatCode>_-[$$-409]* #,##0_ ;_-[$$-409]* \-#,##0\ ;_-[$$-409]* "-"??_ ;_-@_ </c:formatCode>
                <c:ptCount val="12"/>
                <c:pt idx="0">
                  <c:v>50506.344999999987</c:v>
                </c:pt>
                <c:pt idx="1">
                  <c:v>50506.344999999987</c:v>
                </c:pt>
                <c:pt idx="2">
                  <c:v>50506.344999999987</c:v>
                </c:pt>
                <c:pt idx="3">
                  <c:v>50506.344999999987</c:v>
                </c:pt>
                <c:pt idx="4">
                  <c:v>20315.925000000007</c:v>
                </c:pt>
                <c:pt idx="5">
                  <c:v>20315.925000000007</c:v>
                </c:pt>
                <c:pt idx="6">
                  <c:v>77432.677499999991</c:v>
                </c:pt>
                <c:pt idx="7">
                  <c:v>77432.677499999991</c:v>
                </c:pt>
                <c:pt idx="8">
                  <c:v>20315.925000000007</c:v>
                </c:pt>
                <c:pt idx="9">
                  <c:v>20315.925000000007</c:v>
                </c:pt>
                <c:pt idx="10">
                  <c:v>20315.925000000007</c:v>
                </c:pt>
                <c:pt idx="11">
                  <c:v>20315.925000000007</c:v>
                </c:pt>
              </c:numCache>
            </c:numRef>
          </c:xVal>
          <c:yVal>
            <c:numRef>
              <c:f>'Predictive Analysis'!$AO$44:$AO$55</c:f>
              <c:numCache>
                <c:formatCode>General</c:formatCode>
                <c:ptCount val="12"/>
                <c:pt idx="0">
                  <c:v>-358749.57464081096</c:v>
                </c:pt>
                <c:pt idx="1">
                  <c:v>-253167.57464081096</c:v>
                </c:pt>
                <c:pt idx="2">
                  <c:v>-214312.57464081096</c:v>
                </c:pt>
                <c:pt idx="3">
                  <c:v>477406.42535918904</c:v>
                </c:pt>
                <c:pt idx="4">
                  <c:v>188575.90591201227</c:v>
                </c:pt>
                <c:pt idx="5">
                  <c:v>-70035.094087987731</c:v>
                </c:pt>
                <c:pt idx="6">
                  <c:v>-169671.56845441519</c:v>
                </c:pt>
                <c:pt idx="7">
                  <c:v>354050.43154558481</c:v>
                </c:pt>
                <c:pt idx="8">
                  <c:v>236166.90591201227</c:v>
                </c:pt>
                <c:pt idx="9">
                  <c:v>-115626.09408798773</c:v>
                </c:pt>
                <c:pt idx="10">
                  <c:v>180837.90591201227</c:v>
                </c:pt>
                <c:pt idx="11">
                  <c:v>-255475.09408798773</c:v>
                </c:pt>
              </c:numCache>
            </c:numRef>
          </c:yVal>
          <c:smooth val="0"/>
          <c:extLst>
            <c:ext xmlns:c16="http://schemas.microsoft.com/office/drawing/2014/chart" uri="{C3380CC4-5D6E-409C-BE32-E72D297353CC}">
              <c16:uniqueId val="{00000000-B8EE-4DFD-B8B8-E418C2999E83}"/>
            </c:ext>
          </c:extLst>
        </c:ser>
        <c:dLbls>
          <c:showLegendKey val="0"/>
          <c:showVal val="0"/>
          <c:showCatName val="0"/>
          <c:showSerName val="0"/>
          <c:showPercent val="0"/>
          <c:showBubbleSize val="0"/>
        </c:dLbls>
        <c:axId val="1236086128"/>
        <c:axId val="1165016704"/>
      </c:scatterChart>
      <c:valAx>
        <c:axId val="1236086128"/>
        <c:scaling>
          <c:orientation val="minMax"/>
        </c:scaling>
        <c:delete val="0"/>
        <c:axPos val="b"/>
        <c:title>
          <c:tx>
            <c:rich>
              <a:bodyPr/>
              <a:lstStyle/>
              <a:p>
                <a:pPr>
                  <a:defRPr sz="1000" u="none">
                    <a:solidFill>
                      <a:schemeClr val="tx1">
                        <a:lumMod val="75000"/>
                        <a:lumOff val="25000"/>
                      </a:schemeClr>
                    </a:solidFill>
                    <a:latin typeface="Aptos Display" panose="020B0004020202020204" pitchFamily="34" charset="0"/>
                  </a:defRPr>
                </a:pPr>
                <a:r>
                  <a:rPr lang="en-IN" sz="1000" u="none">
                    <a:solidFill>
                      <a:schemeClr val="tx1">
                        <a:lumMod val="75000"/>
                        <a:lumOff val="25000"/>
                      </a:schemeClr>
                    </a:solidFill>
                    <a:latin typeface="Aptos Display" panose="020B0004020202020204" pitchFamily="34" charset="0"/>
                  </a:rPr>
                  <a:t>Marketing Spend</a:t>
                </a:r>
              </a:p>
            </c:rich>
          </c:tx>
          <c:overlay val="0"/>
        </c:title>
        <c:numFmt formatCode="_-[$$-409]* #,##0_ ;_-[$$-409]* \-#,##0\ ;_-[$$-409]* &quot;-&quot;??_ ;_-@_ " sourceLinked="1"/>
        <c:majorTickMark val="out"/>
        <c:minorTickMark val="none"/>
        <c:tickLblPos val="nextTo"/>
        <c:txPr>
          <a:bodyPr/>
          <a:lstStyle/>
          <a:p>
            <a:pPr>
              <a:defRPr sz="1050" b="0">
                <a:latin typeface="Aptos Display" panose="020B0004020202020204" pitchFamily="34" charset="0"/>
              </a:defRPr>
            </a:pPr>
            <a:endParaRPr lang="en-US"/>
          </a:p>
        </c:txPr>
        <c:crossAx val="1165016704"/>
        <c:crosses val="autoZero"/>
        <c:crossBetween val="midCat"/>
      </c:valAx>
      <c:valAx>
        <c:axId val="1165016704"/>
        <c:scaling>
          <c:orientation val="minMax"/>
        </c:scaling>
        <c:delete val="0"/>
        <c:axPos val="l"/>
        <c:title>
          <c:tx>
            <c:rich>
              <a:bodyPr/>
              <a:lstStyle/>
              <a:p>
                <a:pPr algn="ctr" rtl="0">
                  <a:defRPr lang="en-IN" sz="1000" b="1" i="0" u="none" strike="noStrike" kern="1200" baseline="0">
                    <a:solidFill>
                      <a:schemeClr val="tx1">
                        <a:lumMod val="75000"/>
                        <a:lumOff val="25000"/>
                      </a:schemeClr>
                    </a:solidFill>
                    <a:latin typeface="Aptos Display" panose="020B0004020202020204" pitchFamily="34" charset="0"/>
                    <a:ea typeface="+mn-ea"/>
                    <a:cs typeface="+mn-cs"/>
                  </a:defRPr>
                </a:pPr>
                <a:r>
                  <a:rPr lang="en-IN" sz="1000" b="1" i="0" u="none" strike="noStrike" kern="1200" baseline="0">
                    <a:solidFill>
                      <a:schemeClr val="tx1">
                        <a:lumMod val="75000"/>
                        <a:lumOff val="25000"/>
                      </a:schemeClr>
                    </a:solidFill>
                    <a:latin typeface="Aptos Display" panose="020B0004020202020204" pitchFamily="34" charset="0"/>
                    <a:ea typeface="+mn-ea"/>
                    <a:cs typeface="+mn-cs"/>
                  </a:rPr>
                  <a:t>Residuals</a:t>
                </a:r>
              </a:p>
            </c:rich>
          </c:tx>
          <c:overlay val="0"/>
        </c:title>
        <c:numFmt formatCode="General" sourceLinked="1"/>
        <c:majorTickMark val="out"/>
        <c:minorTickMark val="none"/>
        <c:tickLblPos val="nextTo"/>
        <c:txPr>
          <a:bodyPr/>
          <a:lstStyle/>
          <a:p>
            <a:pPr>
              <a:defRPr sz="1050">
                <a:latin typeface="Aptos Display" panose="020B0004020202020204" pitchFamily="34" charset="0"/>
              </a:defRPr>
            </a:pPr>
            <a:endParaRPr lang="en-US"/>
          </a:p>
        </c:txPr>
        <c:crossAx val="123608612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lang="en-IN" sz="1600" b="1" i="0" u="sng" strike="noStrike" kern="1200" baseline="0">
                <a:solidFill>
                  <a:srgbClr val="00B0F0"/>
                </a:solidFill>
                <a:latin typeface="Aptos Display" panose="020B0004020202020204" pitchFamily="34" charset="0"/>
                <a:ea typeface="+mn-ea"/>
                <a:cs typeface="+mn-cs"/>
              </a:defRPr>
            </a:pPr>
            <a:r>
              <a:rPr lang="en-IN" sz="1600" b="1" i="0" u="sng" strike="noStrike" kern="1200" baseline="0">
                <a:solidFill>
                  <a:srgbClr val="00B0F0"/>
                </a:solidFill>
                <a:latin typeface="Aptos Display" panose="020B0004020202020204" pitchFamily="34" charset="0"/>
                <a:ea typeface="+mn-ea"/>
                <a:cs typeface="+mn-cs"/>
              </a:rPr>
              <a:t>Marketing Spend Line Fit  Plot</a:t>
            </a:r>
          </a:p>
        </c:rich>
      </c:tx>
      <c:layout>
        <c:manualLayout>
          <c:xMode val="edge"/>
          <c:yMode val="edge"/>
          <c:x val="0.28650891937645784"/>
          <c:y val="2.4799843780511619E-2"/>
        </c:manualLayout>
      </c:layout>
      <c:overlay val="0"/>
    </c:title>
    <c:autoTitleDeleted val="0"/>
    <c:plotArea>
      <c:layout/>
      <c:scatterChart>
        <c:scatterStyle val="lineMarker"/>
        <c:varyColors val="0"/>
        <c:ser>
          <c:idx val="0"/>
          <c:order val="0"/>
          <c:tx>
            <c:v>                  Sales</c:v>
          </c:tx>
          <c:spPr>
            <a:ln w="19050">
              <a:noFill/>
            </a:ln>
          </c:spPr>
          <c:marker>
            <c:spPr>
              <a:solidFill>
                <a:srgbClr val="002060"/>
              </a:solidFill>
            </c:spPr>
          </c:marker>
          <c:xVal>
            <c:numRef>
              <c:f>'Predictive Analysis'!$H$12:$H$23</c:f>
              <c:numCache>
                <c:formatCode>_-[$$-409]* #,##0_ ;_-[$$-409]* \-#,##0\ ;_-[$$-409]* "-"??_ ;_-@_ </c:formatCode>
                <c:ptCount val="12"/>
                <c:pt idx="0">
                  <c:v>50506.344999999987</c:v>
                </c:pt>
                <c:pt idx="1">
                  <c:v>50506.344999999987</c:v>
                </c:pt>
                <c:pt idx="2">
                  <c:v>50506.344999999987</c:v>
                </c:pt>
                <c:pt idx="3">
                  <c:v>50506.344999999987</c:v>
                </c:pt>
                <c:pt idx="4">
                  <c:v>20315.925000000007</c:v>
                </c:pt>
                <c:pt idx="5">
                  <c:v>20315.925000000007</c:v>
                </c:pt>
                <c:pt idx="6">
                  <c:v>77432.677499999991</c:v>
                </c:pt>
                <c:pt idx="7">
                  <c:v>77432.677499999991</c:v>
                </c:pt>
                <c:pt idx="8">
                  <c:v>20315.925000000007</c:v>
                </c:pt>
                <c:pt idx="9">
                  <c:v>20315.925000000007</c:v>
                </c:pt>
                <c:pt idx="10">
                  <c:v>20315.925000000007</c:v>
                </c:pt>
                <c:pt idx="11">
                  <c:v>20315.925000000007</c:v>
                </c:pt>
              </c:numCache>
            </c:numRef>
          </c:xVal>
          <c:yVal>
            <c:numRef>
              <c:f>'Predictive Analysis'!$I$12:$I$23</c:f>
              <c:numCache>
                <c:formatCode>_-[$$-409]* #,##0_ ;_-[$$-409]* \-#,##0\ ;_-[$$-409]* "-"??_ ;_-@_ </c:formatCode>
                <c:ptCount val="12"/>
                <c:pt idx="0">
                  <c:v>291678</c:v>
                </c:pt>
                <c:pt idx="1">
                  <c:v>397260</c:v>
                </c:pt>
                <c:pt idx="2">
                  <c:v>436115</c:v>
                </c:pt>
                <c:pt idx="3">
                  <c:v>1127834</c:v>
                </c:pt>
                <c:pt idx="4">
                  <c:v>579705</c:v>
                </c:pt>
                <c:pt idx="5">
                  <c:v>321094</c:v>
                </c:pt>
                <c:pt idx="6">
                  <c:v>712020</c:v>
                </c:pt>
                <c:pt idx="7">
                  <c:v>1235742</c:v>
                </c:pt>
                <c:pt idx="8">
                  <c:v>627296</c:v>
                </c:pt>
                <c:pt idx="9">
                  <c:v>275503</c:v>
                </c:pt>
                <c:pt idx="10">
                  <c:v>571967</c:v>
                </c:pt>
                <c:pt idx="11">
                  <c:v>135654</c:v>
                </c:pt>
              </c:numCache>
            </c:numRef>
          </c:yVal>
          <c:smooth val="0"/>
          <c:extLst>
            <c:ext xmlns:c16="http://schemas.microsoft.com/office/drawing/2014/chart" uri="{C3380CC4-5D6E-409C-BE32-E72D297353CC}">
              <c16:uniqueId val="{00000000-DE0F-4A12-8DE0-81AEB6A46347}"/>
            </c:ext>
          </c:extLst>
        </c:ser>
        <c:ser>
          <c:idx val="1"/>
          <c:order val="1"/>
          <c:tx>
            <c:v>Predicted                   Sales</c:v>
          </c:tx>
          <c:spPr>
            <a:ln w="19050">
              <a:noFill/>
            </a:ln>
          </c:spPr>
          <c:marker>
            <c:spPr>
              <a:solidFill>
                <a:schemeClr val="accent4"/>
              </a:solidFill>
            </c:spPr>
          </c:marker>
          <c:xVal>
            <c:numRef>
              <c:f>'Predictive Analysis'!$H$12:$H$23</c:f>
              <c:numCache>
                <c:formatCode>_-[$$-409]* #,##0_ ;_-[$$-409]* \-#,##0\ ;_-[$$-409]* "-"??_ ;_-@_ </c:formatCode>
                <c:ptCount val="12"/>
                <c:pt idx="0">
                  <c:v>50506.344999999987</c:v>
                </c:pt>
                <c:pt idx="1">
                  <c:v>50506.344999999987</c:v>
                </c:pt>
                <c:pt idx="2">
                  <c:v>50506.344999999987</c:v>
                </c:pt>
                <c:pt idx="3">
                  <c:v>50506.344999999987</c:v>
                </c:pt>
                <c:pt idx="4">
                  <c:v>20315.925000000007</c:v>
                </c:pt>
                <c:pt idx="5">
                  <c:v>20315.925000000007</c:v>
                </c:pt>
                <c:pt idx="6">
                  <c:v>77432.677499999991</c:v>
                </c:pt>
                <c:pt idx="7">
                  <c:v>77432.677499999991</c:v>
                </c:pt>
                <c:pt idx="8">
                  <c:v>20315.925000000007</c:v>
                </c:pt>
                <c:pt idx="9">
                  <c:v>20315.925000000007</c:v>
                </c:pt>
                <c:pt idx="10">
                  <c:v>20315.925000000007</c:v>
                </c:pt>
                <c:pt idx="11">
                  <c:v>20315.925000000007</c:v>
                </c:pt>
              </c:numCache>
            </c:numRef>
          </c:xVal>
          <c:yVal>
            <c:numRef>
              <c:f>'Predictive Analysis'!$AN$44:$AN$55</c:f>
              <c:numCache>
                <c:formatCode>General</c:formatCode>
                <c:ptCount val="12"/>
                <c:pt idx="0">
                  <c:v>650427.57464081096</c:v>
                </c:pt>
                <c:pt idx="1">
                  <c:v>650427.57464081096</c:v>
                </c:pt>
                <c:pt idx="2">
                  <c:v>650427.57464081096</c:v>
                </c:pt>
                <c:pt idx="3">
                  <c:v>650427.57464081096</c:v>
                </c:pt>
                <c:pt idx="4">
                  <c:v>391129.09408798773</c:v>
                </c:pt>
                <c:pt idx="5">
                  <c:v>391129.09408798773</c:v>
                </c:pt>
                <c:pt idx="6">
                  <c:v>881691.56845441519</c:v>
                </c:pt>
                <c:pt idx="7">
                  <c:v>881691.56845441519</c:v>
                </c:pt>
                <c:pt idx="8">
                  <c:v>391129.09408798773</c:v>
                </c:pt>
                <c:pt idx="9">
                  <c:v>391129.09408798773</c:v>
                </c:pt>
                <c:pt idx="10">
                  <c:v>391129.09408798773</c:v>
                </c:pt>
                <c:pt idx="11">
                  <c:v>391129.09408798773</c:v>
                </c:pt>
              </c:numCache>
            </c:numRef>
          </c:yVal>
          <c:smooth val="0"/>
          <c:extLst>
            <c:ext xmlns:c16="http://schemas.microsoft.com/office/drawing/2014/chart" uri="{C3380CC4-5D6E-409C-BE32-E72D297353CC}">
              <c16:uniqueId val="{00000001-DE0F-4A12-8DE0-81AEB6A46347}"/>
            </c:ext>
          </c:extLst>
        </c:ser>
        <c:dLbls>
          <c:showLegendKey val="0"/>
          <c:showVal val="0"/>
          <c:showCatName val="0"/>
          <c:showSerName val="0"/>
          <c:showPercent val="0"/>
          <c:showBubbleSize val="0"/>
        </c:dLbls>
        <c:axId val="1244295760"/>
        <c:axId val="1244292400"/>
      </c:scatterChart>
      <c:valAx>
        <c:axId val="1244295760"/>
        <c:scaling>
          <c:orientation val="minMax"/>
        </c:scaling>
        <c:delete val="0"/>
        <c:axPos val="b"/>
        <c:title>
          <c:tx>
            <c:rich>
              <a:bodyPr/>
              <a:lstStyle/>
              <a:p>
                <a:pPr algn="ctr" rtl="0">
                  <a:defRPr lang="en-IN" sz="1000" b="1" i="0" u="none" strike="noStrike" kern="1200" baseline="0">
                    <a:solidFill>
                      <a:schemeClr val="tx1">
                        <a:lumMod val="75000"/>
                        <a:lumOff val="25000"/>
                      </a:schemeClr>
                    </a:solidFill>
                    <a:latin typeface="Aptos Display" panose="020B0004020202020204" pitchFamily="34" charset="0"/>
                    <a:ea typeface="+mn-ea"/>
                    <a:cs typeface="+mn-cs"/>
                  </a:defRPr>
                </a:pPr>
                <a:r>
                  <a:rPr lang="en-IN" sz="1000" b="1" i="0" u="none" strike="noStrike" kern="1200" baseline="0">
                    <a:solidFill>
                      <a:schemeClr val="tx1">
                        <a:lumMod val="75000"/>
                        <a:lumOff val="25000"/>
                      </a:schemeClr>
                    </a:solidFill>
                    <a:latin typeface="Aptos Display" panose="020B0004020202020204" pitchFamily="34" charset="0"/>
                    <a:ea typeface="+mn-ea"/>
                    <a:cs typeface="+mn-cs"/>
                  </a:rPr>
                  <a:t>Marketing Spend</a:t>
                </a:r>
              </a:p>
            </c:rich>
          </c:tx>
          <c:overlay val="0"/>
        </c:title>
        <c:numFmt formatCode="_-[$$-409]* #,##0_ ;_-[$$-409]* \-#,##0\ ;_-[$$-409]* &quot;-&quot;??_ ;_-@_ " sourceLinked="1"/>
        <c:majorTickMark val="out"/>
        <c:minorTickMark val="none"/>
        <c:tickLblPos val="nextTo"/>
        <c:txPr>
          <a:bodyPr/>
          <a:lstStyle/>
          <a:p>
            <a:pPr algn="ctr">
              <a:defRPr lang="en-US" sz="1050" b="0" i="0" u="none" strike="noStrike" kern="1200" baseline="0">
                <a:solidFill>
                  <a:schemeClr val="tx1"/>
                </a:solidFill>
                <a:latin typeface="Aptos Display" panose="020B0004020202020204" pitchFamily="34" charset="0"/>
                <a:ea typeface="+mn-ea"/>
                <a:cs typeface="+mn-cs"/>
              </a:defRPr>
            </a:pPr>
            <a:endParaRPr lang="en-US"/>
          </a:p>
        </c:txPr>
        <c:crossAx val="1244292400"/>
        <c:crosses val="autoZero"/>
        <c:crossBetween val="midCat"/>
      </c:valAx>
      <c:valAx>
        <c:axId val="1244292400"/>
        <c:scaling>
          <c:orientation val="minMax"/>
        </c:scaling>
        <c:delete val="0"/>
        <c:axPos val="l"/>
        <c:title>
          <c:tx>
            <c:rich>
              <a:bodyPr/>
              <a:lstStyle/>
              <a:p>
                <a:pPr algn="ctr" rtl="0">
                  <a:defRPr lang="en-IN" sz="1000" b="1" i="0" u="none" strike="noStrike" kern="1200" baseline="0">
                    <a:solidFill>
                      <a:schemeClr val="tx1">
                        <a:lumMod val="75000"/>
                        <a:lumOff val="25000"/>
                      </a:schemeClr>
                    </a:solidFill>
                    <a:latin typeface="Aptos Display" panose="020B0004020202020204" pitchFamily="34" charset="0"/>
                    <a:ea typeface="+mn-ea"/>
                    <a:cs typeface="+mn-cs"/>
                  </a:defRPr>
                </a:pPr>
                <a:r>
                  <a:rPr lang="en-IN" sz="1000" b="1" i="0" u="none" strike="noStrike" kern="1200" baseline="0">
                    <a:solidFill>
                      <a:schemeClr val="tx1">
                        <a:lumMod val="75000"/>
                        <a:lumOff val="25000"/>
                      </a:schemeClr>
                    </a:solidFill>
                    <a:latin typeface="Aptos Display" panose="020B0004020202020204" pitchFamily="34" charset="0"/>
                    <a:ea typeface="+mn-ea"/>
                    <a:cs typeface="+mn-cs"/>
                  </a:rPr>
                  <a:t>                  Sales</a:t>
                </a:r>
              </a:p>
            </c:rich>
          </c:tx>
          <c:overlay val="0"/>
        </c:title>
        <c:numFmt formatCode="_-[$$-409]* #,##0_ ;_-[$$-409]* \-#,##0\ ;_-[$$-409]* &quot;-&quot;??_ ;_-@_ " sourceLinked="1"/>
        <c:majorTickMark val="out"/>
        <c:minorTickMark val="none"/>
        <c:tickLblPos val="nextTo"/>
        <c:txPr>
          <a:bodyPr/>
          <a:lstStyle/>
          <a:p>
            <a:pPr algn="ctr">
              <a:defRPr lang="en-US" sz="1050" b="0" i="0" u="none" strike="noStrike" kern="1200" baseline="0">
                <a:solidFill>
                  <a:schemeClr val="tx1"/>
                </a:solidFill>
                <a:latin typeface="Aptos Display" panose="020B0004020202020204" pitchFamily="34" charset="0"/>
                <a:ea typeface="+mn-ea"/>
                <a:cs typeface="+mn-cs"/>
              </a:defRPr>
            </a:pPr>
            <a:endParaRPr lang="en-US"/>
          </a:p>
        </c:txPr>
        <c:crossAx val="1244295760"/>
        <c:crosses val="autoZero"/>
        <c:crossBetween val="midCat"/>
      </c:valAx>
    </c:plotArea>
    <c:legend>
      <c:legendPos val="r"/>
      <c:overlay val="0"/>
      <c:spPr>
        <a:solidFill>
          <a:schemeClr val="bg1"/>
        </a:solidFill>
      </c:spPr>
      <c:txPr>
        <a:bodyPr/>
        <a:lstStyle/>
        <a:p>
          <a:pPr>
            <a:defRPr>
              <a:solidFill>
                <a:schemeClr val="bg1"/>
              </a:solidFil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rtl="0">
              <a:defRPr lang="en-IN" sz="1600" b="1" i="0" u="sng" strike="noStrike" kern="1200" baseline="0">
                <a:solidFill>
                  <a:srgbClr val="00B0F0"/>
                </a:solidFill>
                <a:latin typeface="Aptos Display" panose="020B0004020202020204" pitchFamily="34" charset="0"/>
                <a:ea typeface="+mn-ea"/>
                <a:cs typeface="+mn-cs"/>
              </a:defRPr>
            </a:pPr>
            <a:r>
              <a:rPr lang="en-IN" sz="1600" b="1" i="0" u="sng" strike="noStrike" kern="1200" baseline="0">
                <a:solidFill>
                  <a:srgbClr val="00B0F0"/>
                </a:solidFill>
                <a:latin typeface="Aptos Display" panose="020B0004020202020204" pitchFamily="34" charset="0"/>
                <a:ea typeface="+mn-ea"/>
                <a:cs typeface="+mn-cs"/>
              </a:rPr>
              <a:t>Normal Probability Plot</a:t>
            </a:r>
          </a:p>
        </c:rich>
      </c:tx>
      <c:layout>
        <c:manualLayout>
          <c:xMode val="edge"/>
          <c:yMode val="edge"/>
          <c:x val="0.34210177894429861"/>
          <c:y val="3.719976567076743E-2"/>
        </c:manualLayout>
      </c:layout>
      <c:overlay val="0"/>
    </c:title>
    <c:autoTitleDeleted val="0"/>
    <c:plotArea>
      <c:layout/>
      <c:scatterChart>
        <c:scatterStyle val="lineMarker"/>
        <c:varyColors val="0"/>
        <c:ser>
          <c:idx val="0"/>
          <c:order val="0"/>
          <c:spPr>
            <a:ln w="19050">
              <a:solidFill>
                <a:srgbClr val="002060"/>
              </a:solidFill>
            </a:ln>
          </c:spPr>
          <c:marker>
            <c:symbol val="diamond"/>
            <c:size val="6"/>
            <c:spPr>
              <a:solidFill>
                <a:srgbClr val="002060"/>
              </a:solidFill>
              <a:ln>
                <a:solidFill>
                  <a:srgbClr val="00B0F0"/>
                </a:solidFill>
              </a:ln>
            </c:spPr>
          </c:marker>
          <c:xVal>
            <c:numRef>
              <c:f>'Predictive Analysis'!$AR$44:$AR$55</c:f>
              <c:numCache>
                <c:formatCode>General</c:formatCode>
                <c:ptCount val="12"/>
                <c:pt idx="0">
                  <c:v>4.166666666666667</c:v>
                </c:pt>
                <c:pt idx="1">
                  <c:v>12.5</c:v>
                </c:pt>
                <c:pt idx="2">
                  <c:v>20.833333333333336</c:v>
                </c:pt>
                <c:pt idx="3">
                  <c:v>29.166666666666668</c:v>
                </c:pt>
                <c:pt idx="4">
                  <c:v>37.5</c:v>
                </c:pt>
                <c:pt idx="5">
                  <c:v>45.833333333333336</c:v>
                </c:pt>
                <c:pt idx="6">
                  <c:v>54.166666666666664</c:v>
                </c:pt>
                <c:pt idx="7">
                  <c:v>62.5</c:v>
                </c:pt>
                <c:pt idx="8">
                  <c:v>70.833333333333343</c:v>
                </c:pt>
                <c:pt idx="9">
                  <c:v>79.166666666666671</c:v>
                </c:pt>
                <c:pt idx="10">
                  <c:v>87.500000000000014</c:v>
                </c:pt>
                <c:pt idx="11">
                  <c:v>95.833333333333343</c:v>
                </c:pt>
              </c:numCache>
            </c:numRef>
          </c:xVal>
          <c:yVal>
            <c:numRef>
              <c:f>'Predictive Analysis'!$AS$44:$AS$55</c:f>
              <c:numCache>
                <c:formatCode>General</c:formatCode>
                <c:ptCount val="12"/>
                <c:pt idx="0">
                  <c:v>135654</c:v>
                </c:pt>
                <c:pt idx="1">
                  <c:v>275503</c:v>
                </c:pt>
                <c:pt idx="2">
                  <c:v>291678</c:v>
                </c:pt>
                <c:pt idx="3">
                  <c:v>321094</c:v>
                </c:pt>
                <c:pt idx="4">
                  <c:v>397260</c:v>
                </c:pt>
                <c:pt idx="5">
                  <c:v>436115</c:v>
                </c:pt>
                <c:pt idx="6">
                  <c:v>571967</c:v>
                </c:pt>
                <c:pt idx="7">
                  <c:v>579705</c:v>
                </c:pt>
                <c:pt idx="8">
                  <c:v>627296</c:v>
                </c:pt>
                <c:pt idx="9">
                  <c:v>712020</c:v>
                </c:pt>
                <c:pt idx="10">
                  <c:v>1127834</c:v>
                </c:pt>
                <c:pt idx="11">
                  <c:v>1235742</c:v>
                </c:pt>
              </c:numCache>
            </c:numRef>
          </c:yVal>
          <c:smooth val="0"/>
          <c:extLst>
            <c:ext xmlns:c16="http://schemas.microsoft.com/office/drawing/2014/chart" uri="{C3380CC4-5D6E-409C-BE32-E72D297353CC}">
              <c16:uniqueId val="{00000000-FF57-4DAF-A96A-98336F33E3CE}"/>
            </c:ext>
          </c:extLst>
        </c:ser>
        <c:dLbls>
          <c:showLegendKey val="0"/>
          <c:showVal val="0"/>
          <c:showCatName val="0"/>
          <c:showSerName val="0"/>
          <c:showPercent val="0"/>
          <c:showBubbleSize val="0"/>
        </c:dLbls>
        <c:axId val="1212633280"/>
        <c:axId val="1212637120"/>
      </c:scatterChart>
      <c:valAx>
        <c:axId val="1212633280"/>
        <c:scaling>
          <c:orientation val="minMax"/>
        </c:scaling>
        <c:delete val="0"/>
        <c:axPos val="b"/>
        <c:title>
          <c:tx>
            <c:rich>
              <a:bodyPr/>
              <a:lstStyle/>
              <a:p>
                <a:pPr algn="ctr" rtl="0">
                  <a:defRPr lang="en-IN" sz="1000" b="1" i="0" u="none" strike="noStrike" kern="1200" baseline="0">
                    <a:solidFill>
                      <a:schemeClr val="tx1">
                        <a:lumMod val="75000"/>
                        <a:lumOff val="25000"/>
                      </a:schemeClr>
                    </a:solidFill>
                    <a:latin typeface="Aptos Display" panose="020B0004020202020204" pitchFamily="34" charset="0"/>
                    <a:ea typeface="+mn-ea"/>
                    <a:cs typeface="+mn-cs"/>
                  </a:defRPr>
                </a:pPr>
                <a:r>
                  <a:rPr lang="en-IN" sz="1000" b="1" i="0" u="none" strike="noStrike" kern="1200" baseline="0">
                    <a:solidFill>
                      <a:schemeClr val="tx1">
                        <a:lumMod val="75000"/>
                        <a:lumOff val="25000"/>
                      </a:schemeClr>
                    </a:solidFill>
                    <a:latin typeface="Aptos Display" panose="020B0004020202020204" pitchFamily="34" charset="0"/>
                    <a:ea typeface="+mn-ea"/>
                    <a:cs typeface="+mn-cs"/>
                  </a:rPr>
                  <a:t>Sample Percentile</a:t>
                </a:r>
              </a:p>
            </c:rich>
          </c:tx>
          <c:overlay val="0"/>
        </c:title>
        <c:numFmt formatCode="General" sourceLinked="1"/>
        <c:majorTickMark val="out"/>
        <c:minorTickMark val="none"/>
        <c:tickLblPos val="nextTo"/>
        <c:txPr>
          <a:bodyPr/>
          <a:lstStyle/>
          <a:p>
            <a:pPr algn="ctr">
              <a:defRPr lang="en-US" sz="1050" b="0" i="0" u="none" strike="noStrike" kern="1200" baseline="0">
                <a:solidFill>
                  <a:schemeClr val="tx1"/>
                </a:solidFill>
                <a:latin typeface="Aptos Display" panose="020B0004020202020204" pitchFamily="34" charset="0"/>
                <a:ea typeface="+mn-ea"/>
                <a:cs typeface="+mn-cs"/>
              </a:defRPr>
            </a:pPr>
            <a:endParaRPr lang="en-US"/>
          </a:p>
        </c:txPr>
        <c:crossAx val="1212637120"/>
        <c:crosses val="autoZero"/>
        <c:crossBetween val="midCat"/>
      </c:valAx>
      <c:valAx>
        <c:axId val="1212637120"/>
        <c:scaling>
          <c:orientation val="minMax"/>
        </c:scaling>
        <c:delete val="0"/>
        <c:axPos val="l"/>
        <c:title>
          <c:tx>
            <c:rich>
              <a:bodyPr/>
              <a:lstStyle/>
              <a:p>
                <a:pPr algn="ctr" rtl="0">
                  <a:defRPr lang="en-IN" sz="1000" b="1" i="0" u="none" strike="noStrike" kern="1200" baseline="0">
                    <a:solidFill>
                      <a:schemeClr val="tx1">
                        <a:lumMod val="75000"/>
                        <a:lumOff val="25000"/>
                      </a:schemeClr>
                    </a:solidFill>
                    <a:latin typeface="Aptos Display" panose="020B0004020202020204" pitchFamily="34" charset="0"/>
                    <a:ea typeface="+mn-ea"/>
                    <a:cs typeface="+mn-cs"/>
                  </a:defRPr>
                </a:pPr>
                <a:r>
                  <a:rPr lang="en-IN" sz="1000" b="1" i="0" u="none" strike="noStrike" kern="1200" baseline="0">
                    <a:solidFill>
                      <a:schemeClr val="tx1">
                        <a:lumMod val="75000"/>
                        <a:lumOff val="25000"/>
                      </a:schemeClr>
                    </a:solidFill>
                    <a:latin typeface="Aptos Display" panose="020B0004020202020204" pitchFamily="34" charset="0"/>
                    <a:ea typeface="+mn-ea"/>
                    <a:cs typeface="+mn-cs"/>
                  </a:rPr>
                  <a:t>                  Sales</a:t>
                </a:r>
              </a:p>
            </c:rich>
          </c:tx>
          <c:overlay val="0"/>
        </c:title>
        <c:numFmt formatCode="General" sourceLinked="1"/>
        <c:majorTickMark val="out"/>
        <c:minorTickMark val="none"/>
        <c:tickLblPos val="nextTo"/>
        <c:txPr>
          <a:bodyPr/>
          <a:lstStyle/>
          <a:p>
            <a:pPr algn="ctr">
              <a:defRPr lang="en-US" sz="1050" b="0" i="0" u="none" strike="noStrike" kern="1200" baseline="0">
                <a:solidFill>
                  <a:schemeClr val="tx1"/>
                </a:solidFill>
                <a:latin typeface="Aptos Display" panose="020B0004020202020204" pitchFamily="34" charset="0"/>
                <a:ea typeface="+mn-ea"/>
                <a:cs typeface="+mn-cs"/>
              </a:defRPr>
            </a:pPr>
            <a:endParaRPr lang="en-US"/>
          </a:p>
        </c:txPr>
        <c:crossAx val="121263328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sng" strike="noStrike" kern="1200" baseline="0">
                <a:solidFill>
                  <a:srgbClr val="002060"/>
                </a:solidFill>
                <a:latin typeface="Aptos Display" panose="020B0004020202020204" pitchFamily="34" charset="0"/>
                <a:ea typeface="+mn-ea"/>
                <a:cs typeface="+mn-cs"/>
              </a:defRPr>
            </a:pPr>
            <a:r>
              <a:rPr lang="en-IN" sz="1600" b="1" i="0" u="sng" strike="noStrike" kern="1200" baseline="0">
                <a:solidFill>
                  <a:srgbClr val="002060"/>
                </a:solidFill>
                <a:latin typeface="Aptos Display" panose="020B0004020202020204" pitchFamily="34" charset="0"/>
                <a:ea typeface="+mn-ea"/>
                <a:cs typeface="+mn-cs"/>
              </a:rPr>
              <a:t>Sales vs Marketing Spend</a:t>
            </a:r>
          </a:p>
        </c:rich>
      </c:tx>
      <c:layout>
        <c:manualLayout>
          <c:xMode val="edge"/>
          <c:yMode val="edge"/>
          <c:x val="2.2336960444721072E-2"/>
          <c:y val="7.2185148444173122E-4"/>
        </c:manualLayout>
      </c:layout>
      <c:overlay val="0"/>
      <c:spPr>
        <a:noFill/>
        <a:ln>
          <a:noFill/>
        </a:ln>
        <a:effectLst/>
      </c:spPr>
      <c:txPr>
        <a:bodyPr rot="0" spcFirstLastPara="1" vertOverflow="ellipsis" vert="horz" wrap="square" anchor="ctr" anchorCtr="1"/>
        <a:lstStyle/>
        <a:p>
          <a:pPr algn="ctr" rtl="0">
            <a:defRPr lang="en-IN" sz="1400" b="1" i="0" u="sng" strike="noStrike" kern="1200" baseline="0">
              <a:solidFill>
                <a:srgbClr val="002060"/>
              </a:solidFill>
              <a:latin typeface="Aptos Display" panose="020B0004020202020204" pitchFamily="34" charset="0"/>
              <a:ea typeface="+mn-ea"/>
              <a:cs typeface="+mn-cs"/>
            </a:defRPr>
          </a:pPr>
          <a:endParaRPr lang="en-US"/>
        </a:p>
      </c:txPr>
    </c:title>
    <c:autoTitleDeleted val="0"/>
    <c:plotArea>
      <c:layout/>
      <c:scatterChart>
        <c:scatterStyle val="lineMarker"/>
        <c:varyColors val="0"/>
        <c:ser>
          <c:idx val="0"/>
          <c:order val="0"/>
          <c:tx>
            <c:strRef>
              <c:f>'Predictive Analysis'!$I$11</c:f>
              <c:strCache>
                <c:ptCount val="1"/>
                <c:pt idx="0">
                  <c:v>                  Sales</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trendline>
            <c:spPr>
              <a:ln w="22225" cap="rnd">
                <a:solidFill>
                  <a:srgbClr val="FF0000"/>
                </a:solidFill>
              </a:ln>
              <a:effectLst/>
            </c:spPr>
            <c:trendlineType val="linear"/>
            <c:dispRSqr val="0"/>
            <c:dispEq val="0"/>
          </c:trendline>
          <c:trendline>
            <c:spPr>
              <a:ln w="22225" cap="rnd">
                <a:solidFill>
                  <a:srgbClr val="FF0000"/>
                </a:solidFill>
              </a:ln>
              <a:effectLst/>
            </c:spPr>
            <c:trendlineType val="linear"/>
            <c:dispRSqr val="0"/>
            <c:dispEq val="0"/>
          </c:trendline>
          <c:xVal>
            <c:numRef>
              <c:f>'Predictive Analysis'!$H$12:$H$23</c:f>
              <c:numCache>
                <c:formatCode>_-[$$-409]* #,##0_ ;_-[$$-409]* \-#,##0\ ;_-[$$-409]* "-"??_ ;_-@_ </c:formatCode>
                <c:ptCount val="12"/>
                <c:pt idx="0">
                  <c:v>50506.344999999987</c:v>
                </c:pt>
                <c:pt idx="1">
                  <c:v>50506.344999999987</c:v>
                </c:pt>
                <c:pt idx="2">
                  <c:v>50506.344999999987</c:v>
                </c:pt>
                <c:pt idx="3">
                  <c:v>50506.344999999987</c:v>
                </c:pt>
                <c:pt idx="4">
                  <c:v>20315.925000000007</c:v>
                </c:pt>
                <c:pt idx="5">
                  <c:v>20315.925000000007</c:v>
                </c:pt>
                <c:pt idx="6">
                  <c:v>77432.677499999991</c:v>
                </c:pt>
                <c:pt idx="7">
                  <c:v>77432.677499999991</c:v>
                </c:pt>
                <c:pt idx="8">
                  <c:v>20315.925000000007</c:v>
                </c:pt>
                <c:pt idx="9">
                  <c:v>20315.925000000007</c:v>
                </c:pt>
                <c:pt idx="10">
                  <c:v>20315.925000000007</c:v>
                </c:pt>
                <c:pt idx="11">
                  <c:v>20315.925000000007</c:v>
                </c:pt>
              </c:numCache>
            </c:numRef>
          </c:xVal>
          <c:yVal>
            <c:numRef>
              <c:f>'Predictive Analysis'!$I$12:$I$23</c:f>
              <c:numCache>
                <c:formatCode>_-[$$-409]* #,##0_ ;_-[$$-409]* \-#,##0\ ;_-[$$-409]* "-"??_ ;_-@_ </c:formatCode>
                <c:ptCount val="12"/>
                <c:pt idx="0">
                  <c:v>291678</c:v>
                </c:pt>
                <c:pt idx="1">
                  <c:v>397260</c:v>
                </c:pt>
                <c:pt idx="2">
                  <c:v>436115</c:v>
                </c:pt>
                <c:pt idx="3">
                  <c:v>1127834</c:v>
                </c:pt>
                <c:pt idx="4">
                  <c:v>579705</c:v>
                </c:pt>
                <c:pt idx="5">
                  <c:v>321094</c:v>
                </c:pt>
                <c:pt idx="6">
                  <c:v>712020</c:v>
                </c:pt>
                <c:pt idx="7">
                  <c:v>1235742</c:v>
                </c:pt>
                <c:pt idx="8">
                  <c:v>627296</c:v>
                </c:pt>
                <c:pt idx="9">
                  <c:v>275503</c:v>
                </c:pt>
                <c:pt idx="10">
                  <c:v>571967</c:v>
                </c:pt>
                <c:pt idx="11">
                  <c:v>135654</c:v>
                </c:pt>
              </c:numCache>
            </c:numRef>
          </c:yVal>
          <c:smooth val="0"/>
          <c:extLst>
            <c:ext xmlns:c16="http://schemas.microsoft.com/office/drawing/2014/chart" uri="{C3380CC4-5D6E-409C-BE32-E72D297353CC}">
              <c16:uniqueId val="{00000002-83D7-46B9-B54C-C3F46C18B4DF}"/>
            </c:ext>
          </c:extLst>
        </c:ser>
        <c:dLbls>
          <c:showLegendKey val="0"/>
          <c:showVal val="0"/>
          <c:showCatName val="0"/>
          <c:showSerName val="0"/>
          <c:showPercent val="0"/>
          <c:showBubbleSize val="0"/>
        </c:dLbls>
        <c:axId val="2048237872"/>
        <c:axId val="2048234512"/>
      </c:scatterChart>
      <c:valAx>
        <c:axId val="2048237872"/>
        <c:scaling>
          <c:orientation val="minMax"/>
        </c:scaling>
        <c:delete val="0"/>
        <c:axPos val="b"/>
        <c:numFmt formatCode="_-[$$-409]* #,##0_ ;_-[$$-409]* \-#,##0\ ;_-[$$-409]* &quot;-&quot;??_ ;_-@_ "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2048234512"/>
        <c:crosses val="autoZero"/>
        <c:crossBetween val="midCat"/>
      </c:valAx>
      <c:valAx>
        <c:axId val="2048234512"/>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Aptos Display" panose="020B0004020202020204" pitchFamily="34" charset="0"/>
                <a:ea typeface="+mn-ea"/>
                <a:cs typeface="+mn-cs"/>
              </a:defRPr>
            </a:pPr>
            <a:endParaRPr lang="en-US"/>
          </a:p>
        </c:txPr>
        <c:crossAx val="20482378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Data Analytics Project.xlsx]Pivot!Sales In USD</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Pivot!$C$4</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Pivot!$B$5:$B$20</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2003</c:v>
                  </c:pt>
                  <c:pt idx="4">
                    <c:v>2004</c:v>
                  </c:pt>
                  <c:pt idx="8">
                    <c:v>2005</c:v>
                  </c:pt>
                </c:lvl>
              </c:multiLvlStrCache>
            </c:multiLvlStrRef>
          </c:cat>
          <c:val>
            <c:numRef>
              <c:f>Pivot!$C$5:$C$20</c:f>
              <c:numCache>
                <c:formatCode>_-[$$-409]* #,##0_ ;_-[$$-409]* \-#,##0\ ;_-[$$-409]* "-"??_ ;_-@_ </c:formatCode>
                <c:ptCount val="12"/>
                <c:pt idx="0">
                  <c:v>291678</c:v>
                </c:pt>
                <c:pt idx="1">
                  <c:v>397260</c:v>
                </c:pt>
                <c:pt idx="2">
                  <c:v>436115</c:v>
                </c:pt>
                <c:pt idx="3">
                  <c:v>1127834</c:v>
                </c:pt>
                <c:pt idx="4">
                  <c:v>579705</c:v>
                </c:pt>
                <c:pt idx="5">
                  <c:v>321094</c:v>
                </c:pt>
                <c:pt idx="6">
                  <c:v>712020</c:v>
                </c:pt>
                <c:pt idx="7">
                  <c:v>1235742</c:v>
                </c:pt>
                <c:pt idx="8">
                  <c:v>627296</c:v>
                </c:pt>
                <c:pt idx="9">
                  <c:v>275503</c:v>
                </c:pt>
                <c:pt idx="10">
                  <c:v>571967</c:v>
                </c:pt>
                <c:pt idx="11">
                  <c:v>135654</c:v>
                </c:pt>
              </c:numCache>
            </c:numRef>
          </c:val>
          <c:smooth val="0"/>
          <c:extLst>
            <c:ext xmlns:c16="http://schemas.microsoft.com/office/drawing/2014/chart" uri="{C3380CC4-5D6E-409C-BE32-E72D297353CC}">
              <c16:uniqueId val="{00000000-649E-409E-9E9B-BBDB346D7B09}"/>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32390224"/>
        <c:axId val="632392144"/>
      </c:lineChart>
      <c:catAx>
        <c:axId val="63239022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32392144"/>
        <c:crosses val="autoZero"/>
        <c:auto val="1"/>
        <c:lblAlgn val="ctr"/>
        <c:lblOffset val="100"/>
        <c:noMultiLvlLbl val="0"/>
      </c:catAx>
      <c:valAx>
        <c:axId val="632392144"/>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3239022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Data Analytics Project.xlsx]Pivot!Return By City</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Pivot!$Q$4</c:f>
              <c:strCache>
                <c:ptCount val="1"/>
                <c:pt idx="0">
                  <c:v>Total</c:v>
                </c:pt>
              </c:strCache>
            </c:strRef>
          </c:tx>
          <c:spPr>
            <a:solidFill>
              <a:schemeClr val="accent1"/>
            </a:solidFill>
            <a:ln>
              <a:noFill/>
            </a:ln>
            <a:effectLst/>
          </c:spPr>
          <c:invertIfNegative val="0"/>
          <c:cat>
            <c:strRef>
              <c:f>Pivot!$P$5:$P$15</c:f>
              <c:strCache>
                <c:ptCount val="10"/>
                <c:pt idx="0">
                  <c:v>Nantes</c:v>
                </c:pt>
                <c:pt idx="1">
                  <c:v>Liverpool</c:v>
                </c:pt>
                <c:pt idx="2">
                  <c:v>NYC</c:v>
                </c:pt>
                <c:pt idx="3">
                  <c:v>Pasadena</c:v>
                </c:pt>
                <c:pt idx="4">
                  <c:v>Boston</c:v>
                </c:pt>
                <c:pt idx="5">
                  <c:v>Chatswood</c:v>
                </c:pt>
                <c:pt idx="6">
                  <c:v>Boras</c:v>
                </c:pt>
                <c:pt idx="7">
                  <c:v>San Jose</c:v>
                </c:pt>
                <c:pt idx="8">
                  <c:v>Newark</c:v>
                </c:pt>
                <c:pt idx="9">
                  <c:v>Madrid</c:v>
                </c:pt>
              </c:strCache>
            </c:strRef>
          </c:cat>
          <c:val>
            <c:numRef>
              <c:f>Pivot!$Q$5:$Q$15</c:f>
              <c:numCache>
                <c:formatCode>General</c:formatCode>
                <c:ptCount val="10"/>
                <c:pt idx="0">
                  <c:v>427</c:v>
                </c:pt>
                <c:pt idx="1">
                  <c:v>429</c:v>
                </c:pt>
                <c:pt idx="2">
                  <c:v>454</c:v>
                </c:pt>
                <c:pt idx="3">
                  <c:v>469</c:v>
                </c:pt>
                <c:pt idx="4">
                  <c:v>506</c:v>
                </c:pt>
                <c:pt idx="5">
                  <c:v>532</c:v>
                </c:pt>
                <c:pt idx="6">
                  <c:v>550</c:v>
                </c:pt>
                <c:pt idx="7">
                  <c:v>571</c:v>
                </c:pt>
                <c:pt idx="8">
                  <c:v>585</c:v>
                </c:pt>
                <c:pt idx="9">
                  <c:v>1783</c:v>
                </c:pt>
              </c:numCache>
            </c:numRef>
          </c:val>
          <c:extLst>
            <c:ext xmlns:c16="http://schemas.microsoft.com/office/drawing/2014/chart" uri="{C3380CC4-5D6E-409C-BE32-E72D297353CC}">
              <c16:uniqueId val="{00000000-603D-4410-A984-6ED891E5C4B5}"/>
            </c:ext>
          </c:extLst>
        </c:ser>
        <c:dLbls>
          <c:showLegendKey val="0"/>
          <c:showVal val="0"/>
          <c:showCatName val="0"/>
          <c:showSerName val="0"/>
          <c:showPercent val="0"/>
          <c:showBubbleSize val="0"/>
        </c:dLbls>
        <c:gapWidth val="182"/>
        <c:axId val="355503007"/>
        <c:axId val="355489567"/>
      </c:barChart>
      <c:catAx>
        <c:axId val="355503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489567"/>
        <c:crosses val="autoZero"/>
        <c:auto val="1"/>
        <c:lblAlgn val="ctr"/>
        <c:lblOffset val="100"/>
        <c:noMultiLvlLbl val="0"/>
      </c:catAx>
      <c:valAx>
        <c:axId val="355489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503007"/>
        <c:crosses val="autoZero"/>
        <c:crossBetween val="between"/>
        <c:majorUnit val="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Data Analytics Project.xlsx]Pivot!Return By Product Catgeory</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Pivot!$Z$4</c:f>
              <c:strCache>
                <c:ptCount val="1"/>
                <c:pt idx="0">
                  <c:v>Total</c:v>
                </c:pt>
              </c:strCache>
            </c:strRef>
          </c:tx>
          <c:spPr>
            <a:solidFill>
              <a:schemeClr val="accent1"/>
            </a:solidFill>
            <a:ln>
              <a:noFill/>
            </a:ln>
            <a:effectLst/>
          </c:spPr>
          <c:invertIfNegative val="0"/>
          <c:cat>
            <c:strRef>
              <c:f>Pivot!$Y$5:$Y$12</c:f>
              <c:strCache>
                <c:ptCount val="7"/>
                <c:pt idx="0">
                  <c:v>Beverages</c:v>
                </c:pt>
                <c:pt idx="1">
                  <c:v>Dairy Products</c:v>
                </c:pt>
                <c:pt idx="2">
                  <c:v>Frozen Foods</c:v>
                </c:pt>
                <c:pt idx="3">
                  <c:v>Infant Nutrition</c:v>
                </c:pt>
                <c:pt idx="4">
                  <c:v>Instant Foods</c:v>
                </c:pt>
                <c:pt idx="5">
                  <c:v>Snacks</c:v>
                </c:pt>
                <c:pt idx="6">
                  <c:v>Water &amp; Juices</c:v>
                </c:pt>
              </c:strCache>
            </c:strRef>
          </c:cat>
          <c:val>
            <c:numRef>
              <c:f>Pivot!$Z$5:$Z$12</c:f>
              <c:numCache>
                <c:formatCode>General</c:formatCode>
                <c:ptCount val="7"/>
                <c:pt idx="0">
                  <c:v>2037</c:v>
                </c:pt>
                <c:pt idx="1">
                  <c:v>1788</c:v>
                </c:pt>
                <c:pt idx="2">
                  <c:v>90</c:v>
                </c:pt>
                <c:pt idx="3">
                  <c:v>1335</c:v>
                </c:pt>
                <c:pt idx="4">
                  <c:v>308</c:v>
                </c:pt>
                <c:pt idx="5">
                  <c:v>768</c:v>
                </c:pt>
                <c:pt idx="6">
                  <c:v>1338</c:v>
                </c:pt>
              </c:numCache>
            </c:numRef>
          </c:val>
          <c:extLst>
            <c:ext xmlns:c16="http://schemas.microsoft.com/office/drawing/2014/chart" uri="{C3380CC4-5D6E-409C-BE32-E72D297353CC}">
              <c16:uniqueId val="{00000000-6032-40AB-827D-6E9D8D1A4F10}"/>
            </c:ext>
          </c:extLst>
        </c:ser>
        <c:dLbls>
          <c:showLegendKey val="0"/>
          <c:showVal val="0"/>
          <c:showCatName val="0"/>
          <c:showSerName val="0"/>
          <c:showPercent val="0"/>
          <c:showBubbleSize val="0"/>
        </c:dLbls>
        <c:gapWidth val="219"/>
        <c:overlap val="-27"/>
        <c:axId val="404916703"/>
        <c:axId val="566395359"/>
      </c:barChart>
      <c:catAx>
        <c:axId val="40491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395359"/>
        <c:crosses val="autoZero"/>
        <c:auto val="1"/>
        <c:lblAlgn val="ctr"/>
        <c:lblOffset val="100"/>
        <c:noMultiLvlLbl val="0"/>
      </c:catAx>
      <c:valAx>
        <c:axId val="566395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91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Data Analytics Project.xlsx]Pivot!Return By Products</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Pivot!$Q$23</c:f>
              <c:strCache>
                <c:ptCount val="1"/>
                <c:pt idx="0">
                  <c:v>Total</c:v>
                </c:pt>
              </c:strCache>
            </c:strRef>
          </c:tx>
          <c:spPr>
            <a:solidFill>
              <a:schemeClr val="accent1"/>
            </a:solidFill>
            <a:ln>
              <a:noFill/>
            </a:ln>
            <a:effectLst/>
          </c:spPr>
          <c:invertIfNegative val="0"/>
          <c:cat>
            <c:strRef>
              <c:f>Pivot!$P$24:$P$34</c:f>
              <c:strCache>
                <c:ptCount val="10"/>
                <c:pt idx="0">
                  <c:v>SliceCheeze</c:v>
                </c:pt>
                <c:pt idx="1">
                  <c:v>BabyGrow 2</c:v>
                </c:pt>
                <c:pt idx="2">
                  <c:v>Butterly</c:v>
                </c:pt>
                <c:pt idx="3">
                  <c:v>AppleJoy</c:v>
                </c:pt>
                <c:pt idx="4">
                  <c:v>BrewSip Classic Coffee</c:v>
                </c:pt>
                <c:pt idx="5">
                  <c:v>Cold Bean Coffee</c:v>
                </c:pt>
                <c:pt idx="6">
                  <c:v>AquaGo</c:v>
                </c:pt>
                <c:pt idx="7">
                  <c:v>Brew Black Coffee</c:v>
                </c:pt>
                <c:pt idx="8">
                  <c:v>BabyGrow 1</c:v>
                </c:pt>
                <c:pt idx="9">
                  <c:v>Milko Gold</c:v>
                </c:pt>
              </c:strCache>
            </c:strRef>
          </c:cat>
          <c:val>
            <c:numRef>
              <c:f>Pivot!$Q$24:$Q$34</c:f>
              <c:numCache>
                <c:formatCode>General</c:formatCode>
                <c:ptCount val="10"/>
                <c:pt idx="0">
                  <c:v>196</c:v>
                </c:pt>
                <c:pt idx="1">
                  <c:v>303</c:v>
                </c:pt>
                <c:pt idx="2">
                  <c:v>459</c:v>
                </c:pt>
                <c:pt idx="3">
                  <c:v>483</c:v>
                </c:pt>
                <c:pt idx="4">
                  <c:v>486</c:v>
                </c:pt>
                <c:pt idx="5">
                  <c:v>535</c:v>
                </c:pt>
                <c:pt idx="6">
                  <c:v>543</c:v>
                </c:pt>
                <c:pt idx="7">
                  <c:v>589</c:v>
                </c:pt>
                <c:pt idx="8">
                  <c:v>668</c:v>
                </c:pt>
                <c:pt idx="9">
                  <c:v>931</c:v>
                </c:pt>
              </c:numCache>
            </c:numRef>
          </c:val>
          <c:extLst>
            <c:ext xmlns:c16="http://schemas.microsoft.com/office/drawing/2014/chart" uri="{C3380CC4-5D6E-409C-BE32-E72D297353CC}">
              <c16:uniqueId val="{00000000-1891-48EF-8279-64C29B57907A}"/>
            </c:ext>
          </c:extLst>
        </c:ser>
        <c:dLbls>
          <c:showLegendKey val="0"/>
          <c:showVal val="0"/>
          <c:showCatName val="0"/>
          <c:showSerName val="0"/>
          <c:showPercent val="0"/>
          <c:showBubbleSize val="0"/>
        </c:dLbls>
        <c:gapWidth val="182"/>
        <c:axId val="1925142399"/>
        <c:axId val="1925139039"/>
      </c:barChart>
      <c:catAx>
        <c:axId val="1925142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139039"/>
        <c:crosses val="autoZero"/>
        <c:auto val="1"/>
        <c:lblAlgn val="ctr"/>
        <c:lblOffset val="100"/>
        <c:noMultiLvlLbl val="0"/>
      </c:catAx>
      <c:valAx>
        <c:axId val="1925139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14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Data Analytics Project.xlsx]Pivot!Marketing Spend (Amt) Overtime</c:name>
    <c:fmtId val="23"/>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Pivot!$AL$4</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Pivot!$AK$5:$AK$20</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2003</c:v>
                  </c:pt>
                  <c:pt idx="4">
                    <c:v>2004</c:v>
                  </c:pt>
                  <c:pt idx="8">
                    <c:v>2005</c:v>
                  </c:pt>
                </c:lvl>
              </c:multiLvlStrCache>
            </c:multiLvlStrRef>
          </c:cat>
          <c:val>
            <c:numRef>
              <c:f>Pivot!$AL$5:$AL$20</c:f>
              <c:numCache>
                <c:formatCode>_-[$$-409]* #,##0_ ;_-[$$-409]* \-#,##0\ ;_-[$$-409]* "-"??_ ;_-@_ </c:formatCode>
                <c:ptCount val="12"/>
                <c:pt idx="0">
                  <c:v>50506.344999999987</c:v>
                </c:pt>
                <c:pt idx="1">
                  <c:v>50506.344999999987</c:v>
                </c:pt>
                <c:pt idx="2">
                  <c:v>50506.344999999987</c:v>
                </c:pt>
                <c:pt idx="3">
                  <c:v>50506.344999999987</c:v>
                </c:pt>
                <c:pt idx="4">
                  <c:v>20315.925000000007</c:v>
                </c:pt>
                <c:pt idx="5">
                  <c:v>20315.925000000007</c:v>
                </c:pt>
                <c:pt idx="6">
                  <c:v>77432.677499999991</c:v>
                </c:pt>
                <c:pt idx="7">
                  <c:v>77432.677499999991</c:v>
                </c:pt>
                <c:pt idx="8">
                  <c:v>20315.925000000007</c:v>
                </c:pt>
                <c:pt idx="9">
                  <c:v>20315.925000000007</c:v>
                </c:pt>
                <c:pt idx="10">
                  <c:v>20315.925000000007</c:v>
                </c:pt>
                <c:pt idx="11">
                  <c:v>20315.925000000007</c:v>
                </c:pt>
              </c:numCache>
            </c:numRef>
          </c:val>
          <c:smooth val="0"/>
          <c:extLst>
            <c:ext xmlns:c16="http://schemas.microsoft.com/office/drawing/2014/chart" uri="{C3380CC4-5D6E-409C-BE32-E72D297353CC}">
              <c16:uniqueId val="{00000001-0639-4CCD-8760-E6D7E0BEB2FB}"/>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39744191"/>
        <c:axId val="639746591"/>
      </c:lineChart>
      <c:catAx>
        <c:axId val="63974419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39746591"/>
        <c:crosses val="autoZero"/>
        <c:auto val="1"/>
        <c:lblAlgn val="ctr"/>
        <c:lblOffset val="100"/>
        <c:noMultiLvlLbl val="0"/>
      </c:catAx>
      <c:valAx>
        <c:axId val="639746591"/>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39744191"/>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Data Analytics Project.xlsx]Pivot!Marketing Spend(Amt) On Product Category</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Pivot!$AR$4</c:f>
              <c:strCache>
                <c:ptCount val="1"/>
                <c:pt idx="0">
                  <c:v>Total</c:v>
                </c:pt>
              </c:strCache>
            </c:strRef>
          </c:tx>
          <c:spPr>
            <a:solidFill>
              <a:schemeClr val="accent1"/>
            </a:solidFill>
            <a:ln>
              <a:noFill/>
            </a:ln>
            <a:effectLst/>
          </c:spPr>
          <c:invertIfNegative val="0"/>
          <c:cat>
            <c:strRef>
              <c:f>Pivot!$AQ$5:$AQ$12</c:f>
              <c:strCache>
                <c:ptCount val="7"/>
                <c:pt idx="0">
                  <c:v>Beverages</c:v>
                </c:pt>
                <c:pt idx="1">
                  <c:v>Dairy Products</c:v>
                </c:pt>
                <c:pt idx="2">
                  <c:v>Frozen Foods</c:v>
                </c:pt>
                <c:pt idx="3">
                  <c:v>Infant Nutrition</c:v>
                </c:pt>
                <c:pt idx="4">
                  <c:v>Instant Foods</c:v>
                </c:pt>
                <c:pt idx="5">
                  <c:v>Snacks</c:v>
                </c:pt>
                <c:pt idx="6">
                  <c:v>Water &amp; Juices</c:v>
                </c:pt>
              </c:strCache>
            </c:strRef>
          </c:cat>
          <c:val>
            <c:numRef>
              <c:f>Pivot!$AR$5:$AR$12</c:f>
              <c:numCache>
                <c:formatCode>_-[$$-409]* #,##0_ ;_-[$$-409]* \-#,##0\ ;_-[$$-409]* "-"??_ ;_-@_ </c:formatCode>
                <c:ptCount val="7"/>
                <c:pt idx="0">
                  <c:v>233908.63749999998</c:v>
                </c:pt>
                <c:pt idx="1">
                  <c:v>54022.80999999999</c:v>
                </c:pt>
                <c:pt idx="2">
                  <c:v>8737.6500000000051</c:v>
                </c:pt>
                <c:pt idx="3">
                  <c:v>114275.80000000002</c:v>
                </c:pt>
                <c:pt idx="4">
                  <c:v>34195.450000000012</c:v>
                </c:pt>
                <c:pt idx="5">
                  <c:v>18870.950000000004</c:v>
                </c:pt>
                <c:pt idx="6">
                  <c:v>14774.987499999999</c:v>
                </c:pt>
              </c:numCache>
            </c:numRef>
          </c:val>
          <c:extLst>
            <c:ext xmlns:c16="http://schemas.microsoft.com/office/drawing/2014/chart" uri="{C3380CC4-5D6E-409C-BE32-E72D297353CC}">
              <c16:uniqueId val="{00000001-DDDB-4359-BDFF-060655F1842C}"/>
            </c:ext>
          </c:extLst>
        </c:ser>
        <c:dLbls>
          <c:showLegendKey val="0"/>
          <c:showVal val="0"/>
          <c:showCatName val="0"/>
          <c:showSerName val="0"/>
          <c:showPercent val="0"/>
          <c:showBubbleSize val="0"/>
        </c:dLbls>
        <c:gapWidth val="219"/>
        <c:overlap val="-27"/>
        <c:axId val="355487167"/>
        <c:axId val="355501087"/>
      </c:barChart>
      <c:catAx>
        <c:axId val="35548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501087"/>
        <c:crosses val="autoZero"/>
        <c:auto val="1"/>
        <c:lblAlgn val="ctr"/>
        <c:lblOffset val="100"/>
        <c:noMultiLvlLbl val="0"/>
      </c:catAx>
      <c:valAx>
        <c:axId val="355501087"/>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48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Data Analytics Project.xlsx]Pivot!Marketing Spend(Amt) On Products</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Pivot!$AL$26</c:f>
              <c:strCache>
                <c:ptCount val="1"/>
                <c:pt idx="0">
                  <c:v>Total</c:v>
                </c:pt>
              </c:strCache>
            </c:strRef>
          </c:tx>
          <c:spPr>
            <a:solidFill>
              <a:schemeClr val="accent1"/>
            </a:solidFill>
            <a:ln>
              <a:noFill/>
            </a:ln>
            <a:effectLst/>
          </c:spPr>
          <c:invertIfNegative val="0"/>
          <c:cat>
            <c:strRef>
              <c:f>Pivot!$AK$27:$AK$37</c:f>
              <c:strCache>
                <c:ptCount val="10"/>
                <c:pt idx="0">
                  <c:v>FizzUp Orange Soda</c:v>
                </c:pt>
                <c:pt idx="1">
                  <c:v>PastaJoy</c:v>
                </c:pt>
                <c:pt idx="2">
                  <c:v>TinyBite Cereal</c:v>
                </c:pt>
                <c:pt idx="3">
                  <c:v>Milko Gold</c:v>
                </c:pt>
                <c:pt idx="4">
                  <c:v>Zest Lemon Tea</c:v>
                </c:pt>
                <c:pt idx="5">
                  <c:v>BabyGrow 1</c:v>
                </c:pt>
                <c:pt idx="6">
                  <c:v>BabyGrow 2</c:v>
                </c:pt>
                <c:pt idx="7">
                  <c:v>Cold Bean Coffee</c:v>
                </c:pt>
                <c:pt idx="8">
                  <c:v>Brew Black Coffee</c:v>
                </c:pt>
                <c:pt idx="9">
                  <c:v>BrewSip Classic Coffee</c:v>
                </c:pt>
              </c:strCache>
            </c:strRef>
          </c:cat>
          <c:val>
            <c:numRef>
              <c:f>Pivot!$AL$27:$AL$37</c:f>
              <c:numCache>
                <c:formatCode>_-[$$-409]* #,##0_ ;_-[$$-409]* \-#,##0\ ;_-[$$-409]* "-"??_ ;_-@_ </c:formatCode>
                <c:ptCount val="10"/>
                <c:pt idx="0">
                  <c:v>11836.65</c:v>
                </c:pt>
                <c:pt idx="1">
                  <c:v>14878.75</c:v>
                </c:pt>
                <c:pt idx="2">
                  <c:v>23701.049999999996</c:v>
                </c:pt>
                <c:pt idx="3">
                  <c:v>27125.160000000003</c:v>
                </c:pt>
                <c:pt idx="4">
                  <c:v>29727.637499999997</c:v>
                </c:pt>
                <c:pt idx="5">
                  <c:v>38613.300000000003</c:v>
                </c:pt>
                <c:pt idx="6">
                  <c:v>45926.25</c:v>
                </c:pt>
                <c:pt idx="7">
                  <c:v>58359.600000000013</c:v>
                </c:pt>
                <c:pt idx="8">
                  <c:v>62950.149999999994</c:v>
                </c:pt>
                <c:pt idx="9">
                  <c:v>71034.600000000006</c:v>
                </c:pt>
              </c:numCache>
            </c:numRef>
          </c:val>
          <c:extLst>
            <c:ext xmlns:c16="http://schemas.microsoft.com/office/drawing/2014/chart" uri="{C3380CC4-5D6E-409C-BE32-E72D297353CC}">
              <c16:uniqueId val="{00000000-ACE0-4166-83E4-7762DEA42BF5}"/>
            </c:ext>
          </c:extLst>
        </c:ser>
        <c:dLbls>
          <c:showLegendKey val="0"/>
          <c:showVal val="0"/>
          <c:showCatName val="0"/>
          <c:showSerName val="0"/>
          <c:showPercent val="0"/>
          <c:showBubbleSize val="0"/>
        </c:dLbls>
        <c:gapWidth val="182"/>
        <c:axId val="751660447"/>
        <c:axId val="751665247"/>
      </c:barChart>
      <c:catAx>
        <c:axId val="751660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665247"/>
        <c:crosses val="autoZero"/>
        <c:auto val="1"/>
        <c:lblAlgn val="ctr"/>
        <c:lblOffset val="100"/>
        <c:noMultiLvlLbl val="0"/>
      </c:catAx>
      <c:valAx>
        <c:axId val="751665247"/>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66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Data Analytics Project.xlsx]Pivot!PivotTable2</c:name>
    <c:fmtId val="29"/>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Pivot!$BT$6</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Pivot!$BS$7:$BS$25</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2003</c:v>
                  </c:pt>
                  <c:pt idx="4">
                    <c:v>2004</c:v>
                  </c:pt>
                  <c:pt idx="8">
                    <c:v>2005</c:v>
                  </c:pt>
                </c:lvl>
              </c:multiLvlStrCache>
            </c:multiLvlStrRef>
          </c:cat>
          <c:val>
            <c:numRef>
              <c:f>Pivot!$BT$7:$BT$25</c:f>
              <c:numCache>
                <c:formatCode>_-[$$-409]* #,##0_ ;_-[$$-409]* \-#,##0\ ;_-[$$-409]* "-"??_ ;_-@_ </c:formatCode>
                <c:ptCount val="12"/>
                <c:pt idx="0">
                  <c:v>291678</c:v>
                </c:pt>
                <c:pt idx="1">
                  <c:v>397260</c:v>
                </c:pt>
                <c:pt idx="2">
                  <c:v>436115</c:v>
                </c:pt>
                <c:pt idx="3">
                  <c:v>1127834</c:v>
                </c:pt>
                <c:pt idx="4">
                  <c:v>579705</c:v>
                </c:pt>
                <c:pt idx="5">
                  <c:v>321094</c:v>
                </c:pt>
                <c:pt idx="6">
                  <c:v>712020</c:v>
                </c:pt>
                <c:pt idx="7">
                  <c:v>1235742</c:v>
                </c:pt>
                <c:pt idx="8">
                  <c:v>627296</c:v>
                </c:pt>
                <c:pt idx="9">
                  <c:v>275503</c:v>
                </c:pt>
                <c:pt idx="10">
                  <c:v>571967</c:v>
                </c:pt>
                <c:pt idx="11">
                  <c:v>135654</c:v>
                </c:pt>
              </c:numCache>
            </c:numRef>
          </c:val>
          <c:smooth val="0"/>
          <c:extLst>
            <c:ext xmlns:c16="http://schemas.microsoft.com/office/drawing/2014/chart" uri="{C3380CC4-5D6E-409C-BE32-E72D297353CC}">
              <c16:uniqueId val="{00000000-9EE6-4A5E-8BBD-CD4F5629BDBE}"/>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200640368"/>
        <c:axId val="1200650928"/>
      </c:lineChart>
      <c:catAx>
        <c:axId val="120064036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00650928"/>
        <c:crosses val="autoZero"/>
        <c:auto val="1"/>
        <c:lblAlgn val="ctr"/>
        <c:lblOffset val="100"/>
        <c:noMultiLvlLbl val="0"/>
      </c:catAx>
      <c:valAx>
        <c:axId val="1200650928"/>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0064036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Data Analytics Project.xlsx]Pivot!PivotTable3</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Pivot!$CJ$6</c:f>
              <c:strCache>
                <c:ptCount val="1"/>
                <c:pt idx="0">
                  <c:v>Total</c:v>
                </c:pt>
              </c:strCache>
            </c:strRef>
          </c:tx>
          <c:spPr>
            <a:solidFill>
              <a:schemeClr val="accent1"/>
            </a:solidFill>
            <a:ln>
              <a:noFill/>
            </a:ln>
            <a:effectLst/>
          </c:spPr>
          <c:invertIfNegative val="0"/>
          <c:cat>
            <c:strRef>
              <c:f>Pivot!$CI$7:$CI$17</c:f>
              <c:strCache>
                <c:ptCount val="10"/>
                <c:pt idx="0">
                  <c:v>Linford Wholesale</c:v>
                </c:pt>
                <c:pt idx="1">
                  <c:v>Penrose Retailers</c:v>
                </c:pt>
                <c:pt idx="2">
                  <c:v>Timberlake Depot</c:v>
                </c:pt>
                <c:pt idx="3">
                  <c:v>Oakridge Retailers</c:v>
                </c:pt>
                <c:pt idx="4">
                  <c:v>Sheffield Retailers</c:v>
                </c:pt>
                <c:pt idx="5">
                  <c:v>Meadowbrook Wholesale</c:v>
                </c:pt>
                <c:pt idx="6">
                  <c:v>Edgewell Mart</c:v>
                </c:pt>
                <c:pt idx="7">
                  <c:v>Radcliffe Retailers</c:v>
                </c:pt>
                <c:pt idx="8">
                  <c:v>Millford Wholesale</c:v>
                </c:pt>
                <c:pt idx="9">
                  <c:v>Lonsdale Wholesale</c:v>
                </c:pt>
              </c:strCache>
            </c:strRef>
          </c:cat>
          <c:val>
            <c:numRef>
              <c:f>Pivot!$CJ$7:$CJ$17</c:f>
              <c:numCache>
                <c:formatCode>_-[$$-409]* #,##0_ ;_-[$$-409]* \-#,##0\ ;_-[$$-409]* "-"??_ ;_-@_ </c:formatCode>
                <c:ptCount val="10"/>
                <c:pt idx="0">
                  <c:v>120572</c:v>
                </c:pt>
                <c:pt idx="1">
                  <c:v>122104</c:v>
                </c:pt>
                <c:pt idx="2">
                  <c:v>125415</c:v>
                </c:pt>
                <c:pt idx="3">
                  <c:v>125963</c:v>
                </c:pt>
                <c:pt idx="4">
                  <c:v>130192</c:v>
                </c:pt>
                <c:pt idx="5">
                  <c:v>139536</c:v>
                </c:pt>
                <c:pt idx="6">
                  <c:v>147740</c:v>
                </c:pt>
                <c:pt idx="7">
                  <c:v>169803</c:v>
                </c:pt>
                <c:pt idx="8">
                  <c:v>533625</c:v>
                </c:pt>
                <c:pt idx="9">
                  <c:v>643965</c:v>
                </c:pt>
              </c:numCache>
            </c:numRef>
          </c:val>
          <c:extLst>
            <c:ext xmlns:c16="http://schemas.microsoft.com/office/drawing/2014/chart" uri="{C3380CC4-5D6E-409C-BE32-E72D297353CC}">
              <c16:uniqueId val="{00000000-8A88-4745-8C95-A8794267F144}"/>
            </c:ext>
          </c:extLst>
        </c:ser>
        <c:dLbls>
          <c:showLegendKey val="0"/>
          <c:showVal val="0"/>
          <c:showCatName val="0"/>
          <c:showSerName val="0"/>
          <c:showPercent val="0"/>
          <c:showBubbleSize val="0"/>
        </c:dLbls>
        <c:gapWidth val="182"/>
        <c:axId val="1757260431"/>
        <c:axId val="1757261391"/>
      </c:barChart>
      <c:catAx>
        <c:axId val="1757260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261391"/>
        <c:crosses val="autoZero"/>
        <c:auto val="1"/>
        <c:lblAlgn val="ctr"/>
        <c:lblOffset val="100"/>
        <c:noMultiLvlLbl val="0"/>
      </c:catAx>
      <c:valAx>
        <c:axId val="1757261391"/>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26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Data Analytics Project.xlsx]Pivot!PivotTable4</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Pivot!$CW$6</c:f>
              <c:strCache>
                <c:ptCount val="1"/>
                <c:pt idx="0">
                  <c:v>Total</c:v>
                </c:pt>
              </c:strCache>
            </c:strRef>
          </c:tx>
          <c:spPr>
            <a:solidFill>
              <a:schemeClr val="accent1"/>
            </a:solidFill>
            <a:ln>
              <a:noFill/>
            </a:ln>
            <a:effectLst/>
          </c:spPr>
          <c:invertIfNegative val="0"/>
          <c:cat>
            <c:strRef>
              <c:f>Pivot!$CV$7:$CV$26</c:f>
              <c:strCache>
                <c:ptCount val="19"/>
                <c:pt idx="0">
                  <c:v>Ireland</c:v>
                </c:pt>
                <c:pt idx="1">
                  <c:v>Philippines</c:v>
                </c:pt>
                <c:pt idx="2">
                  <c:v>Switzerland</c:v>
                </c:pt>
                <c:pt idx="3">
                  <c:v>Sweden</c:v>
                </c:pt>
                <c:pt idx="4">
                  <c:v>Belgium</c:v>
                </c:pt>
                <c:pt idx="5">
                  <c:v>Germany</c:v>
                </c:pt>
                <c:pt idx="6">
                  <c:v>Norway</c:v>
                </c:pt>
                <c:pt idx="7">
                  <c:v>Japan</c:v>
                </c:pt>
                <c:pt idx="8">
                  <c:v>Denmark</c:v>
                </c:pt>
                <c:pt idx="9">
                  <c:v>Austria</c:v>
                </c:pt>
                <c:pt idx="10">
                  <c:v>Canada</c:v>
                </c:pt>
                <c:pt idx="11">
                  <c:v>Singapore</c:v>
                </c:pt>
                <c:pt idx="12">
                  <c:v>Italy</c:v>
                </c:pt>
                <c:pt idx="13">
                  <c:v>Australia</c:v>
                </c:pt>
                <c:pt idx="14">
                  <c:v>Finland</c:v>
                </c:pt>
                <c:pt idx="15">
                  <c:v>UK</c:v>
                </c:pt>
                <c:pt idx="16">
                  <c:v>France</c:v>
                </c:pt>
                <c:pt idx="17">
                  <c:v>Spain</c:v>
                </c:pt>
                <c:pt idx="18">
                  <c:v>USA</c:v>
                </c:pt>
              </c:strCache>
            </c:strRef>
          </c:cat>
          <c:val>
            <c:numRef>
              <c:f>Pivot!$CW$7:$CW$26</c:f>
              <c:numCache>
                <c:formatCode>_-[$$-409]* #,##0_ ;_-[$$-409]* \-#,##0\ ;_-[$$-409]* "-"??_ ;_-@_ </c:formatCode>
                <c:ptCount val="19"/>
                <c:pt idx="0">
                  <c:v>27194</c:v>
                </c:pt>
                <c:pt idx="1">
                  <c:v>52540</c:v>
                </c:pt>
                <c:pt idx="2">
                  <c:v>73455</c:v>
                </c:pt>
                <c:pt idx="3">
                  <c:v>93782</c:v>
                </c:pt>
                <c:pt idx="4">
                  <c:v>124888</c:v>
                </c:pt>
                <c:pt idx="5">
                  <c:v>135589</c:v>
                </c:pt>
                <c:pt idx="6">
                  <c:v>144786</c:v>
                </c:pt>
                <c:pt idx="7">
                  <c:v>151404</c:v>
                </c:pt>
                <c:pt idx="8">
                  <c:v>153659</c:v>
                </c:pt>
                <c:pt idx="9">
                  <c:v>160769</c:v>
                </c:pt>
                <c:pt idx="10">
                  <c:v>182608</c:v>
                </c:pt>
                <c:pt idx="11">
                  <c:v>186704</c:v>
                </c:pt>
                <c:pt idx="12">
                  <c:v>236674</c:v>
                </c:pt>
                <c:pt idx="13">
                  <c:v>303472</c:v>
                </c:pt>
                <c:pt idx="14">
                  <c:v>339577</c:v>
                </c:pt>
                <c:pt idx="15">
                  <c:v>386109</c:v>
                </c:pt>
                <c:pt idx="16">
                  <c:v>800612</c:v>
                </c:pt>
                <c:pt idx="17">
                  <c:v>886435</c:v>
                </c:pt>
                <c:pt idx="18">
                  <c:v>2271611</c:v>
                </c:pt>
              </c:numCache>
            </c:numRef>
          </c:val>
          <c:extLst>
            <c:ext xmlns:c16="http://schemas.microsoft.com/office/drawing/2014/chart" uri="{C3380CC4-5D6E-409C-BE32-E72D297353CC}">
              <c16:uniqueId val="{00000000-4221-4FE9-8040-7957FAC5C9D2}"/>
            </c:ext>
          </c:extLst>
        </c:ser>
        <c:dLbls>
          <c:showLegendKey val="0"/>
          <c:showVal val="0"/>
          <c:showCatName val="0"/>
          <c:showSerName val="0"/>
          <c:showPercent val="0"/>
          <c:showBubbleSize val="0"/>
        </c:dLbls>
        <c:gapWidth val="182"/>
        <c:axId val="1966415039"/>
        <c:axId val="1059672927"/>
      </c:barChart>
      <c:catAx>
        <c:axId val="1966415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672927"/>
        <c:crosses val="autoZero"/>
        <c:auto val="1"/>
        <c:lblAlgn val="ctr"/>
        <c:lblOffset val="100"/>
        <c:noMultiLvlLbl val="0"/>
      </c:catAx>
      <c:valAx>
        <c:axId val="1059672927"/>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41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Data Analytics Project.xlsx]Pivot!PivotTable5</c:name>
    <c:fmtId val="36"/>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2060"/>
          </a:solidFill>
          <a:ln>
            <a:noFill/>
          </a:ln>
          <a:effectLst>
            <a:outerShdw blurRad="254000" sx="102000" sy="102000" algn="ctr" rotWithShape="0">
              <a:prstClr val="black">
                <a:alpha val="20000"/>
              </a:prstClr>
            </a:outerShdw>
          </a:effectLst>
        </c:spPr>
      </c:pivotFmt>
      <c:pivotFmt>
        <c:idx val="2"/>
        <c:spPr>
          <a:solidFill>
            <a:schemeClr val="bg1"/>
          </a:solidFill>
          <a:ln>
            <a:noFill/>
          </a:ln>
          <a:effectLst>
            <a:outerShdw blurRad="254000" sx="102000" sy="102000" algn="ctr" rotWithShape="0">
              <a:prstClr val="black">
                <a:alpha val="20000"/>
              </a:prstClr>
            </a:outerShdw>
          </a:effectLst>
        </c:spPr>
      </c:pivotFmt>
      <c:pivotFmt>
        <c:idx val="3"/>
        <c:spPr>
          <a:solidFill>
            <a:srgbClr val="0070C0"/>
          </a:solidFill>
          <a:ln>
            <a:noFill/>
          </a:ln>
          <a:effectLst>
            <a:outerShdw blurRad="254000" sx="102000" sy="102000" algn="ctr" rotWithShape="0">
              <a:prstClr val="black">
                <a:alpha val="20000"/>
              </a:prstClr>
            </a:outerShdw>
          </a:effectLst>
        </c:spPr>
      </c:pivotFmt>
      <c:pivotFmt>
        <c:idx val="4"/>
        <c:spPr>
          <a:solidFill>
            <a:srgbClr val="00B0F0"/>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Pivot!$DK$6</c:f>
              <c:strCache>
                <c:ptCount val="1"/>
                <c:pt idx="0">
                  <c:v>Total</c:v>
                </c:pt>
              </c:strCache>
            </c:strRef>
          </c:tx>
          <c:dPt>
            <c:idx val="0"/>
            <c:bubble3D val="0"/>
            <c:spPr>
              <a:solidFill>
                <a:srgbClr val="00B0F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F1F-42A9-BE3B-5EE39A3CDA79}"/>
              </c:ext>
            </c:extLst>
          </c:dPt>
          <c:dPt>
            <c:idx val="1"/>
            <c:bubble3D val="0"/>
            <c:spPr>
              <a:solidFill>
                <a:srgbClr val="00206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0F1F-42A9-BE3B-5EE39A3CDA79}"/>
              </c:ext>
            </c:extLst>
          </c:dPt>
          <c:dPt>
            <c:idx val="2"/>
            <c:bubble3D val="0"/>
            <c:spPr>
              <a:solidFill>
                <a:srgbClr val="0070C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0F1F-42A9-BE3B-5EE39A3CDA79}"/>
              </c:ext>
            </c:extLst>
          </c:dPt>
          <c:dPt>
            <c:idx val="3"/>
            <c:bubble3D val="0"/>
            <c:spPr>
              <a:solidFill>
                <a:schemeClr val="bg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F1F-42A9-BE3B-5EE39A3CDA7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Pivot!$DJ$7:$DJ$11</c:f>
              <c:strCache>
                <c:ptCount val="4"/>
                <c:pt idx="0">
                  <c:v>APAC</c:v>
                </c:pt>
                <c:pt idx="1">
                  <c:v>EMEA</c:v>
                </c:pt>
                <c:pt idx="2">
                  <c:v>Japan</c:v>
                </c:pt>
                <c:pt idx="3">
                  <c:v>NA</c:v>
                </c:pt>
              </c:strCache>
            </c:strRef>
          </c:cat>
          <c:val>
            <c:numRef>
              <c:f>Pivot!$DK$7:$DK$11</c:f>
              <c:numCache>
                <c:formatCode>_-[$$-409]* #,##0_ ;_-[$$-409]* \-#,##0\ ;_-[$$-409]* "-"??_ ;_-@_ </c:formatCode>
                <c:ptCount val="4"/>
                <c:pt idx="0">
                  <c:v>369604</c:v>
                </c:pt>
                <c:pt idx="1">
                  <c:v>3563529</c:v>
                </c:pt>
                <c:pt idx="2">
                  <c:v>324516</c:v>
                </c:pt>
                <c:pt idx="3">
                  <c:v>2454219</c:v>
                </c:pt>
              </c:numCache>
            </c:numRef>
          </c:val>
          <c:extLst>
            <c:ext xmlns:c16="http://schemas.microsoft.com/office/drawing/2014/chart" uri="{C3380CC4-5D6E-409C-BE32-E72D297353CC}">
              <c16:uniqueId val="{00000000-0F1F-42A9-BE3B-5EE39A3CDA7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Data Analytics Project.xlsx]Pivot!PivotTable7</c:name>
    <c:fmtId val="41"/>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bg1"/>
          </a:solidFill>
          <a:ln>
            <a:noFill/>
          </a:ln>
          <a:effectLst>
            <a:outerShdw blurRad="254000" sx="102000" sy="102000" algn="ctr" rotWithShape="0">
              <a:prstClr val="black">
                <a:alpha val="20000"/>
              </a:prstClr>
            </a:outerShdw>
          </a:effectLst>
        </c:spPr>
      </c:pivotFmt>
      <c:pivotFmt>
        <c:idx val="2"/>
        <c:spPr>
          <a:solidFill>
            <a:srgbClr val="0070C0"/>
          </a:solidFill>
          <a:ln>
            <a:noFill/>
          </a:ln>
          <a:effectLst>
            <a:outerShdw blurRad="254000" sx="102000" sy="102000" algn="ctr" rotWithShape="0">
              <a:prstClr val="black">
                <a:alpha val="20000"/>
              </a:prstClr>
            </a:outerShdw>
          </a:effectLst>
        </c:spPr>
      </c:pivotFmt>
      <c:pivotFmt>
        <c:idx val="3"/>
        <c:spPr>
          <a:solidFill>
            <a:srgbClr val="002060"/>
          </a:solidFill>
          <a:ln>
            <a:noFill/>
          </a:ln>
          <a:effectLst>
            <a:outerShdw blurRad="254000" sx="102000" sy="102000" algn="ctr" rotWithShape="0">
              <a:prstClr val="black">
                <a:alpha val="20000"/>
              </a:prstClr>
            </a:outerShdw>
          </a:effectLst>
        </c:spPr>
        <c:dLbl>
          <c:idx val="0"/>
          <c:layout>
            <c:manualLayout>
              <c:x val="-2.7777777777777779E-3"/>
              <c:y val="-1.388888888888888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lumMod val="20000"/>
              <a:lumOff val="80000"/>
            </a:schemeClr>
          </a:solidFill>
          <a:ln>
            <a:noFill/>
          </a:ln>
          <a:effectLst>
            <a:outerShdw blurRad="254000" sx="102000" sy="102000" algn="ctr" rotWithShape="0">
              <a:prstClr val="black">
                <a:alpha val="20000"/>
              </a:prstClr>
            </a:outerShdw>
          </a:effectLst>
        </c:spPr>
        <c:dLbl>
          <c:idx val="0"/>
          <c:layout>
            <c:manualLayout>
              <c:x val="1.9444444444444445E-2"/>
              <c:y val="-4.166666666666666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a:outerShdw blurRad="254000" sx="102000" sy="102000" algn="ctr" rotWithShape="0">
              <a:prstClr val="black">
                <a:alpha val="20000"/>
              </a:prstClr>
            </a:outerShdw>
          </a:effectLst>
        </c:spPr>
        <c:dLbl>
          <c:idx val="0"/>
          <c:layout>
            <c:manualLayout>
              <c:x val="-5.5555555555556061E-3"/>
              <c:y val="-3.703703703703703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lumMod val="40000"/>
              <a:lumOff val="60000"/>
            </a:schemeClr>
          </a:solidFill>
          <a:ln>
            <a:noFill/>
          </a:ln>
          <a:effectLst>
            <a:outerShdw blurRad="254000" sx="102000" sy="102000" algn="ctr" rotWithShape="0">
              <a:prstClr val="black">
                <a:alpha val="20000"/>
              </a:prstClr>
            </a:outerShdw>
          </a:effectLst>
        </c:spPr>
        <c:dLbl>
          <c:idx val="0"/>
          <c:layout>
            <c:manualLayout>
              <c:x val="0"/>
              <c:y val="-4.166666666666668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0B0F0"/>
          </a:solidFill>
          <a:ln>
            <a:noFill/>
          </a:ln>
          <a:effectLst>
            <a:outerShdw blurRad="254000" sx="102000" sy="102000" algn="ctr" rotWithShape="0">
              <a:prstClr val="black">
                <a:alpha val="20000"/>
              </a:prstClr>
            </a:outerShdw>
          </a:effectLst>
        </c:spPr>
        <c:dLbl>
          <c:idx val="0"/>
          <c:layout>
            <c:manualLayout>
              <c:x val="-1.1111111111111112E-2"/>
              <c:y val="-1.388888888888888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Pivot!$DV$6</c:f>
              <c:strCache>
                <c:ptCount val="1"/>
                <c:pt idx="0">
                  <c:v>Total</c:v>
                </c:pt>
              </c:strCache>
            </c:strRef>
          </c:tx>
          <c:dPt>
            <c:idx val="0"/>
            <c:bubble3D val="0"/>
            <c:spPr>
              <a:solidFill>
                <a:schemeClr val="bg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2A11-4BEC-A586-8CBAFF529925}"/>
              </c:ext>
            </c:extLst>
          </c:dPt>
          <c:dPt>
            <c:idx val="1"/>
            <c:bubble3D val="0"/>
            <c:spPr>
              <a:solidFill>
                <a:srgbClr val="00206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A11-4BEC-A586-8CBAFF529925}"/>
              </c:ext>
            </c:extLst>
          </c:dPt>
          <c:dPt>
            <c:idx val="2"/>
            <c:bubble3D val="0"/>
            <c:spPr>
              <a:solidFill>
                <a:srgbClr val="0070C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A11-4BEC-A586-8CBAFF529925}"/>
              </c:ext>
            </c:extLst>
          </c:dPt>
          <c:dPt>
            <c:idx val="3"/>
            <c:bubble3D val="0"/>
            <c:spPr>
              <a:solidFill>
                <a:srgbClr val="00B0F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2A11-4BEC-A586-8CBAFF529925}"/>
              </c:ext>
            </c:extLst>
          </c:dPt>
          <c:dPt>
            <c:idx val="4"/>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2A11-4BEC-A586-8CBAFF529925}"/>
              </c:ext>
            </c:extLst>
          </c:dPt>
          <c:dPt>
            <c:idx val="5"/>
            <c:bubble3D val="0"/>
            <c:spPr>
              <a:solidFill>
                <a:schemeClr val="accent1">
                  <a:lumMod val="40000"/>
                  <a:lumOff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A11-4BEC-A586-8CBAFF529925}"/>
              </c:ext>
            </c:extLst>
          </c:dPt>
          <c:dPt>
            <c:idx val="6"/>
            <c:bubble3D val="0"/>
            <c:spPr>
              <a:solidFill>
                <a:schemeClr val="accent1">
                  <a:lumMod val="20000"/>
                  <a:lumOff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2A11-4BEC-A586-8CBAFF529925}"/>
              </c:ext>
            </c:extLst>
          </c:dPt>
          <c:dLbls>
            <c:dLbl>
              <c:idx val="1"/>
              <c:layout>
                <c:manualLayout>
                  <c:x val="-2.7777777777777779E-3"/>
                  <c:y val="-1.388888888888888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A11-4BEC-A586-8CBAFF529925}"/>
                </c:ext>
              </c:extLst>
            </c:dLbl>
            <c:dLbl>
              <c:idx val="3"/>
              <c:layout>
                <c:manualLayout>
                  <c:x val="-1.1111111111111112E-2"/>
                  <c:y val="-1.388888888888888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A11-4BEC-A586-8CBAFF529925}"/>
                </c:ext>
              </c:extLst>
            </c:dLbl>
            <c:dLbl>
              <c:idx val="4"/>
              <c:layout>
                <c:manualLayout>
                  <c:x val="-5.5555555555556061E-3"/>
                  <c:y val="-3.703703703703703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2A11-4BEC-A586-8CBAFF529925}"/>
                </c:ext>
              </c:extLst>
            </c:dLbl>
            <c:dLbl>
              <c:idx val="5"/>
              <c:layout>
                <c:manualLayout>
                  <c:x val="0"/>
                  <c:y val="-4.166666666666668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A11-4BEC-A586-8CBAFF529925}"/>
                </c:ext>
              </c:extLst>
            </c:dLbl>
            <c:dLbl>
              <c:idx val="6"/>
              <c:layout>
                <c:manualLayout>
                  <c:x val="1.9444444444444445E-2"/>
                  <c:y val="-4.16666666666666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2A11-4BEC-A586-8CBAFF529925}"/>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Pivot!$DU$7:$DU$14</c:f>
              <c:strCache>
                <c:ptCount val="7"/>
                <c:pt idx="0">
                  <c:v>Beverages</c:v>
                </c:pt>
                <c:pt idx="1">
                  <c:v>Infant Nutrition</c:v>
                </c:pt>
                <c:pt idx="2">
                  <c:v>Dairy Products</c:v>
                </c:pt>
                <c:pt idx="3">
                  <c:v>Instant Foods</c:v>
                </c:pt>
                <c:pt idx="4">
                  <c:v>Water &amp; Juices</c:v>
                </c:pt>
                <c:pt idx="5">
                  <c:v>Snacks</c:v>
                </c:pt>
                <c:pt idx="6">
                  <c:v>Frozen Foods</c:v>
                </c:pt>
              </c:strCache>
            </c:strRef>
          </c:cat>
          <c:val>
            <c:numRef>
              <c:f>Pivot!$DV$7:$DV$14</c:f>
              <c:numCache>
                <c:formatCode>_-[$$-409]* #,##0_ ;_-[$$-409]* \-#,##0\ ;_-[$$-409]* "-"??_ ;_-@_ </c:formatCode>
                <c:ptCount val="7"/>
                <c:pt idx="0">
                  <c:v>2678165</c:v>
                </c:pt>
                <c:pt idx="1">
                  <c:v>1630490</c:v>
                </c:pt>
                <c:pt idx="2">
                  <c:v>1185038</c:v>
                </c:pt>
                <c:pt idx="3">
                  <c:v>482425</c:v>
                </c:pt>
                <c:pt idx="4">
                  <c:v>262440</c:v>
                </c:pt>
                <c:pt idx="5">
                  <c:v>256940</c:v>
                </c:pt>
                <c:pt idx="6">
                  <c:v>216370</c:v>
                </c:pt>
              </c:numCache>
            </c:numRef>
          </c:val>
          <c:extLst>
            <c:ext xmlns:c16="http://schemas.microsoft.com/office/drawing/2014/chart" uri="{C3380CC4-5D6E-409C-BE32-E72D297353CC}">
              <c16:uniqueId val="{00000000-2A11-4BEC-A586-8CBAFF52992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Data Analytics Project.xlsx]Pivot!PivotTable6</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Pivot!$EG$6</c:f>
              <c:strCache>
                <c:ptCount val="1"/>
                <c:pt idx="0">
                  <c:v>Total</c:v>
                </c:pt>
              </c:strCache>
            </c:strRef>
          </c:tx>
          <c:spPr>
            <a:solidFill>
              <a:schemeClr val="accent1"/>
            </a:solidFill>
            <a:ln>
              <a:noFill/>
            </a:ln>
            <a:effectLst/>
          </c:spPr>
          <c:invertIfNegative val="0"/>
          <c:cat>
            <c:strRef>
              <c:f>Pivot!$EF$7:$EF$17</c:f>
              <c:strCache>
                <c:ptCount val="10"/>
                <c:pt idx="0">
                  <c:v>Butterly</c:v>
                </c:pt>
                <c:pt idx="1">
                  <c:v>PastaJoy</c:v>
                </c:pt>
                <c:pt idx="2">
                  <c:v>Zest Lemon Tea</c:v>
                </c:pt>
                <c:pt idx="3">
                  <c:v>TinyBite Cereal</c:v>
                </c:pt>
                <c:pt idx="4">
                  <c:v>BabyGrow 1</c:v>
                </c:pt>
                <c:pt idx="5">
                  <c:v>Milko Gold</c:v>
                </c:pt>
                <c:pt idx="6">
                  <c:v>BabyGrow 2</c:v>
                </c:pt>
                <c:pt idx="7">
                  <c:v>Brew Black Coffee</c:v>
                </c:pt>
                <c:pt idx="8">
                  <c:v>Cold Bean Coffee</c:v>
                </c:pt>
                <c:pt idx="9">
                  <c:v>BrewSip Classic Coffee</c:v>
                </c:pt>
              </c:strCache>
            </c:strRef>
          </c:cat>
          <c:val>
            <c:numRef>
              <c:f>Pivot!$EG$7:$EG$17</c:f>
              <c:numCache>
                <c:formatCode>_-[$$-409]* #,##0_ ;_-[$$-409]* \-#,##0\ ;_-[$$-409]* "-"??_ ;_-@_ </c:formatCode>
                <c:ptCount val="10"/>
                <c:pt idx="0">
                  <c:v>202920</c:v>
                </c:pt>
                <c:pt idx="1">
                  <c:v>222350</c:v>
                </c:pt>
                <c:pt idx="2">
                  <c:v>346995</c:v>
                </c:pt>
                <c:pt idx="3">
                  <c:v>355500</c:v>
                </c:pt>
                <c:pt idx="4">
                  <c:v>532180</c:v>
                </c:pt>
                <c:pt idx="5">
                  <c:v>555408</c:v>
                </c:pt>
                <c:pt idx="6">
                  <c:v>632250</c:v>
                </c:pt>
                <c:pt idx="7">
                  <c:v>688415</c:v>
                </c:pt>
                <c:pt idx="8">
                  <c:v>707220</c:v>
                </c:pt>
                <c:pt idx="9">
                  <c:v>770160</c:v>
                </c:pt>
              </c:numCache>
            </c:numRef>
          </c:val>
          <c:extLst>
            <c:ext xmlns:c16="http://schemas.microsoft.com/office/drawing/2014/chart" uri="{C3380CC4-5D6E-409C-BE32-E72D297353CC}">
              <c16:uniqueId val="{00000000-18E2-4695-9422-0F994AEE18F1}"/>
            </c:ext>
          </c:extLst>
        </c:ser>
        <c:dLbls>
          <c:showLegendKey val="0"/>
          <c:showVal val="0"/>
          <c:showCatName val="0"/>
          <c:showSerName val="0"/>
          <c:showPercent val="0"/>
          <c:showBubbleSize val="0"/>
        </c:dLbls>
        <c:gapWidth val="182"/>
        <c:axId val="553949663"/>
        <c:axId val="553962143"/>
      </c:barChart>
      <c:catAx>
        <c:axId val="553949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962143"/>
        <c:crosses val="autoZero"/>
        <c:auto val="1"/>
        <c:lblAlgn val="ctr"/>
        <c:lblOffset val="100"/>
        <c:noMultiLvlLbl val="0"/>
      </c:catAx>
      <c:valAx>
        <c:axId val="553962143"/>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94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Data Analytics Project.xlsx]Pivot!PivotTable8</c:name>
    <c:fmtId val="45"/>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2060"/>
          </a:solidFill>
          <a:ln>
            <a:noFill/>
          </a:ln>
          <a:effectLst>
            <a:outerShdw blurRad="254000" sx="102000" sy="102000" algn="ctr" rotWithShape="0">
              <a:prstClr val="black">
                <a:alpha val="20000"/>
              </a:prstClr>
            </a:outerShdw>
          </a:effectLst>
        </c:spPr>
      </c:pivotFmt>
      <c:pivotFmt>
        <c:idx val="2"/>
        <c:spPr>
          <a:solidFill>
            <a:srgbClr val="00B0F0"/>
          </a:solidFill>
          <a:ln>
            <a:noFill/>
          </a:ln>
          <a:effectLst>
            <a:outerShdw blurRad="254000" sx="102000" sy="102000" algn="ctr" rotWithShape="0">
              <a:prstClr val="black">
                <a:alpha val="20000"/>
              </a:prstClr>
            </a:outerShdw>
          </a:effectLst>
        </c:spPr>
        <c:dLbl>
          <c:idx val="0"/>
          <c:layout>
            <c:manualLayout>
              <c:x val="3.0441400304414001E-2"/>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bg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Pivot!$EU$6</c:f>
              <c:strCache>
                <c:ptCount val="1"/>
                <c:pt idx="0">
                  <c:v>Total</c:v>
                </c:pt>
              </c:strCache>
            </c:strRef>
          </c:tx>
          <c:dPt>
            <c:idx val="0"/>
            <c:bubble3D val="0"/>
            <c:spPr>
              <a:solidFill>
                <a:schemeClr val="bg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A3D8-4B74-B076-E869AAD8F902}"/>
              </c:ext>
            </c:extLst>
          </c:dPt>
          <c:dPt>
            <c:idx val="1"/>
            <c:bubble3D val="0"/>
            <c:spPr>
              <a:solidFill>
                <a:srgbClr val="00B0F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3D8-4B74-B076-E869AAD8F902}"/>
              </c:ext>
            </c:extLst>
          </c:dPt>
          <c:dPt>
            <c:idx val="2"/>
            <c:bubble3D val="0"/>
            <c:spPr>
              <a:solidFill>
                <a:srgbClr val="00206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A3D8-4B74-B076-E869AAD8F902}"/>
              </c:ext>
            </c:extLst>
          </c:dPt>
          <c:dLbls>
            <c:dLbl>
              <c:idx val="1"/>
              <c:layout>
                <c:manualLayout>
                  <c:x val="3.0441400304414001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3D8-4B74-B076-E869AAD8F902}"/>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Pivot!$ET$7:$ET$10</c:f>
              <c:strCache>
                <c:ptCount val="3"/>
                <c:pt idx="0">
                  <c:v>Large</c:v>
                </c:pt>
                <c:pt idx="1">
                  <c:v>Medium</c:v>
                </c:pt>
                <c:pt idx="2">
                  <c:v>Small</c:v>
                </c:pt>
              </c:strCache>
            </c:strRef>
          </c:cat>
          <c:val>
            <c:numRef>
              <c:f>Pivot!$EU$7:$EU$10</c:f>
              <c:numCache>
                <c:formatCode>_-[$$-409]* #,##0_ ;_-[$$-409]* \-#,##0\ ;_-[$$-409]* "-"??_ ;_-@_ </c:formatCode>
                <c:ptCount val="3"/>
                <c:pt idx="0">
                  <c:v>22830</c:v>
                </c:pt>
                <c:pt idx="1">
                  <c:v>401529</c:v>
                </c:pt>
                <c:pt idx="2">
                  <c:v>6287509</c:v>
                </c:pt>
              </c:numCache>
            </c:numRef>
          </c:val>
          <c:extLst>
            <c:ext xmlns:c16="http://schemas.microsoft.com/office/drawing/2014/chart" uri="{C3380CC4-5D6E-409C-BE32-E72D297353CC}">
              <c16:uniqueId val="{00000000-A3D8-4B74-B076-E869AAD8F90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Data Analytics Project.xlsx]Pivot!PivotTable10</c:name>
    <c:fmtId val="47"/>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2060"/>
          </a:solidFill>
          <a:ln>
            <a:noFill/>
          </a:ln>
          <a:effectLst>
            <a:outerShdw blurRad="254000" sx="102000" sy="102000" algn="ctr" rotWithShape="0">
              <a:prstClr val="black">
                <a:alpha val="20000"/>
              </a:prstClr>
            </a:outerShdw>
          </a:effectLst>
        </c:spPr>
      </c:pivotFmt>
      <c:pivotFmt>
        <c:idx val="2"/>
        <c:spPr>
          <a:solidFill>
            <a:srgbClr val="00B0F0"/>
          </a:solidFill>
          <a:ln>
            <a:noFill/>
          </a:ln>
          <a:effectLst>
            <a:outerShdw blurRad="254000" sx="102000" sy="102000" algn="ctr" rotWithShape="0">
              <a:prstClr val="black">
                <a:alpha val="20000"/>
              </a:prstClr>
            </a:outerShdw>
          </a:effectLst>
        </c:spPr>
      </c:pivotFmt>
      <c:pivotFmt>
        <c:idx val="3"/>
        <c:spPr>
          <a:solidFill>
            <a:schemeClr val="bg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Pivot!$FK$6</c:f>
              <c:strCache>
                <c:ptCount val="1"/>
                <c:pt idx="0">
                  <c:v>Total</c:v>
                </c:pt>
              </c:strCache>
            </c:strRef>
          </c:tx>
          <c:dPt>
            <c:idx val="0"/>
            <c:bubble3D val="0"/>
            <c:spPr>
              <a:solidFill>
                <a:schemeClr val="bg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6D88-44AB-BB25-BC38F95722AB}"/>
              </c:ext>
            </c:extLst>
          </c:dPt>
          <c:dPt>
            <c:idx val="1"/>
            <c:bubble3D val="0"/>
            <c:spPr>
              <a:solidFill>
                <a:srgbClr val="00B0F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D88-44AB-BB25-BC38F95722AB}"/>
              </c:ext>
            </c:extLst>
          </c:dPt>
          <c:dPt>
            <c:idx val="2"/>
            <c:bubble3D val="0"/>
            <c:spPr>
              <a:solidFill>
                <a:srgbClr val="00206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6D88-44AB-BB25-BC38F95722A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Pivot!$FJ$7:$FJ$10</c:f>
              <c:strCache>
                <c:ptCount val="3"/>
                <c:pt idx="0">
                  <c:v>2003</c:v>
                </c:pt>
                <c:pt idx="1">
                  <c:v>2004</c:v>
                </c:pt>
                <c:pt idx="2">
                  <c:v>2005</c:v>
                </c:pt>
              </c:strCache>
            </c:strRef>
          </c:cat>
          <c:val>
            <c:numRef>
              <c:f>Pivot!$FK$7:$FK$10</c:f>
              <c:numCache>
                <c:formatCode>General</c:formatCode>
                <c:ptCount val="3"/>
                <c:pt idx="0">
                  <c:v>24</c:v>
                </c:pt>
                <c:pt idx="1">
                  <c:v>58</c:v>
                </c:pt>
                <c:pt idx="2">
                  <c:v>124</c:v>
                </c:pt>
              </c:numCache>
            </c:numRef>
          </c:val>
          <c:extLst>
            <c:ext xmlns:c16="http://schemas.microsoft.com/office/drawing/2014/chart" uri="{C3380CC4-5D6E-409C-BE32-E72D297353CC}">
              <c16:uniqueId val="{00000000-6D88-44AB-BB25-BC38F95722A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Data Analytics Project.xlsx]Pivot!PivotTable11</c:name>
    <c:fmtId val="49"/>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2060"/>
          </a:solidFill>
          <a:ln>
            <a:noFill/>
          </a:ln>
          <a:effectLst>
            <a:outerShdw blurRad="254000" sx="102000" sy="102000" algn="ctr" rotWithShape="0">
              <a:prstClr val="black">
                <a:alpha val="20000"/>
              </a:prstClr>
            </a:outerShdw>
          </a:effectLst>
        </c:spPr>
      </c:pivotFmt>
      <c:pivotFmt>
        <c:idx val="2"/>
        <c:spPr>
          <a:solidFill>
            <a:schemeClr val="bg1"/>
          </a:solidFill>
          <a:ln>
            <a:noFill/>
          </a:ln>
          <a:effectLst>
            <a:outerShdw blurRad="254000" sx="102000" sy="102000" algn="ctr" rotWithShape="0">
              <a:prstClr val="black">
                <a:alpha val="20000"/>
              </a:prstClr>
            </a:outerShdw>
          </a:effectLst>
        </c:spPr>
      </c:pivotFmt>
      <c:pivotFmt>
        <c:idx val="3"/>
        <c:spPr>
          <a:solidFill>
            <a:srgbClr val="FF0000"/>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Pivot!$FZ$6</c:f>
              <c:strCache>
                <c:ptCount val="1"/>
                <c:pt idx="0">
                  <c:v>Total</c:v>
                </c:pt>
              </c:strCache>
            </c:strRef>
          </c:tx>
          <c:dPt>
            <c:idx val="0"/>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EBC1-4A2B-B417-18CB8885624D}"/>
              </c:ext>
            </c:extLst>
          </c:dPt>
          <c:dPt>
            <c:idx val="1"/>
            <c:bubble3D val="0"/>
            <c:spPr>
              <a:solidFill>
                <a:schemeClr val="bg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BC1-4A2B-B417-18CB8885624D}"/>
              </c:ext>
            </c:extLst>
          </c:dPt>
          <c:dPt>
            <c:idx val="2"/>
            <c:bubble3D val="0"/>
            <c:spPr>
              <a:solidFill>
                <a:srgbClr val="00206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EBC1-4A2B-B417-18CB8885624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Aptos Display" panose="020B0004020202020204" pitchFamily="34" charset="0"/>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Pivot!$FY$7:$FY$10</c:f>
              <c:strCache>
                <c:ptCount val="3"/>
                <c:pt idx="0">
                  <c:v>2003</c:v>
                </c:pt>
                <c:pt idx="1">
                  <c:v>2004</c:v>
                </c:pt>
                <c:pt idx="2">
                  <c:v>2005</c:v>
                </c:pt>
              </c:strCache>
            </c:strRef>
          </c:cat>
          <c:val>
            <c:numRef>
              <c:f>Pivot!$FZ$7:$FZ$10</c:f>
              <c:numCache>
                <c:formatCode>General</c:formatCode>
                <c:ptCount val="3"/>
                <c:pt idx="0">
                  <c:v>838</c:v>
                </c:pt>
                <c:pt idx="1">
                  <c:v>1958</c:v>
                </c:pt>
                <c:pt idx="2">
                  <c:v>4868</c:v>
                </c:pt>
              </c:numCache>
            </c:numRef>
          </c:val>
          <c:extLst>
            <c:ext xmlns:c16="http://schemas.microsoft.com/office/drawing/2014/chart" uri="{C3380CC4-5D6E-409C-BE32-E72D297353CC}">
              <c16:uniqueId val="{00000000-EBC1-4A2B-B417-18CB8885624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Aptos Display"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sz="900" b="0">
          <a:latin typeface="Aptos Display"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Data Analytics Project.xlsx]Pivot!PivotTable12</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Pivot!$GO$6</c:f>
              <c:strCache>
                <c:ptCount val="1"/>
                <c:pt idx="0">
                  <c:v>Total</c:v>
                </c:pt>
              </c:strCache>
            </c:strRef>
          </c:tx>
          <c:spPr>
            <a:solidFill>
              <a:schemeClr val="accent1"/>
            </a:solidFill>
            <a:ln>
              <a:noFill/>
            </a:ln>
            <a:effectLst/>
          </c:spPr>
          <c:invertIfNegative val="0"/>
          <c:cat>
            <c:strRef>
              <c:f>Pivot!$GN$7:$GN$14</c:f>
              <c:strCache>
                <c:ptCount val="7"/>
                <c:pt idx="0">
                  <c:v>Frozen Foods</c:v>
                </c:pt>
                <c:pt idx="1">
                  <c:v>Instant Foods</c:v>
                </c:pt>
                <c:pt idx="2">
                  <c:v>Snacks</c:v>
                </c:pt>
                <c:pt idx="3">
                  <c:v>Infant Nutrition</c:v>
                </c:pt>
                <c:pt idx="4">
                  <c:v>Water &amp; Juices</c:v>
                </c:pt>
                <c:pt idx="5">
                  <c:v>Dairy Products</c:v>
                </c:pt>
                <c:pt idx="6">
                  <c:v>Beverages</c:v>
                </c:pt>
              </c:strCache>
            </c:strRef>
          </c:cat>
          <c:val>
            <c:numRef>
              <c:f>Pivot!$GO$7:$GO$14</c:f>
              <c:numCache>
                <c:formatCode>General</c:formatCode>
                <c:ptCount val="7"/>
                <c:pt idx="0">
                  <c:v>90</c:v>
                </c:pt>
                <c:pt idx="1">
                  <c:v>308</c:v>
                </c:pt>
                <c:pt idx="2">
                  <c:v>768</c:v>
                </c:pt>
                <c:pt idx="3">
                  <c:v>1335</c:v>
                </c:pt>
                <c:pt idx="4">
                  <c:v>1338</c:v>
                </c:pt>
                <c:pt idx="5">
                  <c:v>1788</c:v>
                </c:pt>
                <c:pt idx="6">
                  <c:v>2037</c:v>
                </c:pt>
              </c:numCache>
            </c:numRef>
          </c:val>
          <c:extLst>
            <c:ext xmlns:c16="http://schemas.microsoft.com/office/drawing/2014/chart" uri="{C3380CC4-5D6E-409C-BE32-E72D297353CC}">
              <c16:uniqueId val="{00000000-CFFC-459A-95DB-FB86F54B190E}"/>
            </c:ext>
          </c:extLst>
        </c:ser>
        <c:dLbls>
          <c:showLegendKey val="0"/>
          <c:showVal val="0"/>
          <c:showCatName val="0"/>
          <c:showSerName val="0"/>
          <c:showPercent val="0"/>
          <c:showBubbleSize val="0"/>
        </c:dLbls>
        <c:gapWidth val="182"/>
        <c:axId val="1402226335"/>
        <c:axId val="1402228255"/>
      </c:barChart>
      <c:catAx>
        <c:axId val="1402226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228255"/>
        <c:crosses val="autoZero"/>
        <c:auto val="1"/>
        <c:lblAlgn val="ctr"/>
        <c:lblOffset val="100"/>
        <c:noMultiLvlLbl val="0"/>
      </c:catAx>
      <c:valAx>
        <c:axId val="14022282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226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Data Analytics Project.xlsx]Pivot!PivotTable13</c:name>
    <c:fmtId val="5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Pivot!$HD$7</c:f>
              <c:strCache>
                <c:ptCount val="1"/>
                <c:pt idx="0">
                  <c:v>Total</c:v>
                </c:pt>
              </c:strCache>
            </c:strRef>
          </c:tx>
          <c:spPr>
            <a:solidFill>
              <a:schemeClr val="accent1"/>
            </a:solidFill>
            <a:ln>
              <a:noFill/>
            </a:ln>
            <a:effectLst/>
          </c:spPr>
          <c:invertIfNegative val="0"/>
          <c:cat>
            <c:strRef>
              <c:f>Pivot!$HC$8:$HC$37</c:f>
              <c:strCache>
                <c:ptCount val="29"/>
                <c:pt idx="0">
                  <c:v>Slimilk</c:v>
                </c:pt>
                <c:pt idx="1">
                  <c:v>VegBites</c:v>
                </c:pt>
                <c:pt idx="2">
                  <c:v>PeanutFix</c:v>
                </c:pt>
                <c:pt idx="3">
                  <c:v>PaneerKick</c:v>
                </c:pt>
                <c:pt idx="4">
                  <c:v>Gheemore</c:v>
                </c:pt>
                <c:pt idx="5">
                  <c:v>BerryFresh</c:v>
                </c:pt>
                <c:pt idx="6">
                  <c:v>VitaSplash</c:v>
                </c:pt>
                <c:pt idx="7">
                  <c:v>FruYo</c:v>
                </c:pt>
                <c:pt idx="8">
                  <c:v>PastaJoy</c:v>
                </c:pt>
                <c:pt idx="9">
                  <c:v>Crispo Cookies</c:v>
                </c:pt>
                <c:pt idx="10">
                  <c:v>Munchy Baby Bites</c:v>
                </c:pt>
                <c:pt idx="11">
                  <c:v>Quick Noodles Masala</c:v>
                </c:pt>
                <c:pt idx="12">
                  <c:v>LimeLift</c:v>
                </c:pt>
                <c:pt idx="13">
                  <c:v>ChocoPop</c:v>
                </c:pt>
                <c:pt idx="14">
                  <c:v>Zest Lemon Tea</c:v>
                </c:pt>
                <c:pt idx="15">
                  <c:v>SliceCheeze</c:v>
                </c:pt>
                <c:pt idx="16">
                  <c:v>Waffee</c:v>
                </c:pt>
                <c:pt idx="17">
                  <c:v>TinyBite Cereal</c:v>
                </c:pt>
                <c:pt idx="18">
                  <c:v>Salto Chips</c:v>
                </c:pt>
                <c:pt idx="19">
                  <c:v>FizzUp Orange Soda</c:v>
                </c:pt>
                <c:pt idx="20">
                  <c:v>BabyGrow 2</c:v>
                </c:pt>
                <c:pt idx="21">
                  <c:v>Butterly</c:v>
                </c:pt>
                <c:pt idx="22">
                  <c:v>AppleJoy</c:v>
                </c:pt>
                <c:pt idx="23">
                  <c:v>BrewSip Classic Coffee</c:v>
                </c:pt>
                <c:pt idx="24">
                  <c:v>Cold Bean Coffee</c:v>
                </c:pt>
                <c:pt idx="25">
                  <c:v>AquaGo</c:v>
                </c:pt>
                <c:pt idx="26">
                  <c:v>Brew Black Coffee</c:v>
                </c:pt>
                <c:pt idx="27">
                  <c:v>BabyGrow 1</c:v>
                </c:pt>
                <c:pt idx="28">
                  <c:v>Milko Gold</c:v>
                </c:pt>
              </c:strCache>
            </c:strRef>
          </c:cat>
          <c:val>
            <c:numRef>
              <c:f>Pivot!$HD$8:$HD$37</c:f>
              <c:numCache>
                <c:formatCode>General</c:formatCode>
                <c:ptCount val="29"/>
                <c:pt idx="0">
                  <c:v>28</c:v>
                </c:pt>
                <c:pt idx="1">
                  <c:v>42</c:v>
                </c:pt>
                <c:pt idx="2">
                  <c:v>42</c:v>
                </c:pt>
                <c:pt idx="3">
                  <c:v>48</c:v>
                </c:pt>
                <c:pt idx="4">
                  <c:v>55</c:v>
                </c:pt>
                <c:pt idx="5">
                  <c:v>58</c:v>
                </c:pt>
                <c:pt idx="6">
                  <c:v>87</c:v>
                </c:pt>
                <c:pt idx="7">
                  <c:v>119</c:v>
                </c:pt>
                <c:pt idx="8">
                  <c:v>146</c:v>
                </c:pt>
                <c:pt idx="9">
                  <c:v>147</c:v>
                </c:pt>
                <c:pt idx="10">
                  <c:v>161</c:v>
                </c:pt>
                <c:pt idx="11">
                  <c:v>162</c:v>
                </c:pt>
                <c:pt idx="12">
                  <c:v>167</c:v>
                </c:pt>
                <c:pt idx="13">
                  <c:v>172</c:v>
                </c:pt>
                <c:pt idx="14">
                  <c:v>190</c:v>
                </c:pt>
                <c:pt idx="15">
                  <c:v>196</c:v>
                </c:pt>
                <c:pt idx="16">
                  <c:v>202</c:v>
                </c:pt>
                <c:pt idx="17">
                  <c:v>203</c:v>
                </c:pt>
                <c:pt idx="18">
                  <c:v>205</c:v>
                </c:pt>
                <c:pt idx="19">
                  <c:v>237</c:v>
                </c:pt>
                <c:pt idx="20">
                  <c:v>303</c:v>
                </c:pt>
                <c:pt idx="21">
                  <c:v>459</c:v>
                </c:pt>
                <c:pt idx="22">
                  <c:v>483</c:v>
                </c:pt>
                <c:pt idx="23">
                  <c:v>486</c:v>
                </c:pt>
                <c:pt idx="24">
                  <c:v>535</c:v>
                </c:pt>
                <c:pt idx="25">
                  <c:v>543</c:v>
                </c:pt>
                <c:pt idx="26">
                  <c:v>589</c:v>
                </c:pt>
                <c:pt idx="27">
                  <c:v>668</c:v>
                </c:pt>
                <c:pt idx="28">
                  <c:v>931</c:v>
                </c:pt>
              </c:numCache>
            </c:numRef>
          </c:val>
          <c:extLst>
            <c:ext xmlns:c16="http://schemas.microsoft.com/office/drawing/2014/chart" uri="{C3380CC4-5D6E-409C-BE32-E72D297353CC}">
              <c16:uniqueId val="{00000000-65B3-46ED-B060-576F18C93114}"/>
            </c:ext>
          </c:extLst>
        </c:ser>
        <c:dLbls>
          <c:showLegendKey val="0"/>
          <c:showVal val="0"/>
          <c:showCatName val="0"/>
          <c:showSerName val="0"/>
          <c:showPercent val="0"/>
          <c:showBubbleSize val="0"/>
        </c:dLbls>
        <c:gapWidth val="182"/>
        <c:axId val="595197471"/>
        <c:axId val="595185471"/>
      </c:barChart>
      <c:catAx>
        <c:axId val="595197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185471"/>
        <c:crosses val="autoZero"/>
        <c:auto val="1"/>
        <c:lblAlgn val="ctr"/>
        <c:lblOffset val="100"/>
        <c:noMultiLvlLbl val="0"/>
      </c:catAx>
      <c:valAx>
        <c:axId val="5951854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19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Data Analytics Project.xlsx]Pivot!PivotTable15</c:name>
    <c:fmtId val="57"/>
  </c:pivotSource>
  <c:chart>
    <c:autoTitleDeleted val="1"/>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Pivot!$HS$6</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Pivot!$HR$7:$HR$25</c:f>
              <c:multiLvlStrCache>
                <c:ptCount val="12"/>
                <c:lvl>
                  <c:pt idx="0">
                    <c:v>Qtr1</c:v>
                  </c:pt>
                  <c:pt idx="1">
                    <c:v>Qtr2</c:v>
                  </c:pt>
                  <c:pt idx="2">
                    <c:v>Qtr3</c:v>
                  </c:pt>
                  <c:pt idx="3">
                    <c:v>Qtr4</c:v>
                  </c:pt>
                  <c:pt idx="4">
                    <c:v>Qtr1</c:v>
                  </c:pt>
                  <c:pt idx="5">
                    <c:v>Qtr2</c:v>
                  </c:pt>
                  <c:pt idx="6">
                    <c:v>Qtr3</c:v>
                  </c:pt>
                  <c:pt idx="7">
                    <c:v>Qtr4</c:v>
                  </c:pt>
                  <c:pt idx="8">
                    <c:v>Qtr1</c:v>
                  </c:pt>
                  <c:pt idx="9">
                    <c:v>Qtr2</c:v>
                  </c:pt>
                  <c:pt idx="10">
                    <c:v>Qtr3</c:v>
                  </c:pt>
                  <c:pt idx="11">
                    <c:v>Qtr4</c:v>
                  </c:pt>
                </c:lvl>
                <c:lvl>
                  <c:pt idx="0">
                    <c:v>2003</c:v>
                  </c:pt>
                  <c:pt idx="4">
                    <c:v>2004</c:v>
                  </c:pt>
                  <c:pt idx="8">
                    <c:v>2005</c:v>
                  </c:pt>
                </c:lvl>
              </c:multiLvlStrCache>
            </c:multiLvlStrRef>
          </c:cat>
          <c:val>
            <c:numRef>
              <c:f>Pivot!$HS$7:$HS$25</c:f>
              <c:numCache>
                <c:formatCode>_-[$$-409]* #,##0_ ;_-[$$-409]* \-#,##0\ ;_-[$$-409]* "-"??_ ;_-@_ </c:formatCode>
                <c:ptCount val="12"/>
                <c:pt idx="0">
                  <c:v>50506.344999999987</c:v>
                </c:pt>
                <c:pt idx="1">
                  <c:v>50506.344999999987</c:v>
                </c:pt>
                <c:pt idx="2">
                  <c:v>50506.344999999987</c:v>
                </c:pt>
                <c:pt idx="3">
                  <c:v>50506.344999999987</c:v>
                </c:pt>
                <c:pt idx="4">
                  <c:v>20315.925000000007</c:v>
                </c:pt>
                <c:pt idx="5">
                  <c:v>20315.925000000007</c:v>
                </c:pt>
                <c:pt idx="6">
                  <c:v>77432.677499999991</c:v>
                </c:pt>
                <c:pt idx="7">
                  <c:v>77432.677499999991</c:v>
                </c:pt>
                <c:pt idx="8">
                  <c:v>20315.925000000007</c:v>
                </c:pt>
                <c:pt idx="9">
                  <c:v>20315.925000000007</c:v>
                </c:pt>
                <c:pt idx="10">
                  <c:v>20315.925000000007</c:v>
                </c:pt>
                <c:pt idx="11">
                  <c:v>20315.925000000007</c:v>
                </c:pt>
              </c:numCache>
            </c:numRef>
          </c:val>
          <c:smooth val="0"/>
          <c:extLst>
            <c:ext xmlns:c16="http://schemas.microsoft.com/office/drawing/2014/chart" uri="{C3380CC4-5D6E-409C-BE32-E72D297353CC}">
              <c16:uniqueId val="{00000000-57E2-4ADD-A2C4-B5B627F7967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505283935"/>
        <c:axId val="1505279615"/>
      </c:lineChart>
      <c:catAx>
        <c:axId val="150528393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05279615"/>
        <c:crosses val="autoZero"/>
        <c:auto val="1"/>
        <c:lblAlgn val="ctr"/>
        <c:lblOffset val="100"/>
        <c:noMultiLvlLbl val="0"/>
      </c:catAx>
      <c:valAx>
        <c:axId val="1505279615"/>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05283935"/>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Data Analytics Project.xlsx]Pivot!PivotTable16</c:name>
    <c:fmtId val="5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Pivot!$IH$6</c:f>
              <c:strCache>
                <c:ptCount val="1"/>
                <c:pt idx="0">
                  <c:v>Total</c:v>
                </c:pt>
              </c:strCache>
            </c:strRef>
          </c:tx>
          <c:spPr>
            <a:solidFill>
              <a:schemeClr val="accent1"/>
            </a:solidFill>
            <a:ln>
              <a:noFill/>
            </a:ln>
            <a:effectLst/>
          </c:spPr>
          <c:invertIfNegative val="0"/>
          <c:cat>
            <c:strRef>
              <c:f>Pivot!$IG$7:$IG$14</c:f>
              <c:strCache>
                <c:ptCount val="7"/>
                <c:pt idx="0">
                  <c:v>Frozen Foods</c:v>
                </c:pt>
                <c:pt idx="1">
                  <c:v>Water &amp; Juices</c:v>
                </c:pt>
                <c:pt idx="2">
                  <c:v>Snacks</c:v>
                </c:pt>
                <c:pt idx="3">
                  <c:v>Instant Foods</c:v>
                </c:pt>
                <c:pt idx="4">
                  <c:v>Dairy Products</c:v>
                </c:pt>
                <c:pt idx="5">
                  <c:v>Infant Nutrition</c:v>
                </c:pt>
                <c:pt idx="6">
                  <c:v>Beverages</c:v>
                </c:pt>
              </c:strCache>
            </c:strRef>
          </c:cat>
          <c:val>
            <c:numRef>
              <c:f>Pivot!$IH$7:$IH$14</c:f>
              <c:numCache>
                <c:formatCode>_-[$$-409]* #,##0_ ;_-[$$-409]* \-#,##0\ ;_-[$$-409]* "-"??_ ;_-@_ </c:formatCode>
                <c:ptCount val="7"/>
                <c:pt idx="0">
                  <c:v>8737.6500000000051</c:v>
                </c:pt>
                <c:pt idx="1">
                  <c:v>14774.987499999999</c:v>
                </c:pt>
                <c:pt idx="2">
                  <c:v>18870.950000000004</c:v>
                </c:pt>
                <c:pt idx="3">
                  <c:v>34195.450000000012</c:v>
                </c:pt>
                <c:pt idx="4">
                  <c:v>54022.80999999999</c:v>
                </c:pt>
                <c:pt idx="5">
                  <c:v>114275.80000000002</c:v>
                </c:pt>
                <c:pt idx="6">
                  <c:v>233908.63749999998</c:v>
                </c:pt>
              </c:numCache>
            </c:numRef>
          </c:val>
          <c:extLst>
            <c:ext xmlns:c16="http://schemas.microsoft.com/office/drawing/2014/chart" uri="{C3380CC4-5D6E-409C-BE32-E72D297353CC}">
              <c16:uniqueId val="{00000000-A5B6-49D3-B6BA-90D9EF00BC17}"/>
            </c:ext>
          </c:extLst>
        </c:ser>
        <c:dLbls>
          <c:showLegendKey val="0"/>
          <c:showVal val="0"/>
          <c:showCatName val="0"/>
          <c:showSerName val="0"/>
          <c:showPercent val="0"/>
          <c:showBubbleSize val="0"/>
        </c:dLbls>
        <c:gapWidth val="182"/>
        <c:axId val="1400847231"/>
        <c:axId val="1400840991"/>
      </c:barChart>
      <c:catAx>
        <c:axId val="1400847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840991"/>
        <c:crosses val="autoZero"/>
        <c:auto val="1"/>
        <c:lblAlgn val="ctr"/>
        <c:lblOffset val="100"/>
        <c:noMultiLvlLbl val="0"/>
      </c:catAx>
      <c:valAx>
        <c:axId val="1400840991"/>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847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[FMCG Data Analytics Project.xlsx]Pivot!PivotTable17</c:name>
    <c:fmtId val="6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Pivot!$IU$6</c:f>
              <c:strCache>
                <c:ptCount val="1"/>
                <c:pt idx="0">
                  <c:v>Total</c:v>
                </c:pt>
              </c:strCache>
            </c:strRef>
          </c:tx>
          <c:spPr>
            <a:solidFill>
              <a:schemeClr val="accent1"/>
            </a:solidFill>
            <a:ln>
              <a:noFill/>
            </a:ln>
            <a:effectLst/>
          </c:spPr>
          <c:invertIfNegative val="0"/>
          <c:cat>
            <c:strRef>
              <c:f>Pivot!$IT$7:$IT$17</c:f>
              <c:strCache>
                <c:ptCount val="10"/>
                <c:pt idx="0">
                  <c:v>FizzUp Orange Soda</c:v>
                </c:pt>
                <c:pt idx="1">
                  <c:v>PastaJoy</c:v>
                </c:pt>
                <c:pt idx="2">
                  <c:v>TinyBite Cereal</c:v>
                </c:pt>
                <c:pt idx="3">
                  <c:v>Milko Gold</c:v>
                </c:pt>
                <c:pt idx="4">
                  <c:v>Zest Lemon Tea</c:v>
                </c:pt>
                <c:pt idx="5">
                  <c:v>BabyGrow 1</c:v>
                </c:pt>
                <c:pt idx="6">
                  <c:v>BabyGrow 2</c:v>
                </c:pt>
                <c:pt idx="7">
                  <c:v>Cold Bean Coffee</c:v>
                </c:pt>
                <c:pt idx="8">
                  <c:v>Brew Black Coffee</c:v>
                </c:pt>
                <c:pt idx="9">
                  <c:v>BrewSip Classic Coffee</c:v>
                </c:pt>
              </c:strCache>
            </c:strRef>
          </c:cat>
          <c:val>
            <c:numRef>
              <c:f>Pivot!$IU$7:$IU$17</c:f>
              <c:numCache>
                <c:formatCode>_-[$$-409]* #,##0_ ;_-[$$-409]* \-#,##0\ ;_-[$$-409]* "-"??_ ;_-@_ </c:formatCode>
                <c:ptCount val="10"/>
                <c:pt idx="0">
                  <c:v>11836.65</c:v>
                </c:pt>
                <c:pt idx="1">
                  <c:v>14878.75</c:v>
                </c:pt>
                <c:pt idx="2">
                  <c:v>23701.049999999996</c:v>
                </c:pt>
                <c:pt idx="3">
                  <c:v>27125.160000000003</c:v>
                </c:pt>
                <c:pt idx="4">
                  <c:v>29727.637499999997</c:v>
                </c:pt>
                <c:pt idx="5">
                  <c:v>38613.300000000003</c:v>
                </c:pt>
                <c:pt idx="6">
                  <c:v>45926.25</c:v>
                </c:pt>
                <c:pt idx="7">
                  <c:v>58359.600000000013</c:v>
                </c:pt>
                <c:pt idx="8">
                  <c:v>62950.149999999994</c:v>
                </c:pt>
                <c:pt idx="9">
                  <c:v>71034.600000000006</c:v>
                </c:pt>
              </c:numCache>
            </c:numRef>
          </c:val>
          <c:extLst>
            <c:ext xmlns:c16="http://schemas.microsoft.com/office/drawing/2014/chart" uri="{C3380CC4-5D6E-409C-BE32-E72D297353CC}">
              <c16:uniqueId val="{00000000-1937-4F6D-833A-1849DB77422C}"/>
            </c:ext>
          </c:extLst>
        </c:ser>
        <c:dLbls>
          <c:showLegendKey val="0"/>
          <c:showVal val="0"/>
          <c:showCatName val="0"/>
          <c:showSerName val="0"/>
          <c:showPercent val="0"/>
          <c:showBubbleSize val="0"/>
        </c:dLbls>
        <c:gapWidth val="182"/>
        <c:axId val="628888911"/>
        <c:axId val="628889391"/>
      </c:barChart>
      <c:catAx>
        <c:axId val="628888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889391"/>
        <c:crosses val="autoZero"/>
        <c:auto val="1"/>
        <c:lblAlgn val="ctr"/>
        <c:lblOffset val="100"/>
        <c:noMultiLvlLbl val="0"/>
      </c:catAx>
      <c:valAx>
        <c:axId val="628889391"/>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88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Quantity Ordered</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Quantity Ordered</a:t>
          </a:r>
        </a:p>
      </cx:txPr>
    </cx:title>
    <cx:plotArea>
      <cx:plotAreaRegion>
        <cx:series layoutId="boxWhisker" uniqueId="{59F78003-9183-4977-866D-8F1337736C17}">
          <cx:tx>
            <cx:txData>
              <cx:f>_xlchart.v1.2</cx:f>
              <cx:v>Quantity_Ordered</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Price Each</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Price Each</a:t>
          </a:r>
        </a:p>
      </cx:txPr>
    </cx:title>
    <cx:plotArea>
      <cx:plotAreaRegion>
        <cx:series layoutId="boxWhisker" uniqueId="{05475BEB-7E82-4266-BA56-F43CD27B866D}">
          <cx:tx>
            <cx:txData>
              <cx:f>_xlchart.v1.4</cx:f>
              <cx:v>Price_Each</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Quantity Ordered</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Quantity Ordered</a:t>
          </a:r>
        </a:p>
      </cx:txPr>
    </cx:title>
    <cx:plotArea>
      <cx:plotAreaRegion>
        <cx:series layoutId="clusteredColumn" uniqueId="{151FEF9C-DBED-4E16-9D98-2AB99A27912E}">
          <cx:tx>
            <cx:txData>
              <cx:f>_xlchart.v1.6</cx:f>
              <cx:v>Quantity_Ordered</cx:v>
            </cx:txData>
          </cx:tx>
          <cx:dataId val="0"/>
          <cx:layoutPr>
            <cx:binning intervalClosed="r">
              <cx:binSize val="20"/>
            </cx:binning>
          </cx:layoutPr>
        </cx:series>
      </cx:plotAreaRegion>
      <cx:axis id="0">
        <cx:catScaling gapWidth="0"/>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Price Each</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Price Each</a:t>
          </a:r>
        </a:p>
      </cx:txPr>
    </cx:title>
    <cx:plotArea>
      <cx:plotAreaRegion>
        <cx:series layoutId="clusteredColumn" uniqueId="{900FF259-D078-4384-9BFC-718B8AA7EFD3}">
          <cx:tx>
            <cx:txData>
              <cx:f>_xlchart.v1.0</cx:f>
              <cx:v>Price_Each</cx:v>
            </cx:txData>
          </cx:tx>
          <cx:dataId val="0"/>
          <cx:layoutPr>
            <cx:binning intervalClosed="r">
              <cx:binSize val="20"/>
            </cx:binning>
          </cx:layoutPr>
        </cx:series>
      </cx:plotAreaRegion>
      <cx:axis id="0">
        <cx:catScaling gapWidth="0"/>
        <cx:tickLabels/>
      </cx:axis>
      <cx:axis id="1">
        <cx:valScaling/>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_xlchart.v1.10</cx:f>
      </cx:numDim>
    </cx:data>
  </cx:chartData>
  <cx:chart>
    <cx:title pos="t" align="ctr" overlay="0">
      <cx:tx>
        <cx:txData>
          <cx:v>Price Each</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Price Each</a:t>
          </a:r>
        </a:p>
      </cx:txPr>
    </cx:title>
    <cx:plotArea>
      <cx:plotAreaRegion>
        <cx:series layoutId="boxWhisker" uniqueId="{F79EBA6C-BC22-4DA6-9B41-51D8D9D88B74}">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
        <cx:txData>
          <cx:v>Price Each</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Price Each</a:t>
          </a:r>
        </a:p>
      </cx:txPr>
    </cx:title>
    <cx:plotArea>
      <cx:plotAreaRegion>
        <cx:series layoutId="clusteredColumn" uniqueId="{B66A3DA1-03A9-4DE8-9986-98307D2E4672}">
          <cx:tx>
            <cx:txData>
              <cx:f>_xlchart.v1.8</cx:f>
              <cx:v>Price_Each</cx:v>
            </cx:txData>
          </cx:tx>
          <cx:dataId val="0"/>
          <cx:layoutPr>
            <cx:binning intervalClosed="r">
              <cx:binCount val="5"/>
            </cx:binning>
          </cx:layoutPr>
        </cx:series>
      </cx:plotAreaRegion>
      <cx:axis id="0">
        <cx:catScaling gapWidth="0"/>
        <cx:tickLabels/>
      </cx:axis>
      <cx:axis id="1">
        <cx:valScaling/>
        <cx:majorGridlines/>
        <cx:tickLabels/>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_xlchart.v1.14</cx:f>
      </cx:numDim>
    </cx:data>
  </cx:chartData>
  <cx:chart>
    <cx:title pos="t" align="ctr" overlay="0">
      <cx:tx>
        <cx:txData>
          <cx:v>Quantity Ordered</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Quantity Ordered</a:t>
          </a:r>
        </a:p>
      </cx:txPr>
    </cx:title>
    <cx:plotArea>
      <cx:plotAreaRegion>
        <cx:series layoutId="boxWhisker" uniqueId="{3EF32C99-4AB6-470A-B55C-6FF7A8DF664E}">
          <cx:tx>
            <cx:txData>
              <cx:f>_xlchart.v1.13</cx:f>
              <cx:v>Quantity_Ordered</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numDim type="val">
        <cx:f>_xlchart.v1.12</cx:f>
      </cx:numDim>
    </cx:data>
  </cx:chartData>
  <cx:chart>
    <cx:title pos="t" align="ctr" overlay="0">
      <cx:tx>
        <cx:txData>
          <cx:v>Quantity Ordered</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Quantity Ordered</a:t>
          </a:r>
        </a:p>
      </cx:txPr>
    </cx:title>
    <cx:plotArea>
      <cx:plotAreaRegion>
        <cx:series layoutId="clusteredColumn" uniqueId="{69B6511A-2576-40E9-8479-99225395796E}">
          <cx:tx>
            <cx:txData>
              <cx:f>_xlchart.v1.11</cx:f>
              <cx:v>Quantity_Ordered</cx:v>
            </cx:txData>
          </cx:tx>
          <cx:dataId val="0"/>
          <cx:layoutPr>
            <cx:binning intervalClosed="r">
              <cx:binSize val="10"/>
            </cx:binning>
          </cx:layoutPr>
        </cx:series>
      </cx:plotAreaRegion>
      <cx:axis id="0">
        <cx:catScaling gapWidth="0"/>
        <cx:tickLabels/>
      </cx:axis>
      <cx:axis id="1">
        <cx:valScaling/>
        <cx:majorGridlines/>
        <cx:tickLabels/>
      </cx:axis>
    </cx:plotArea>
  </cx:chart>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numDim type="val">
        <cx:f>_xlchart.v1.18</cx:f>
      </cx:numDim>
    </cx:data>
  </cx:chartData>
  <cx:chart>
    <cx:title pos="t" align="ctr" overlay="0">
      <cx:tx>
        <cx:txData>
          <cx:v>Price Each</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Price Each</a:t>
          </a:r>
        </a:p>
      </cx:txPr>
    </cx:title>
    <cx:plotArea>
      <cx:plotAreaRegion>
        <cx:series layoutId="boxWhisker" uniqueId="{14492825-3809-439C-9221-BFC3B155A6F4}">
          <cx:tx>
            <cx:txData>
              <cx:f>_xlchart.v1.17</cx:f>
              <cx:v>Price_Each</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10.xml><?xml version="1.0" encoding="utf-8"?>
<cx:chartSpace xmlns:a="http://schemas.openxmlformats.org/drawingml/2006/main" xmlns:r="http://schemas.openxmlformats.org/officeDocument/2006/relationships" xmlns:cx="http://schemas.microsoft.com/office/drawing/2014/chartex">
  <cx:chartData>
    <cx:data id="0">
      <cx:numDim type="val">
        <cx:f>_xlchart.v1.16</cx:f>
      </cx:numDim>
    </cx:data>
  </cx:chartData>
  <cx:chart>
    <cx:title pos="t" align="ctr" overlay="0">
      <cx:tx>
        <cx:txData>
          <cx:v>Price Each</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Price Each</a:t>
          </a:r>
        </a:p>
      </cx:txPr>
    </cx:title>
    <cx:plotArea>
      <cx:plotAreaRegion>
        <cx:series layoutId="clusteredColumn" uniqueId="{67593A80-E34C-4D1C-9B74-71BA05E52CD8}">
          <cx:tx>
            <cx:txData>
              <cx:f>_xlchart.v1.15</cx:f>
              <cx:v>Price_Each</cx:v>
            </cx:txData>
          </cx:tx>
          <cx:dataId val="0"/>
          <cx:layoutPr>
            <cx:binning intervalClosed="r">
              <cx:binSize val="20"/>
            </cx:binning>
          </cx:layoutPr>
        </cx:series>
      </cx:plotAreaRegion>
      <cx:axis id="0">
        <cx:catScaling gapWidth="0"/>
        <cx:tickLabels/>
      </cx:axis>
      <cx:axis id="1">
        <cx:valScaling/>
        <cx:majorGridlines/>
        <cx:tickLabels/>
      </cx:axis>
    </cx:plotArea>
  </cx:chart>
</cx:chartSpace>
</file>

<file path=xl/charts/chartEx11.xml><?xml version="1.0" encoding="utf-8"?>
<cx:chartSpace xmlns:a="http://schemas.openxmlformats.org/drawingml/2006/main" xmlns:r="http://schemas.openxmlformats.org/officeDocument/2006/relationships" xmlns:cx="http://schemas.microsoft.com/office/drawing/2014/chartex">
  <cx:chartData>
    <cx:data id="0">
      <cx:numDim type="val">
        <cx:f>_xlchart.v1.28</cx:f>
      </cx:numDim>
    </cx:data>
  </cx:chartData>
  <cx:chart>
    <cx:title pos="t" align="ctr" overlay="0">
      <cx:tx>
        <cx:txData>
          <cx:v>Annual Sales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Annual Sales</a:t>
          </a:r>
        </a:p>
      </cx:txPr>
    </cx:title>
    <cx:plotArea>
      <cx:plotAreaRegion>
        <cx:series layoutId="boxWhisker" uniqueId="{3B7D5756-2B51-4E05-B96B-803CEA33C2E9}">
          <cx:tx>
            <cx:txData>
              <cx:f>_xlchart.v1.27</cx:f>
              <cx:v>Annual Sales</cx:v>
            </cx:txData>
          </cx:tx>
          <cx:dataId val="0"/>
          <cx:layoutPr>
            <cx:statistics quartileMethod="exclusive"/>
          </cx:layoutPr>
        </cx:series>
      </cx:plotAreaRegion>
      <cx:axis id="0">
        <cx:catScaling gapWidth="1"/>
        <cx:tickLabels/>
      </cx:axis>
      <cx:axis id="1">
        <cx:valScaling/>
        <cx:majorGridlines/>
        <cx:tickLabels/>
      </cx:axis>
    </cx:plotArea>
  </cx:chart>
</cx:chartSpace>
</file>

<file path=xl/charts/chartEx12.xml><?xml version="1.0" encoding="utf-8"?>
<cx:chartSpace xmlns:a="http://schemas.openxmlformats.org/drawingml/2006/main" xmlns:r="http://schemas.openxmlformats.org/officeDocument/2006/relationships" xmlns:cx="http://schemas.microsoft.com/office/drawing/2014/chartex">
  <cx:chartData>
    <cx:data id="0">
      <cx:numDim type="val">
        <cx:f>_xlchart.v1.20</cx:f>
      </cx:numDim>
    </cx:data>
  </cx:chartData>
  <cx:chart>
    <cx:title pos="t" align="ctr" overlay="0">
      <cx:tx>
        <cx:txData>
          <cx:v>Annual Sales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Annual Sales</a:t>
          </a:r>
        </a:p>
      </cx:txPr>
    </cx:title>
    <cx:plotArea>
      <cx:plotAreaRegion>
        <cx:series layoutId="clusteredColumn" uniqueId="{49CC52A8-5AE5-4916-A385-673C6535C0E1}">
          <cx:tx>
            <cx:txData>
              <cx:f>_xlchart.v1.19</cx:f>
              <cx:v>Annual Sales</cx:v>
            </cx:txData>
          </cx:tx>
          <cx:dataId val="0"/>
          <cx:layoutPr>
            <cx:binning intervalClosed="r">
              <cx:binSize val="100000"/>
            </cx:binning>
          </cx:layoutPr>
        </cx:series>
      </cx:plotAreaRegion>
      <cx:axis id="0">
        <cx:catScaling gapWidth="0"/>
        <cx:tickLabels/>
      </cx:axis>
      <cx:axis id="1">
        <cx:valScaling/>
        <cx:majorGridlines/>
        <cx:tickLabels/>
      </cx:axis>
    </cx:plotArea>
  </cx:chart>
</cx:chartSpace>
</file>

<file path=xl/charts/chartEx13.xml><?xml version="1.0" encoding="utf-8"?>
<cx:chartSpace xmlns:a="http://schemas.openxmlformats.org/drawingml/2006/main" xmlns:r="http://schemas.openxmlformats.org/officeDocument/2006/relationships" xmlns:cx="http://schemas.microsoft.com/office/drawing/2014/chartex">
  <cx:chartData>
    <cx:data id="0">
      <cx:numDim type="val">
        <cx:f>_xlchart.v1.24</cx:f>
      </cx:numDim>
    </cx:data>
  </cx:chartData>
  <cx:chart>
    <cx:title pos="t" align="ctr" overlay="0">
      <cx:tx>
        <cx:txData>
          <cx:v>Marketing Spend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Marketing Spend %</a:t>
          </a:r>
        </a:p>
      </cx:txPr>
    </cx:title>
    <cx:plotArea>
      <cx:plotAreaRegion>
        <cx:series layoutId="boxWhisker" uniqueId="{3CC08C3D-2732-4AFD-AE28-F0ED8799F252}">
          <cx:tx>
            <cx:txData>
              <cx:f>_xlchart.v1.23</cx:f>
              <cx:v>Annual Marketing_Spend % of Sales</cx:v>
            </cx:txData>
          </cx:tx>
          <cx:dataId val="0"/>
          <cx:layoutPr>
            <cx:statistics quartileMethod="exclusive"/>
          </cx:layoutPr>
        </cx:series>
      </cx:plotAreaRegion>
      <cx:axis id="0">
        <cx:catScaling gapWidth="1"/>
        <cx:tickLabels/>
      </cx:axis>
      <cx:axis id="1">
        <cx:valScaling/>
        <cx:majorGridlines/>
        <cx:tickLabels/>
      </cx:axis>
    </cx:plotArea>
  </cx:chart>
</cx:chartSpace>
</file>

<file path=xl/charts/chartEx14.xml><?xml version="1.0" encoding="utf-8"?>
<cx:chartSpace xmlns:a="http://schemas.openxmlformats.org/drawingml/2006/main" xmlns:r="http://schemas.openxmlformats.org/officeDocument/2006/relationships" xmlns:cx="http://schemas.microsoft.com/office/drawing/2014/chartex">
  <cx:chartData>
    <cx:data id="0">
      <cx:numDim type="val">
        <cx:f>_xlchart.v1.30</cx:f>
      </cx:numDim>
    </cx:data>
  </cx:chartData>
  <cx:chart>
    <cx:title pos="t" align="ctr" overlay="0">
      <cx:tx>
        <cx:txData>
          <cx:v>Marketing Spend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Marketing Spend %</a:t>
          </a:r>
        </a:p>
      </cx:txPr>
    </cx:title>
    <cx:plotArea>
      <cx:plotAreaRegion>
        <cx:series layoutId="clusteredColumn" uniqueId="{ED1A4085-0CED-4FE2-82FB-8C15A543F575}">
          <cx:tx>
            <cx:txData>
              <cx:f>_xlchart.v1.29</cx:f>
              <cx:v>Annual Marketing_Spend % of Sales</cx:v>
            </cx:txData>
          </cx:tx>
          <cx:dataId val="0"/>
          <cx:layoutPr>
            <cx:binning intervalClosed="r">
              <cx:binSize val="0.020000000000000004"/>
            </cx:binning>
          </cx:layoutPr>
        </cx:series>
      </cx:plotAreaRegion>
      <cx:axis id="0">
        <cx:catScaling gapWidth="0"/>
        <cx:tickLabels/>
      </cx:axis>
      <cx:axis id="1">
        <cx:valScaling/>
        <cx:majorGridlines/>
        <cx:tickLabels/>
      </cx:axis>
    </cx:plotArea>
  </cx:chart>
</cx:chartSpace>
</file>

<file path=xl/charts/chartEx15.xml><?xml version="1.0" encoding="utf-8"?>
<cx:chartSpace xmlns:a="http://schemas.openxmlformats.org/drawingml/2006/main" xmlns:r="http://schemas.openxmlformats.org/officeDocument/2006/relationships" xmlns:cx="http://schemas.microsoft.com/office/drawing/2014/chartex">
  <cx:chartData>
    <cx:data id="0">
      <cx:numDim type="val">
        <cx:f>_xlchart.v1.22</cx:f>
      </cx:numDim>
    </cx:data>
  </cx:chartData>
  <cx:chart>
    <cx:title pos="t" align="ctr" overlay="0">
      <cx:tx>
        <cx:txData>
          <cx:v>Amt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Amt</a:t>
          </a:r>
        </a:p>
      </cx:txPr>
    </cx:title>
    <cx:plotArea>
      <cx:plotAreaRegion>
        <cx:series layoutId="boxWhisker" uniqueId="{FAB6903F-B4C4-430E-A0BC-90B4D89E2BD8}">
          <cx:tx>
            <cx:txData>
              <cx:f>_xlchart.v1.21</cx:f>
              <cx:v>Amt</cx:v>
            </cx:txData>
          </cx:tx>
          <cx:dataId val="0"/>
          <cx:layoutPr>
            <cx:statistics quartileMethod="exclusive"/>
          </cx:layoutPr>
        </cx:series>
      </cx:plotAreaRegion>
      <cx:axis id="0">
        <cx:catScaling gapWidth="1"/>
        <cx:tickLabels/>
      </cx:axis>
      <cx:axis id="1">
        <cx:valScaling/>
        <cx:majorGridlines/>
        <cx:tickLabels/>
      </cx:axis>
    </cx:plotArea>
  </cx:chart>
</cx:chartSpace>
</file>

<file path=xl/charts/chartEx16.xml><?xml version="1.0" encoding="utf-8"?>
<cx:chartSpace xmlns:a="http://schemas.openxmlformats.org/drawingml/2006/main" xmlns:r="http://schemas.openxmlformats.org/officeDocument/2006/relationships" xmlns:cx="http://schemas.microsoft.com/office/drawing/2014/chartex">
  <cx:chartData>
    <cx:data id="0">
      <cx:numDim type="val">
        <cx:f>_xlchart.v1.26</cx:f>
      </cx:numDim>
    </cx:data>
  </cx:chartData>
  <cx:chart>
    <cx:title pos="t" align="ctr" overlay="0">
      <cx:tx>
        <cx:txData>
          <cx:v>Amt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Amt</a:t>
          </a:r>
        </a:p>
      </cx:txPr>
    </cx:title>
    <cx:plotArea>
      <cx:plotAreaRegion>
        <cx:series layoutId="clusteredColumn" uniqueId="{36F83932-16A9-4BF6-A042-0DFD22DF072D}">
          <cx:tx>
            <cx:txData>
              <cx:f>_xlchart.v1.25</cx:f>
              <cx:v>Amt</cx:v>
            </cx:txData>
          </cx:tx>
          <cx:dataId val="0"/>
          <cx:layoutPr>
            <cx:binning intervalClosed="r">
              <cx:binSize val="1000"/>
            </cx:binning>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0.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18" Type="http://schemas.openxmlformats.org/officeDocument/2006/relationships/image" Target="../media/image11.png"/><Relationship Id="rId26" Type="http://schemas.openxmlformats.org/officeDocument/2006/relationships/image" Target="../media/image19.png"/><Relationship Id="rId3" Type="http://schemas.openxmlformats.org/officeDocument/2006/relationships/chart" Target="../charts/chart3.xml"/><Relationship Id="rId21" Type="http://schemas.openxmlformats.org/officeDocument/2006/relationships/image" Target="../media/image14.svg"/><Relationship Id="rId7" Type="http://schemas.openxmlformats.org/officeDocument/2006/relationships/chart" Target="../charts/chart7.xml"/><Relationship Id="rId12" Type="http://schemas.openxmlformats.org/officeDocument/2006/relationships/image" Target="../media/image5.png"/><Relationship Id="rId17" Type="http://schemas.openxmlformats.org/officeDocument/2006/relationships/image" Target="../media/image10.svg"/><Relationship Id="rId25" Type="http://schemas.openxmlformats.org/officeDocument/2006/relationships/image" Target="../media/image18.svg"/><Relationship Id="rId2" Type="http://schemas.openxmlformats.org/officeDocument/2006/relationships/chart" Target="../charts/chart2.xml"/><Relationship Id="rId16" Type="http://schemas.openxmlformats.org/officeDocument/2006/relationships/image" Target="../media/image9.png"/><Relationship Id="rId20" Type="http://schemas.openxmlformats.org/officeDocument/2006/relationships/image" Target="../media/image13.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svg"/><Relationship Id="rId24" Type="http://schemas.openxmlformats.org/officeDocument/2006/relationships/image" Target="../media/image17.png"/><Relationship Id="rId5" Type="http://schemas.openxmlformats.org/officeDocument/2006/relationships/chart" Target="../charts/chart5.xml"/><Relationship Id="rId15" Type="http://schemas.openxmlformats.org/officeDocument/2006/relationships/image" Target="../media/image8.svg"/><Relationship Id="rId23" Type="http://schemas.openxmlformats.org/officeDocument/2006/relationships/image" Target="../media/image16.svg"/><Relationship Id="rId10" Type="http://schemas.openxmlformats.org/officeDocument/2006/relationships/image" Target="../media/image3.png"/><Relationship Id="rId19" Type="http://schemas.openxmlformats.org/officeDocument/2006/relationships/image" Target="../media/image12.svg"/><Relationship Id="rId4" Type="http://schemas.openxmlformats.org/officeDocument/2006/relationships/chart" Target="../charts/chart4.xml"/><Relationship Id="rId9" Type="http://schemas.openxmlformats.org/officeDocument/2006/relationships/image" Target="../media/image2.svg"/><Relationship Id="rId14" Type="http://schemas.openxmlformats.org/officeDocument/2006/relationships/image" Target="../media/image7.png"/><Relationship Id="rId22" Type="http://schemas.openxmlformats.org/officeDocument/2006/relationships/image" Target="../media/image15.png"/><Relationship Id="rId27" Type="http://schemas.openxmlformats.org/officeDocument/2006/relationships/image" Target="../media/image20.svg"/></Relationships>
</file>

<file path=xl/drawings/_rels/drawing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1.xml"/><Relationship Id="rId13" Type="http://schemas.openxmlformats.org/officeDocument/2006/relationships/chart" Target="../charts/chart26.xml"/><Relationship Id="rId18" Type="http://schemas.openxmlformats.org/officeDocument/2006/relationships/chart" Target="../charts/chart31.xml"/><Relationship Id="rId3" Type="http://schemas.openxmlformats.org/officeDocument/2006/relationships/chart" Target="../charts/chart16.xml"/><Relationship Id="rId21" Type="http://schemas.openxmlformats.org/officeDocument/2006/relationships/chart" Target="../charts/chart34.xml"/><Relationship Id="rId7" Type="http://schemas.openxmlformats.org/officeDocument/2006/relationships/chart" Target="../charts/chart20.xml"/><Relationship Id="rId12" Type="http://schemas.openxmlformats.org/officeDocument/2006/relationships/chart" Target="../charts/chart25.xml"/><Relationship Id="rId17" Type="http://schemas.openxmlformats.org/officeDocument/2006/relationships/chart" Target="../charts/chart30.xml"/><Relationship Id="rId2" Type="http://schemas.openxmlformats.org/officeDocument/2006/relationships/chart" Target="../charts/chart15.xml"/><Relationship Id="rId16" Type="http://schemas.openxmlformats.org/officeDocument/2006/relationships/chart" Target="../charts/chart29.xml"/><Relationship Id="rId20" Type="http://schemas.openxmlformats.org/officeDocument/2006/relationships/chart" Target="../charts/chart33.xml"/><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chart" Target="../charts/chart24.xml"/><Relationship Id="rId5" Type="http://schemas.openxmlformats.org/officeDocument/2006/relationships/chart" Target="../charts/chart18.xml"/><Relationship Id="rId15" Type="http://schemas.openxmlformats.org/officeDocument/2006/relationships/chart" Target="../charts/chart28.xml"/><Relationship Id="rId10" Type="http://schemas.openxmlformats.org/officeDocument/2006/relationships/chart" Target="../charts/chart23.xml"/><Relationship Id="rId19" Type="http://schemas.openxmlformats.org/officeDocument/2006/relationships/chart" Target="../charts/chart32.xml"/><Relationship Id="rId4" Type="http://schemas.openxmlformats.org/officeDocument/2006/relationships/chart" Target="../charts/chart17.xml"/><Relationship Id="rId9" Type="http://schemas.openxmlformats.org/officeDocument/2006/relationships/chart" Target="../charts/chart22.xml"/><Relationship Id="rId14" Type="http://schemas.openxmlformats.org/officeDocument/2006/relationships/chart" Target="../charts/chart27.xml"/></Relationships>
</file>

<file path=xl/drawings/_rels/drawing5.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4" Type="http://schemas.microsoft.com/office/2014/relationships/chartEx" Target="../charts/chartEx4.xml"/></Relationships>
</file>

<file path=xl/drawings/_rels/drawing6.xml.rels><?xml version="1.0" encoding="UTF-8" standalone="yes"?>
<Relationships xmlns="http://schemas.openxmlformats.org/package/2006/relationships"><Relationship Id="rId2" Type="http://schemas.microsoft.com/office/2014/relationships/chartEx" Target="../charts/chartEx6.xml"/><Relationship Id="rId1" Type="http://schemas.microsoft.com/office/2014/relationships/chartEx" Target="../charts/chartEx5.xml"/></Relationships>
</file>

<file path=xl/drawings/_rels/drawing7.xml.rels><?xml version="1.0" encoding="UTF-8" standalone="yes"?>
<Relationships xmlns="http://schemas.openxmlformats.org/package/2006/relationships"><Relationship Id="rId3" Type="http://schemas.microsoft.com/office/2014/relationships/chartEx" Target="../charts/chartEx9.xml"/><Relationship Id="rId2" Type="http://schemas.microsoft.com/office/2014/relationships/chartEx" Target="../charts/chartEx8.xml"/><Relationship Id="rId1" Type="http://schemas.microsoft.com/office/2014/relationships/chartEx" Target="../charts/chartEx7.xml"/><Relationship Id="rId4" Type="http://schemas.microsoft.com/office/2014/relationships/chartEx" Target="../charts/chartEx10.xml"/></Relationships>
</file>

<file path=xl/drawings/_rels/drawing8.xml.rels><?xml version="1.0" encoding="UTF-8" standalone="yes"?>
<Relationships xmlns="http://schemas.openxmlformats.org/package/2006/relationships"><Relationship Id="rId3" Type="http://schemas.microsoft.com/office/2014/relationships/chartEx" Target="../charts/chartEx13.xml"/><Relationship Id="rId2" Type="http://schemas.microsoft.com/office/2014/relationships/chartEx" Target="../charts/chartEx12.xml"/><Relationship Id="rId1" Type="http://schemas.microsoft.com/office/2014/relationships/chartEx" Target="../charts/chartEx11.xml"/><Relationship Id="rId6" Type="http://schemas.microsoft.com/office/2014/relationships/chartEx" Target="../charts/chartEx16.xml"/><Relationship Id="rId5" Type="http://schemas.microsoft.com/office/2014/relationships/chartEx" Target="../charts/chartEx15.xml"/><Relationship Id="rId4" Type="http://schemas.microsoft.com/office/2014/relationships/chartEx" Target="../charts/chartEx14.xml"/></Relationships>
</file>

<file path=xl/drawings/drawing1.xml><?xml version="1.0" encoding="utf-8"?>
<xdr:wsDr xmlns:xdr="http://schemas.openxmlformats.org/drawingml/2006/spreadsheetDrawing" xmlns:a="http://schemas.openxmlformats.org/drawingml/2006/main">
  <xdr:twoCellAnchor>
    <xdr:from>
      <xdr:col>33</xdr:col>
      <xdr:colOff>220132</xdr:colOff>
      <xdr:row>0</xdr:row>
      <xdr:rowOff>118532</xdr:rowOff>
    </xdr:from>
    <xdr:to>
      <xdr:col>60</xdr:col>
      <xdr:colOff>80681</xdr:colOff>
      <xdr:row>2</xdr:row>
      <xdr:rowOff>110067</xdr:rowOff>
    </xdr:to>
    <xdr:sp macro="" textlink="">
      <xdr:nvSpPr>
        <xdr:cNvPr id="236" name="Rectangle: Rounded Corners 235">
          <a:extLst>
            <a:ext uri="{FF2B5EF4-FFF2-40B4-BE49-F238E27FC236}">
              <a16:creationId xmlns:a16="http://schemas.microsoft.com/office/drawing/2014/main" id="{83F8C4D3-94A5-4335-8D6C-8B107C0A03AD}"/>
            </a:ext>
          </a:extLst>
        </xdr:cNvPr>
        <xdr:cNvSpPr/>
      </xdr:nvSpPr>
      <xdr:spPr>
        <a:xfrm>
          <a:off x="20336932" y="118532"/>
          <a:ext cx="16319749" cy="394947"/>
        </a:xfrm>
        <a:prstGeom prst="roundRect">
          <a:avLst>
            <a:gd name="adj" fmla="val 12500"/>
          </a:avLst>
        </a:prstGeom>
        <a:solidFill>
          <a:srgbClr val="FEFCAA"/>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002060"/>
              </a:solidFill>
              <a:latin typeface="Verdana Pro Black" panose="020B0A04030504040204" pitchFamily="34" charset="0"/>
            </a:rPr>
            <a:t>NOTES</a:t>
          </a:r>
          <a:endParaRPr lang="en-IN" sz="1400" b="1">
            <a:solidFill>
              <a:srgbClr val="002060"/>
            </a:solidFill>
            <a:latin typeface="Verdana Pro Black" panose="020B0A04030504040204" pitchFamily="34" charset="0"/>
          </a:endParaRPr>
        </a:p>
      </xdr:txBody>
    </xdr:sp>
    <xdr:clientData/>
  </xdr:twoCellAnchor>
  <xdr:twoCellAnchor>
    <xdr:from>
      <xdr:col>1</xdr:col>
      <xdr:colOff>463729</xdr:colOff>
      <xdr:row>1</xdr:row>
      <xdr:rowOff>43735</xdr:rowOff>
    </xdr:from>
    <xdr:to>
      <xdr:col>30</xdr:col>
      <xdr:colOff>365342</xdr:colOff>
      <xdr:row>48</xdr:row>
      <xdr:rowOff>10438</xdr:rowOff>
    </xdr:to>
    <xdr:sp macro="" textlink="">
      <xdr:nvSpPr>
        <xdr:cNvPr id="64" name="Rectangle: Rounded Corners 63">
          <a:extLst>
            <a:ext uri="{FF2B5EF4-FFF2-40B4-BE49-F238E27FC236}">
              <a16:creationId xmlns:a16="http://schemas.microsoft.com/office/drawing/2014/main" id="{AADE8BB0-9F4C-4312-8CC1-690572FD3AB3}"/>
            </a:ext>
          </a:extLst>
        </xdr:cNvPr>
        <xdr:cNvSpPr/>
      </xdr:nvSpPr>
      <xdr:spPr>
        <a:xfrm>
          <a:off x="1069154" y="262940"/>
          <a:ext cx="17458928" cy="8797553"/>
        </a:xfrm>
        <a:prstGeom prst="roundRect">
          <a:avLst>
            <a:gd name="adj" fmla="val 1542"/>
          </a:avLst>
        </a:prstGeom>
        <a:solidFill>
          <a:srgbClr val="1406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050" b="1">
            <a:solidFill>
              <a:schemeClr val="bg1"/>
            </a:solidFill>
            <a:latin typeface="Aptos Display" panose="020B0004020202020204" pitchFamily="34" charset="0"/>
          </a:endParaRPr>
        </a:p>
      </xdr:txBody>
    </xdr:sp>
    <xdr:clientData/>
  </xdr:twoCellAnchor>
  <xdr:twoCellAnchor>
    <xdr:from>
      <xdr:col>1</xdr:col>
      <xdr:colOff>459287</xdr:colOff>
      <xdr:row>1</xdr:row>
      <xdr:rowOff>20877</xdr:rowOff>
    </xdr:from>
    <xdr:to>
      <xdr:col>30</xdr:col>
      <xdr:colOff>365342</xdr:colOff>
      <xdr:row>3</xdr:row>
      <xdr:rowOff>156575</xdr:rowOff>
    </xdr:to>
    <xdr:sp macro="" textlink="">
      <xdr:nvSpPr>
        <xdr:cNvPr id="2" name="Rectangle: Rounded Corners 1">
          <a:extLst>
            <a:ext uri="{FF2B5EF4-FFF2-40B4-BE49-F238E27FC236}">
              <a16:creationId xmlns:a16="http://schemas.microsoft.com/office/drawing/2014/main" id="{F7C5860E-9671-4D1C-8000-B841964CFDFD}"/>
            </a:ext>
          </a:extLst>
        </xdr:cNvPr>
        <xdr:cNvSpPr/>
      </xdr:nvSpPr>
      <xdr:spPr>
        <a:xfrm>
          <a:off x="1064712" y="240082"/>
          <a:ext cx="17463370" cy="511479"/>
        </a:xfrm>
        <a:prstGeom prst="roundRect">
          <a:avLst>
            <a:gd name="adj" fmla="val 0"/>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latin typeface="Aptos Display" panose="020B0004020202020204" pitchFamily="34" charset="0"/>
            </a:rPr>
            <a:t>FMCG</a:t>
          </a:r>
          <a:r>
            <a:rPr lang="en-IN" sz="2000" b="1" baseline="0">
              <a:solidFill>
                <a:schemeClr val="bg1"/>
              </a:solidFill>
              <a:latin typeface="Aptos Display" panose="020B0004020202020204" pitchFamily="34" charset="0"/>
            </a:rPr>
            <a:t> DATASET ANALYSIS</a:t>
          </a:r>
          <a:endParaRPr lang="en-IN" sz="1100" b="1">
            <a:solidFill>
              <a:schemeClr val="bg1"/>
            </a:solidFill>
            <a:latin typeface="Aptos Display" panose="020B0004020202020204" pitchFamily="34" charset="0"/>
          </a:endParaRPr>
        </a:p>
      </xdr:txBody>
    </xdr:sp>
    <xdr:clientData/>
  </xdr:twoCellAnchor>
  <xdr:twoCellAnchor>
    <xdr:from>
      <xdr:col>12</xdr:col>
      <xdr:colOff>57200</xdr:colOff>
      <xdr:row>8</xdr:row>
      <xdr:rowOff>167268</xdr:rowOff>
    </xdr:from>
    <xdr:to>
      <xdr:col>22</xdr:col>
      <xdr:colOff>266954</xdr:colOff>
      <xdr:row>28</xdr:row>
      <xdr:rowOff>135699</xdr:rowOff>
    </xdr:to>
    <xdr:grpSp>
      <xdr:nvGrpSpPr>
        <xdr:cNvPr id="3" name="Group 2">
          <a:extLst>
            <a:ext uri="{FF2B5EF4-FFF2-40B4-BE49-F238E27FC236}">
              <a16:creationId xmlns:a16="http://schemas.microsoft.com/office/drawing/2014/main" id="{E2CBA172-350D-43A9-BAD6-199553528F43}"/>
            </a:ext>
          </a:extLst>
        </xdr:cNvPr>
        <xdr:cNvGrpSpPr/>
      </xdr:nvGrpSpPr>
      <xdr:grpSpPr>
        <a:xfrm>
          <a:off x="7322296" y="1701706"/>
          <a:ext cx="6264000" cy="3726240"/>
          <a:chOff x="2907853" y="1362206"/>
          <a:chExt cx="7175417" cy="3624346"/>
        </a:xfrm>
        <a:solidFill>
          <a:schemeClr val="accent1">
            <a:lumMod val="75000"/>
          </a:schemeClr>
        </a:solidFill>
      </xdr:grpSpPr>
      <xdr:sp macro="" textlink="">
        <xdr:nvSpPr>
          <xdr:cNvPr id="4" name="Rectangle: Rounded Corners 3">
            <a:extLst>
              <a:ext uri="{FF2B5EF4-FFF2-40B4-BE49-F238E27FC236}">
                <a16:creationId xmlns:a16="http://schemas.microsoft.com/office/drawing/2014/main" id="{67D71CD8-DDCA-54BE-05E0-8D95350CC35E}"/>
              </a:ext>
            </a:extLst>
          </xdr:cNvPr>
          <xdr:cNvSpPr/>
        </xdr:nvSpPr>
        <xdr:spPr>
          <a:xfrm>
            <a:off x="2907853" y="1362206"/>
            <a:ext cx="7175417" cy="3624346"/>
          </a:xfrm>
          <a:prstGeom prst="roundRect">
            <a:avLst>
              <a:gd name="adj" fmla="val 2488"/>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u="none">
                <a:solidFill>
                  <a:schemeClr val="accent4">
                    <a:lumMod val="20000"/>
                    <a:lumOff val="80000"/>
                  </a:schemeClr>
                </a:solidFill>
                <a:latin typeface="Aptos Display" panose="020B0004020202020204" pitchFamily="34" charset="0"/>
              </a:rPr>
              <a:t>Sales In USD</a:t>
            </a:r>
            <a:endParaRPr lang="en-IN" sz="1100" b="1" u="none">
              <a:solidFill>
                <a:schemeClr val="accent4">
                  <a:lumMod val="20000"/>
                  <a:lumOff val="80000"/>
                </a:schemeClr>
              </a:solidFill>
              <a:latin typeface="Aptos Display" panose="020B0004020202020204" pitchFamily="34" charset="0"/>
            </a:endParaRPr>
          </a:p>
        </xdr:txBody>
      </xdr:sp>
      <xdr:graphicFrame macro="">
        <xdr:nvGraphicFramePr>
          <xdr:cNvPr id="5" name="Chart 4">
            <a:extLst>
              <a:ext uri="{FF2B5EF4-FFF2-40B4-BE49-F238E27FC236}">
                <a16:creationId xmlns:a16="http://schemas.microsoft.com/office/drawing/2014/main" id="{3DE9A755-2C66-7DE6-99D1-E4F23A676382}"/>
              </a:ext>
            </a:extLst>
          </xdr:cNvPr>
          <xdr:cNvGraphicFramePr>
            <a:graphicFrameLocks/>
          </xdr:cNvGraphicFramePr>
        </xdr:nvGraphicFramePr>
        <xdr:xfrm>
          <a:off x="2907853" y="1727398"/>
          <a:ext cx="7175417" cy="3259154"/>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14</xdr:col>
      <xdr:colOff>293008</xdr:colOff>
      <xdr:row>29</xdr:row>
      <xdr:rowOff>62630</xdr:rowOff>
    </xdr:from>
    <xdr:to>
      <xdr:col>23</xdr:col>
      <xdr:colOff>84779</xdr:colOff>
      <xdr:row>46</xdr:row>
      <xdr:rowOff>104384</xdr:rowOff>
    </xdr:to>
    <xdr:grpSp>
      <xdr:nvGrpSpPr>
        <xdr:cNvPr id="6" name="Group 5">
          <a:extLst>
            <a:ext uri="{FF2B5EF4-FFF2-40B4-BE49-F238E27FC236}">
              <a16:creationId xmlns:a16="http://schemas.microsoft.com/office/drawing/2014/main" id="{9CF1AE33-B28E-4B04-A312-A17A8070BE9A}"/>
            </a:ext>
          </a:extLst>
        </xdr:cNvPr>
        <xdr:cNvGrpSpPr/>
      </xdr:nvGrpSpPr>
      <xdr:grpSpPr>
        <a:xfrm>
          <a:off x="8768953" y="5542767"/>
          <a:ext cx="5240593" cy="3235891"/>
          <a:chOff x="4606056" y="5065403"/>
          <a:chExt cx="4909635" cy="3101674"/>
        </a:xfrm>
        <a:solidFill>
          <a:schemeClr val="accent1">
            <a:lumMod val="75000"/>
          </a:schemeClr>
        </a:solidFill>
      </xdr:grpSpPr>
      <xdr:sp macro="" textlink="">
        <xdr:nvSpPr>
          <xdr:cNvPr id="7" name="Rectangle: Rounded Corners 6">
            <a:extLst>
              <a:ext uri="{FF2B5EF4-FFF2-40B4-BE49-F238E27FC236}">
                <a16:creationId xmlns:a16="http://schemas.microsoft.com/office/drawing/2014/main" id="{DDB709C4-E327-48CA-10D4-17D174695780}"/>
              </a:ext>
            </a:extLst>
          </xdr:cNvPr>
          <xdr:cNvSpPr/>
        </xdr:nvSpPr>
        <xdr:spPr>
          <a:xfrm>
            <a:off x="4606056" y="5065403"/>
            <a:ext cx="4909439" cy="3101674"/>
          </a:xfrm>
          <a:prstGeom prst="roundRect">
            <a:avLst>
              <a:gd name="adj" fmla="val 2488"/>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4">
                    <a:lumMod val="20000"/>
                    <a:lumOff val="80000"/>
                  </a:schemeClr>
                </a:solidFill>
                <a:latin typeface="Aptos Display" panose="020B0004020202020204" pitchFamily="34" charset="0"/>
              </a:rPr>
              <a:t>Marketing Spend (Amt) </a:t>
            </a:r>
          </a:p>
        </xdr:txBody>
      </xdr:sp>
      <xdr:graphicFrame macro="">
        <xdr:nvGraphicFramePr>
          <xdr:cNvPr id="8" name="Chart 7">
            <a:extLst>
              <a:ext uri="{FF2B5EF4-FFF2-40B4-BE49-F238E27FC236}">
                <a16:creationId xmlns:a16="http://schemas.microsoft.com/office/drawing/2014/main" id="{15BDF334-5F8F-3924-6A0E-496F5AE1854C}"/>
              </a:ext>
            </a:extLst>
          </xdr:cNvPr>
          <xdr:cNvGraphicFramePr>
            <a:graphicFrameLocks/>
          </xdr:cNvGraphicFramePr>
        </xdr:nvGraphicFramePr>
        <xdr:xfrm>
          <a:off x="4606056" y="5384599"/>
          <a:ext cx="4909635" cy="2782478"/>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26</xdr:col>
      <xdr:colOff>541506</xdr:colOff>
      <xdr:row>8</xdr:row>
      <xdr:rowOff>167269</xdr:rowOff>
    </xdr:from>
    <xdr:to>
      <xdr:col>30</xdr:col>
      <xdr:colOff>56934</xdr:colOff>
      <xdr:row>28</xdr:row>
      <xdr:rowOff>139714</xdr:rowOff>
    </xdr:to>
    <xdr:grpSp>
      <xdr:nvGrpSpPr>
        <xdr:cNvPr id="9" name="Group 8">
          <a:extLst>
            <a:ext uri="{FF2B5EF4-FFF2-40B4-BE49-F238E27FC236}">
              <a16:creationId xmlns:a16="http://schemas.microsoft.com/office/drawing/2014/main" id="{921F8F86-43EF-4F76-8637-7BA90B7E6CF4}"/>
            </a:ext>
          </a:extLst>
        </xdr:cNvPr>
        <xdr:cNvGrpSpPr/>
      </xdr:nvGrpSpPr>
      <xdr:grpSpPr>
        <a:xfrm>
          <a:off x="16282547" y="1701707"/>
          <a:ext cx="1937127" cy="3730254"/>
          <a:chOff x="1902064" y="4641373"/>
          <a:chExt cx="2722345" cy="3525704"/>
        </a:xfrm>
        <a:solidFill>
          <a:schemeClr val="accent1">
            <a:lumMod val="75000"/>
          </a:schemeClr>
        </a:solidFill>
      </xdr:grpSpPr>
      <xdr:sp macro="" textlink="">
        <xdr:nvSpPr>
          <xdr:cNvPr id="10" name="Rectangle: Rounded Corners 9">
            <a:extLst>
              <a:ext uri="{FF2B5EF4-FFF2-40B4-BE49-F238E27FC236}">
                <a16:creationId xmlns:a16="http://schemas.microsoft.com/office/drawing/2014/main" id="{0EE243D6-D0CB-401F-4ADA-D60AC3538603}"/>
              </a:ext>
            </a:extLst>
          </xdr:cNvPr>
          <xdr:cNvSpPr/>
        </xdr:nvSpPr>
        <xdr:spPr>
          <a:xfrm>
            <a:off x="1902242" y="4641373"/>
            <a:ext cx="2722167" cy="3525704"/>
          </a:xfrm>
          <a:prstGeom prst="roundRect">
            <a:avLst>
              <a:gd name="adj" fmla="val 2488"/>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4">
                    <a:lumMod val="20000"/>
                    <a:lumOff val="80000"/>
                  </a:schemeClr>
                </a:solidFill>
                <a:latin typeface="Aptos Display" panose="020B0004020202020204" pitchFamily="34" charset="0"/>
              </a:rPr>
              <a:t>Return</a:t>
            </a:r>
            <a:r>
              <a:rPr lang="en-IN" sz="1200" b="1" baseline="0">
                <a:solidFill>
                  <a:schemeClr val="accent4">
                    <a:lumMod val="20000"/>
                    <a:lumOff val="80000"/>
                  </a:schemeClr>
                </a:solidFill>
                <a:latin typeface="Aptos Display" panose="020B0004020202020204" pitchFamily="34" charset="0"/>
              </a:rPr>
              <a:t> B</a:t>
            </a:r>
            <a:r>
              <a:rPr lang="en-IN" sz="1200" b="1">
                <a:solidFill>
                  <a:schemeClr val="accent4">
                    <a:lumMod val="20000"/>
                    <a:lumOff val="80000"/>
                  </a:schemeClr>
                </a:solidFill>
                <a:latin typeface="Aptos Display" panose="020B0004020202020204" pitchFamily="34" charset="0"/>
              </a:rPr>
              <a:t>y City</a:t>
            </a:r>
            <a:endParaRPr lang="en-IN" sz="1100" b="1">
              <a:solidFill>
                <a:schemeClr val="accent4">
                  <a:lumMod val="20000"/>
                  <a:lumOff val="80000"/>
                </a:schemeClr>
              </a:solidFill>
              <a:latin typeface="Aptos Display" panose="020B0004020202020204" pitchFamily="34" charset="0"/>
            </a:endParaRPr>
          </a:p>
        </xdr:txBody>
      </xdr:sp>
      <xdr:graphicFrame macro="">
        <xdr:nvGraphicFramePr>
          <xdr:cNvPr id="11" name="Chart 10">
            <a:extLst>
              <a:ext uri="{FF2B5EF4-FFF2-40B4-BE49-F238E27FC236}">
                <a16:creationId xmlns:a16="http://schemas.microsoft.com/office/drawing/2014/main" id="{24F9B294-6025-2C42-4151-AA3525D436CD}"/>
              </a:ext>
            </a:extLst>
          </xdr:cNvPr>
          <xdr:cNvGraphicFramePr>
            <a:graphicFrameLocks/>
          </xdr:cNvGraphicFramePr>
        </xdr:nvGraphicFramePr>
        <xdr:xfrm>
          <a:off x="1902064" y="4939529"/>
          <a:ext cx="2600691" cy="3227548"/>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22</xdr:col>
      <xdr:colOff>342217</xdr:colOff>
      <xdr:row>8</xdr:row>
      <xdr:rowOff>167268</xdr:rowOff>
    </xdr:from>
    <xdr:to>
      <xdr:col>26</xdr:col>
      <xdr:colOff>464632</xdr:colOff>
      <xdr:row>28</xdr:row>
      <xdr:rowOff>177452</xdr:rowOff>
    </xdr:to>
    <xdr:grpSp>
      <xdr:nvGrpSpPr>
        <xdr:cNvPr id="12" name="Group 11">
          <a:extLst>
            <a:ext uri="{FF2B5EF4-FFF2-40B4-BE49-F238E27FC236}">
              <a16:creationId xmlns:a16="http://schemas.microsoft.com/office/drawing/2014/main" id="{7A28E612-3428-4D4F-A025-C9BCE6B8F91C}"/>
            </a:ext>
          </a:extLst>
        </xdr:cNvPr>
        <xdr:cNvGrpSpPr/>
      </xdr:nvGrpSpPr>
      <xdr:grpSpPr>
        <a:xfrm>
          <a:off x="13661559" y="1701706"/>
          <a:ext cx="2544114" cy="3767993"/>
          <a:chOff x="3148610" y="1026566"/>
          <a:chExt cx="2575684" cy="3567494"/>
        </a:xfrm>
        <a:solidFill>
          <a:schemeClr val="accent1">
            <a:lumMod val="75000"/>
          </a:schemeClr>
        </a:solidFill>
      </xdr:grpSpPr>
      <xdr:sp macro="" textlink="">
        <xdr:nvSpPr>
          <xdr:cNvPr id="13" name="Rectangle: Rounded Corners 12">
            <a:extLst>
              <a:ext uri="{FF2B5EF4-FFF2-40B4-BE49-F238E27FC236}">
                <a16:creationId xmlns:a16="http://schemas.microsoft.com/office/drawing/2014/main" id="{25B9C64E-18C8-B17E-2DDA-A397E13088D0}"/>
              </a:ext>
            </a:extLst>
          </xdr:cNvPr>
          <xdr:cNvSpPr/>
        </xdr:nvSpPr>
        <xdr:spPr>
          <a:xfrm>
            <a:off x="3151568" y="1026566"/>
            <a:ext cx="2572726" cy="3530322"/>
          </a:xfrm>
          <a:prstGeom prst="roundRect">
            <a:avLst>
              <a:gd name="adj" fmla="val 2488"/>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4">
                    <a:lumMod val="20000"/>
                    <a:lumOff val="80000"/>
                  </a:schemeClr>
                </a:solidFill>
                <a:latin typeface="Aptos Display" panose="020B0004020202020204" pitchFamily="34" charset="0"/>
              </a:rPr>
              <a:t>Top Return</a:t>
            </a:r>
            <a:r>
              <a:rPr lang="en-IN" sz="1200" b="1" baseline="0">
                <a:solidFill>
                  <a:schemeClr val="accent4">
                    <a:lumMod val="20000"/>
                    <a:lumOff val="80000"/>
                  </a:schemeClr>
                </a:solidFill>
                <a:latin typeface="Aptos Display" panose="020B0004020202020204" pitchFamily="34" charset="0"/>
              </a:rPr>
              <a:t> Products</a:t>
            </a:r>
            <a:endParaRPr lang="en-IN" sz="1100" b="1">
              <a:solidFill>
                <a:schemeClr val="accent4">
                  <a:lumMod val="20000"/>
                  <a:lumOff val="80000"/>
                </a:schemeClr>
              </a:solidFill>
              <a:latin typeface="Aptos Display" panose="020B0004020202020204" pitchFamily="34" charset="0"/>
            </a:endParaRPr>
          </a:p>
        </xdr:txBody>
      </xdr:sp>
      <xdr:graphicFrame macro="">
        <xdr:nvGraphicFramePr>
          <xdr:cNvPr id="14" name="Chart 13">
            <a:extLst>
              <a:ext uri="{FF2B5EF4-FFF2-40B4-BE49-F238E27FC236}">
                <a16:creationId xmlns:a16="http://schemas.microsoft.com/office/drawing/2014/main" id="{383549D2-B534-99D8-32F1-8681510A75BC}"/>
              </a:ext>
            </a:extLst>
          </xdr:cNvPr>
          <xdr:cNvGraphicFramePr>
            <a:graphicFrameLocks/>
          </xdr:cNvGraphicFramePr>
        </xdr:nvGraphicFramePr>
        <xdr:xfrm>
          <a:off x="3148610" y="1363925"/>
          <a:ext cx="2501341" cy="3230135"/>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7</xdr:col>
      <xdr:colOff>101973</xdr:colOff>
      <xdr:row>8</xdr:row>
      <xdr:rowOff>157975</xdr:rowOff>
    </xdr:from>
    <xdr:to>
      <xdr:col>11</xdr:col>
      <xdr:colOff>594733</xdr:colOff>
      <xdr:row>28</xdr:row>
      <xdr:rowOff>135698</xdr:rowOff>
    </xdr:to>
    <xdr:sp macro="" textlink="">
      <xdr:nvSpPr>
        <xdr:cNvPr id="15" name="Rectangle: Rounded Corners 14">
          <a:extLst>
            <a:ext uri="{FF2B5EF4-FFF2-40B4-BE49-F238E27FC236}">
              <a16:creationId xmlns:a16="http://schemas.microsoft.com/office/drawing/2014/main" id="{EFC4DFD1-E346-4486-B8F0-AC8F658B8F4B}"/>
            </a:ext>
          </a:extLst>
        </xdr:cNvPr>
        <xdr:cNvSpPr/>
      </xdr:nvSpPr>
      <xdr:spPr>
        <a:xfrm>
          <a:off x="4339946" y="1848989"/>
          <a:ext cx="2914458" cy="3735531"/>
        </a:xfrm>
        <a:prstGeom prst="roundRect">
          <a:avLst>
            <a:gd name="adj" fmla="val 2488"/>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4">
                  <a:lumMod val="20000"/>
                  <a:lumOff val="80000"/>
                </a:schemeClr>
              </a:solidFill>
              <a:latin typeface="Aptos Display" panose="020B0004020202020204" pitchFamily="34" charset="0"/>
            </a:rPr>
            <a:t>Marketing Spend (Amt) Of Products</a:t>
          </a:r>
          <a:endParaRPr lang="en-IN" sz="1100" b="1">
            <a:solidFill>
              <a:schemeClr val="accent4">
                <a:lumMod val="20000"/>
                <a:lumOff val="80000"/>
              </a:schemeClr>
            </a:solidFill>
            <a:latin typeface="Aptos Display" panose="020B0004020202020204" pitchFamily="34" charset="0"/>
          </a:endParaRPr>
        </a:p>
      </xdr:txBody>
    </xdr:sp>
    <xdr:clientData/>
  </xdr:twoCellAnchor>
  <xdr:twoCellAnchor>
    <xdr:from>
      <xdr:col>7</xdr:col>
      <xdr:colOff>66720</xdr:colOff>
      <xdr:row>10</xdr:row>
      <xdr:rowOff>132266</xdr:rowOff>
    </xdr:from>
    <xdr:to>
      <xdr:col>11</xdr:col>
      <xdr:colOff>492512</xdr:colOff>
      <xdr:row>28</xdr:row>
      <xdr:rowOff>92598</xdr:rowOff>
    </xdr:to>
    <xdr:graphicFrame macro="">
      <xdr:nvGraphicFramePr>
        <xdr:cNvPr id="16" name="Chart 15">
          <a:extLst>
            <a:ext uri="{FF2B5EF4-FFF2-40B4-BE49-F238E27FC236}">
              <a16:creationId xmlns:a16="http://schemas.microsoft.com/office/drawing/2014/main" id="{6366E5F7-1DD6-4420-8044-A5302AB74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31314</xdr:colOff>
      <xdr:row>29</xdr:row>
      <xdr:rowOff>62630</xdr:rowOff>
    </xdr:from>
    <xdr:to>
      <xdr:col>30</xdr:col>
      <xdr:colOff>221341</xdr:colOff>
      <xdr:row>46</xdr:row>
      <xdr:rowOff>146137</xdr:rowOff>
    </xdr:to>
    <xdr:grpSp>
      <xdr:nvGrpSpPr>
        <xdr:cNvPr id="17" name="Group 16">
          <a:extLst>
            <a:ext uri="{FF2B5EF4-FFF2-40B4-BE49-F238E27FC236}">
              <a16:creationId xmlns:a16="http://schemas.microsoft.com/office/drawing/2014/main" id="{86B3E625-F102-49FA-A928-D03B4ED6ACE8}"/>
            </a:ext>
          </a:extLst>
        </xdr:cNvPr>
        <xdr:cNvGrpSpPr/>
      </xdr:nvGrpSpPr>
      <xdr:grpSpPr>
        <a:xfrm>
          <a:off x="13956081" y="5542767"/>
          <a:ext cx="4428000" cy="3277644"/>
          <a:chOff x="10776012" y="5043630"/>
          <a:chExt cx="4510211" cy="3133931"/>
        </a:xfrm>
        <a:solidFill>
          <a:schemeClr val="accent1">
            <a:lumMod val="75000"/>
          </a:schemeClr>
        </a:solidFill>
      </xdr:grpSpPr>
      <xdr:sp macro="" textlink="">
        <xdr:nvSpPr>
          <xdr:cNvPr id="18" name="Rectangle: Rounded Corners 17">
            <a:extLst>
              <a:ext uri="{FF2B5EF4-FFF2-40B4-BE49-F238E27FC236}">
                <a16:creationId xmlns:a16="http://schemas.microsoft.com/office/drawing/2014/main" id="{C412F95C-E62B-DA1E-BA41-B12B44630137}"/>
              </a:ext>
            </a:extLst>
          </xdr:cNvPr>
          <xdr:cNvSpPr/>
        </xdr:nvSpPr>
        <xdr:spPr>
          <a:xfrm>
            <a:off x="10900252" y="5043630"/>
            <a:ext cx="4233328" cy="3096759"/>
          </a:xfrm>
          <a:prstGeom prst="roundRect">
            <a:avLst>
              <a:gd name="adj" fmla="val 2488"/>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4">
                    <a:lumMod val="20000"/>
                    <a:lumOff val="80000"/>
                  </a:schemeClr>
                </a:solidFill>
                <a:latin typeface="Aptos Display" panose="020B0004020202020204" pitchFamily="34" charset="0"/>
              </a:rPr>
              <a:t>Returns By Product Category                                                                                     </a:t>
            </a:r>
            <a:endParaRPr lang="en-IN" sz="1100" b="1">
              <a:solidFill>
                <a:schemeClr val="accent4">
                  <a:lumMod val="20000"/>
                  <a:lumOff val="80000"/>
                </a:schemeClr>
              </a:solidFill>
              <a:latin typeface="Aptos Display" panose="020B0004020202020204" pitchFamily="34" charset="0"/>
            </a:endParaRPr>
          </a:p>
        </xdr:txBody>
      </xdr:sp>
      <xdr:graphicFrame macro="">
        <xdr:nvGraphicFramePr>
          <xdr:cNvPr id="19" name="Chart 18">
            <a:extLst>
              <a:ext uri="{FF2B5EF4-FFF2-40B4-BE49-F238E27FC236}">
                <a16:creationId xmlns:a16="http://schemas.microsoft.com/office/drawing/2014/main" id="{A5EC1691-A3C1-F482-8F3C-A7B8AEB1B6D7}"/>
              </a:ext>
            </a:extLst>
          </xdr:cNvPr>
          <xdr:cNvGraphicFramePr>
            <a:graphicFrameLocks/>
          </xdr:cNvGraphicFramePr>
        </xdr:nvGraphicFramePr>
        <xdr:xfrm>
          <a:off x="10776012" y="5302186"/>
          <a:ext cx="4510211" cy="2875375"/>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7</xdr:col>
      <xdr:colOff>90668</xdr:colOff>
      <xdr:row>29</xdr:row>
      <xdr:rowOff>62630</xdr:rowOff>
    </xdr:from>
    <xdr:to>
      <xdr:col>14</xdr:col>
      <xdr:colOff>316696</xdr:colOff>
      <xdr:row>46</xdr:row>
      <xdr:rowOff>156575</xdr:rowOff>
    </xdr:to>
    <xdr:grpSp>
      <xdr:nvGrpSpPr>
        <xdr:cNvPr id="20" name="Group 19">
          <a:extLst>
            <a:ext uri="{FF2B5EF4-FFF2-40B4-BE49-F238E27FC236}">
              <a16:creationId xmlns:a16="http://schemas.microsoft.com/office/drawing/2014/main" id="{04C7DC60-BEDC-4A0E-B7B4-0BEB9DEA4070}"/>
            </a:ext>
          </a:extLst>
        </xdr:cNvPr>
        <xdr:cNvGrpSpPr/>
      </xdr:nvGrpSpPr>
      <xdr:grpSpPr>
        <a:xfrm>
          <a:off x="4328641" y="5542767"/>
          <a:ext cx="4464000" cy="3288082"/>
          <a:chOff x="14094852" y="5043630"/>
          <a:chExt cx="4465172" cy="3133691"/>
        </a:xfrm>
        <a:solidFill>
          <a:schemeClr val="accent1">
            <a:lumMod val="75000"/>
          </a:schemeClr>
        </a:solidFill>
      </xdr:grpSpPr>
      <xdr:sp macro="" textlink="">
        <xdr:nvSpPr>
          <xdr:cNvPr id="21" name="Rectangle: Rounded Corners 20">
            <a:extLst>
              <a:ext uri="{FF2B5EF4-FFF2-40B4-BE49-F238E27FC236}">
                <a16:creationId xmlns:a16="http://schemas.microsoft.com/office/drawing/2014/main" id="{797E9B47-F6E4-A50C-113F-64BEA93BAF52}"/>
              </a:ext>
            </a:extLst>
          </xdr:cNvPr>
          <xdr:cNvSpPr/>
        </xdr:nvSpPr>
        <xdr:spPr>
          <a:xfrm>
            <a:off x="14094852" y="5043630"/>
            <a:ext cx="4360415" cy="3096759"/>
          </a:xfrm>
          <a:prstGeom prst="roundRect">
            <a:avLst>
              <a:gd name="adj" fmla="val 2488"/>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4">
                    <a:lumMod val="20000"/>
                    <a:lumOff val="80000"/>
                  </a:schemeClr>
                </a:solidFill>
                <a:latin typeface="Aptos Display" panose="020B0004020202020204" pitchFamily="34" charset="0"/>
              </a:rPr>
              <a:t>Marketing Spend (Amt) By Product Category</a:t>
            </a:r>
            <a:endParaRPr lang="en-IN" sz="1100" b="1">
              <a:solidFill>
                <a:schemeClr val="accent4">
                  <a:lumMod val="20000"/>
                  <a:lumOff val="80000"/>
                </a:schemeClr>
              </a:solidFill>
              <a:latin typeface="Aptos Display" panose="020B0004020202020204" pitchFamily="34" charset="0"/>
            </a:endParaRPr>
          </a:p>
        </xdr:txBody>
      </xdr:sp>
      <xdr:graphicFrame macro="">
        <xdr:nvGraphicFramePr>
          <xdr:cNvPr id="22" name="Chart 21">
            <a:extLst>
              <a:ext uri="{FF2B5EF4-FFF2-40B4-BE49-F238E27FC236}">
                <a16:creationId xmlns:a16="http://schemas.microsoft.com/office/drawing/2014/main" id="{BEFDC342-050F-72C9-E80D-97BA307C3A97}"/>
              </a:ext>
            </a:extLst>
          </xdr:cNvPr>
          <xdr:cNvGraphicFramePr>
            <a:graphicFrameLocks/>
          </xdr:cNvGraphicFramePr>
        </xdr:nvGraphicFramePr>
        <xdr:xfrm>
          <a:off x="14132024" y="5448371"/>
          <a:ext cx="4428000" cy="272895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editAs="oneCell">
    <xdr:from>
      <xdr:col>4</xdr:col>
      <xdr:colOff>390999</xdr:colOff>
      <xdr:row>39</xdr:row>
      <xdr:rowOff>174634</xdr:rowOff>
    </xdr:from>
    <xdr:to>
      <xdr:col>6</xdr:col>
      <xdr:colOff>589965</xdr:colOff>
      <xdr:row>46</xdr:row>
      <xdr:rowOff>156576</xdr:rowOff>
    </xdr:to>
    <mc:AlternateContent xmlns:mc="http://schemas.openxmlformats.org/markup-compatibility/2006" xmlns:a14="http://schemas.microsoft.com/office/drawing/2010/main">
      <mc:Choice Requires="a14">
        <xdr:graphicFrame macro="">
          <xdr:nvGraphicFramePr>
            <xdr:cNvPr id="23" name="Deal_Size 4">
              <a:extLst>
                <a:ext uri="{FF2B5EF4-FFF2-40B4-BE49-F238E27FC236}">
                  <a16:creationId xmlns:a16="http://schemas.microsoft.com/office/drawing/2014/main" id="{85B091EC-A752-4F04-8813-8AAC88ED0AFC}"/>
                </a:ext>
              </a:extLst>
            </xdr:cNvPr>
            <xdr:cNvGraphicFramePr/>
          </xdr:nvGraphicFramePr>
          <xdr:xfrm>
            <a:off x="0" y="0"/>
            <a:ext cx="0" cy="0"/>
          </xdr:xfrm>
          <a:graphic>
            <a:graphicData uri="http://schemas.microsoft.com/office/drawing/2010/slicer">
              <sle:slicer xmlns:sle="http://schemas.microsoft.com/office/drawing/2010/slicer" name="Deal_Size 4"/>
            </a:graphicData>
          </a:graphic>
        </xdr:graphicFrame>
      </mc:Choice>
      <mc:Fallback xmlns="">
        <xdr:sp macro="" textlink="">
          <xdr:nvSpPr>
            <xdr:cNvPr id="0" name=""/>
            <xdr:cNvSpPr>
              <a:spLocks noTextEdit="1"/>
            </xdr:cNvSpPr>
          </xdr:nvSpPr>
          <xdr:spPr>
            <a:xfrm>
              <a:off x="2812698" y="7533675"/>
              <a:ext cx="1409815" cy="12971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98430</xdr:colOff>
      <xdr:row>17</xdr:row>
      <xdr:rowOff>45737</xdr:rowOff>
    </xdr:from>
    <xdr:to>
      <xdr:col>4</xdr:col>
      <xdr:colOff>297396</xdr:colOff>
      <xdr:row>46</xdr:row>
      <xdr:rowOff>165042</xdr:rowOff>
    </xdr:to>
    <mc:AlternateContent xmlns:mc="http://schemas.openxmlformats.org/markup-compatibility/2006" xmlns:a14="http://schemas.microsoft.com/office/drawing/2010/main">
      <mc:Choice Requires="a14">
        <xdr:graphicFrame macro="">
          <xdr:nvGraphicFramePr>
            <xdr:cNvPr id="24" name="Country 4">
              <a:extLst>
                <a:ext uri="{FF2B5EF4-FFF2-40B4-BE49-F238E27FC236}">
                  <a16:creationId xmlns:a16="http://schemas.microsoft.com/office/drawing/2014/main" id="{60B0D10C-5721-427D-8CE8-E362B3093588}"/>
                </a:ext>
              </a:extLst>
            </xdr:cNvPr>
            <xdr:cNvGraphicFramePr/>
          </xdr:nvGraphicFramePr>
          <xdr:xfrm>
            <a:off x="0" y="0"/>
            <a:ext cx="0" cy="0"/>
          </xdr:xfrm>
          <a:graphic>
            <a:graphicData uri="http://schemas.microsoft.com/office/drawing/2010/slicer">
              <sle:slicer xmlns:sle="http://schemas.microsoft.com/office/drawing/2010/slicer" name="Country 4"/>
            </a:graphicData>
          </a:graphic>
        </xdr:graphicFrame>
      </mc:Choice>
      <mc:Fallback xmlns="">
        <xdr:sp macro="" textlink="">
          <xdr:nvSpPr>
            <xdr:cNvPr id="0" name=""/>
            <xdr:cNvSpPr>
              <a:spLocks noTextEdit="1"/>
            </xdr:cNvSpPr>
          </xdr:nvSpPr>
          <xdr:spPr>
            <a:xfrm>
              <a:off x="1309279" y="3271189"/>
              <a:ext cx="1409816" cy="5559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390999</xdr:colOff>
      <xdr:row>26</xdr:row>
      <xdr:rowOff>117845</xdr:rowOff>
    </xdr:from>
    <xdr:to>
      <xdr:col>6</xdr:col>
      <xdr:colOff>589965</xdr:colOff>
      <xdr:row>39</xdr:row>
      <xdr:rowOff>52192</xdr:rowOff>
    </xdr:to>
    <mc:AlternateContent xmlns:mc="http://schemas.openxmlformats.org/markup-compatibility/2006" xmlns:a14="http://schemas.microsoft.com/office/drawing/2010/main">
      <mc:Choice Requires="a14">
        <xdr:graphicFrame macro="">
          <xdr:nvGraphicFramePr>
            <xdr:cNvPr id="25" name="Product_Category 4">
              <a:extLst>
                <a:ext uri="{FF2B5EF4-FFF2-40B4-BE49-F238E27FC236}">
                  <a16:creationId xmlns:a16="http://schemas.microsoft.com/office/drawing/2014/main" id="{D79B7091-E3C3-48FE-BEA7-A5A3BFC22058}"/>
                </a:ext>
              </a:extLst>
            </xdr:cNvPr>
            <xdr:cNvGraphicFramePr/>
          </xdr:nvGraphicFramePr>
          <xdr:xfrm>
            <a:off x="0" y="0"/>
            <a:ext cx="0" cy="0"/>
          </xdr:xfrm>
          <a:graphic>
            <a:graphicData uri="http://schemas.microsoft.com/office/drawing/2010/slicer">
              <sle:slicer xmlns:sle="http://schemas.microsoft.com/office/drawing/2010/slicer" name="Product_Category 4"/>
            </a:graphicData>
          </a:graphic>
        </xdr:graphicFrame>
      </mc:Choice>
      <mc:Fallback xmlns="">
        <xdr:sp macro="" textlink="">
          <xdr:nvSpPr>
            <xdr:cNvPr id="0" name=""/>
            <xdr:cNvSpPr>
              <a:spLocks noTextEdit="1"/>
            </xdr:cNvSpPr>
          </xdr:nvSpPr>
          <xdr:spPr>
            <a:xfrm>
              <a:off x="2812698" y="5034311"/>
              <a:ext cx="1409815" cy="23769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399583</xdr:colOff>
      <xdr:row>8</xdr:row>
      <xdr:rowOff>157976</xdr:rowOff>
    </xdr:from>
    <xdr:to>
      <xdr:col>6</xdr:col>
      <xdr:colOff>598549</xdr:colOff>
      <xdr:row>16</xdr:row>
      <xdr:rowOff>127801</xdr:rowOff>
    </xdr:to>
    <mc:AlternateContent xmlns:mc="http://schemas.openxmlformats.org/markup-compatibility/2006" xmlns:a14="http://schemas.microsoft.com/office/drawing/2010/main">
      <mc:Choice Requires="a14">
        <xdr:graphicFrame macro="">
          <xdr:nvGraphicFramePr>
            <xdr:cNvPr id="26" name="Quarter 2">
              <a:extLst>
                <a:ext uri="{FF2B5EF4-FFF2-40B4-BE49-F238E27FC236}">
                  <a16:creationId xmlns:a16="http://schemas.microsoft.com/office/drawing/2014/main" id="{C7510176-9A1A-4219-95D6-38331ECFBDBB}"/>
                </a:ext>
              </a:extLst>
            </xdr:cNvPr>
            <xdr:cNvGraphicFramePr/>
          </xdr:nvGraphicFramePr>
          <xdr:xfrm>
            <a:off x="0" y="0"/>
            <a:ext cx="0" cy="0"/>
          </xdr:xfrm>
          <a:graphic>
            <a:graphicData uri="http://schemas.microsoft.com/office/drawing/2010/slicer">
              <sle:slicer xmlns:sle="http://schemas.microsoft.com/office/drawing/2010/slicer" name="Quarter 2"/>
            </a:graphicData>
          </a:graphic>
        </xdr:graphicFrame>
      </mc:Choice>
      <mc:Fallback xmlns="">
        <xdr:sp macro="" textlink="">
          <xdr:nvSpPr>
            <xdr:cNvPr id="0" name=""/>
            <xdr:cNvSpPr>
              <a:spLocks noTextEdit="1"/>
            </xdr:cNvSpPr>
          </xdr:nvSpPr>
          <xdr:spPr>
            <a:xfrm>
              <a:off x="2821282" y="1692414"/>
              <a:ext cx="1409815" cy="1472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108827</xdr:colOff>
      <xdr:row>8</xdr:row>
      <xdr:rowOff>157976</xdr:rowOff>
    </xdr:from>
    <xdr:to>
      <xdr:col>4</xdr:col>
      <xdr:colOff>307793</xdr:colOff>
      <xdr:row>16</xdr:row>
      <xdr:rowOff>74341</xdr:rowOff>
    </xdr:to>
    <mc:AlternateContent xmlns:mc="http://schemas.openxmlformats.org/markup-compatibility/2006" xmlns:a14="http://schemas.microsoft.com/office/drawing/2010/main">
      <mc:Choice Requires="a14">
        <xdr:graphicFrame macro="">
          <xdr:nvGraphicFramePr>
            <xdr:cNvPr id="27" name="Year 2">
              <a:extLst>
                <a:ext uri="{FF2B5EF4-FFF2-40B4-BE49-F238E27FC236}">
                  <a16:creationId xmlns:a16="http://schemas.microsoft.com/office/drawing/2014/main" id="{A8F5143B-C0B8-4D2A-BA22-1D4EF6F4DC22}"/>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319676" y="1692414"/>
              <a:ext cx="1409816" cy="14194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399583</xdr:colOff>
      <xdr:row>17</xdr:row>
      <xdr:rowOff>61824</xdr:rowOff>
    </xdr:from>
    <xdr:to>
      <xdr:col>6</xdr:col>
      <xdr:colOff>598549</xdr:colOff>
      <xdr:row>26</xdr:row>
      <xdr:rowOff>34992</xdr:rowOff>
    </xdr:to>
    <mc:AlternateContent xmlns:mc="http://schemas.openxmlformats.org/markup-compatibility/2006" xmlns:sle15="http://schemas.microsoft.com/office/drawing/2012/slicer">
      <mc:Choice Requires="sle15">
        <xdr:graphicFrame macro="">
          <xdr:nvGraphicFramePr>
            <xdr:cNvPr id="28" name="Territory 1">
              <a:extLst>
                <a:ext uri="{FF2B5EF4-FFF2-40B4-BE49-F238E27FC236}">
                  <a16:creationId xmlns:a16="http://schemas.microsoft.com/office/drawing/2014/main" id="{965E7053-7FD3-4E80-875E-D3B698C85FA8}"/>
                </a:ext>
              </a:extLst>
            </xdr:cNvPr>
            <xdr:cNvGraphicFramePr/>
          </xdr:nvGraphicFramePr>
          <xdr:xfrm>
            <a:off x="0" y="0"/>
            <a:ext cx="0" cy="0"/>
          </xdr:xfrm>
          <a:graphic>
            <a:graphicData uri="http://schemas.microsoft.com/office/drawing/2010/slicer">
              <sle:slicer xmlns:sle="http://schemas.microsoft.com/office/drawing/2010/slicer" name="Territory 1"/>
            </a:graphicData>
          </a:graphic>
        </xdr:graphicFrame>
      </mc:Choice>
      <mc:Fallback xmlns="">
        <xdr:sp macro="" textlink="">
          <xdr:nvSpPr>
            <xdr:cNvPr id="0" name=""/>
            <xdr:cNvSpPr>
              <a:spLocks noTextEdit="1"/>
            </xdr:cNvSpPr>
          </xdr:nvSpPr>
          <xdr:spPr>
            <a:xfrm>
              <a:off x="2821282" y="3271189"/>
              <a:ext cx="1409815" cy="1655716"/>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24</xdr:col>
      <xdr:colOff>35559</xdr:colOff>
      <xdr:row>4</xdr:row>
      <xdr:rowOff>130417</xdr:rowOff>
    </xdr:from>
    <xdr:to>
      <xdr:col>26</xdr:col>
      <xdr:colOff>338153</xdr:colOff>
      <xdr:row>8</xdr:row>
      <xdr:rowOff>53002</xdr:rowOff>
    </xdr:to>
    <xdr:grpSp>
      <xdr:nvGrpSpPr>
        <xdr:cNvPr id="29" name="Group 28">
          <a:extLst>
            <a:ext uri="{FF2B5EF4-FFF2-40B4-BE49-F238E27FC236}">
              <a16:creationId xmlns:a16="http://schemas.microsoft.com/office/drawing/2014/main" id="{002737CE-1A57-4379-A8F1-1C1024245E92}"/>
            </a:ext>
          </a:extLst>
        </xdr:cNvPr>
        <xdr:cNvGrpSpPr/>
      </xdr:nvGrpSpPr>
      <xdr:grpSpPr>
        <a:xfrm>
          <a:off x="14565751" y="913294"/>
          <a:ext cx="1513443" cy="674146"/>
          <a:chOff x="27922653" y="2944275"/>
          <a:chExt cx="1529228" cy="610821"/>
        </a:xfrm>
      </xdr:grpSpPr>
      <xdr:sp macro="" textlink="">
        <xdr:nvSpPr>
          <xdr:cNvPr id="30" name="Rectangle: Rounded Corners 29">
            <a:extLst>
              <a:ext uri="{FF2B5EF4-FFF2-40B4-BE49-F238E27FC236}">
                <a16:creationId xmlns:a16="http://schemas.microsoft.com/office/drawing/2014/main" id="{9AC0F773-FE29-7BB3-782C-DBCDCF61F903}"/>
              </a:ext>
            </a:extLst>
          </xdr:cNvPr>
          <xdr:cNvSpPr/>
        </xdr:nvSpPr>
        <xdr:spPr>
          <a:xfrm>
            <a:off x="27922653" y="2947199"/>
            <a:ext cx="1529228" cy="607897"/>
          </a:xfrm>
          <a:prstGeom prst="roundRect">
            <a:avLst>
              <a:gd name="adj" fmla="val 4849"/>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1" name="Rectangle: Rounded Corners 30">
            <a:extLst>
              <a:ext uri="{FF2B5EF4-FFF2-40B4-BE49-F238E27FC236}">
                <a16:creationId xmlns:a16="http://schemas.microsoft.com/office/drawing/2014/main" id="{B7663CE9-1996-AAA7-1129-76C40E369095}"/>
              </a:ext>
            </a:extLst>
          </xdr:cNvPr>
          <xdr:cNvSpPr/>
        </xdr:nvSpPr>
        <xdr:spPr>
          <a:xfrm>
            <a:off x="27925165" y="2944275"/>
            <a:ext cx="1519621" cy="239151"/>
          </a:xfrm>
          <a:prstGeom prst="roundRect">
            <a:avLst>
              <a:gd name="adj" fmla="val 9091"/>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baseline="0">
                <a:solidFill>
                  <a:schemeClr val="bg1"/>
                </a:solidFill>
                <a:latin typeface="Aptos Display" panose="020B0004020202020204" pitchFamily="34" charset="0"/>
                <a:ea typeface="Calibri"/>
                <a:cs typeface="Calibri"/>
              </a:rPr>
              <a:t>RETURN RATE</a:t>
            </a:r>
            <a:endParaRPr lang="en-US" sz="1800" b="1" i="0" u="none" strike="noStrike">
              <a:solidFill>
                <a:schemeClr val="bg1"/>
              </a:solidFill>
              <a:latin typeface="Aptos Display" panose="020B0004020202020204" pitchFamily="34" charset="0"/>
              <a:ea typeface="Calibri"/>
              <a:cs typeface="Calibri"/>
            </a:endParaRPr>
          </a:p>
        </xdr:txBody>
      </xdr:sp>
      <xdr:sp macro="" textlink="Pivot!$BG$13">
        <xdr:nvSpPr>
          <xdr:cNvPr id="32" name="Rectangle: Rounded Corners 31">
            <a:extLst>
              <a:ext uri="{FF2B5EF4-FFF2-40B4-BE49-F238E27FC236}">
                <a16:creationId xmlns:a16="http://schemas.microsoft.com/office/drawing/2014/main" id="{88DF57BD-443C-88E7-3A64-435B9E292811}"/>
              </a:ext>
            </a:extLst>
          </xdr:cNvPr>
          <xdr:cNvSpPr/>
        </xdr:nvSpPr>
        <xdr:spPr>
          <a:xfrm>
            <a:off x="28320348" y="3277960"/>
            <a:ext cx="783941" cy="191219"/>
          </a:xfrm>
          <a:prstGeom prst="roundRect">
            <a:avLst>
              <a:gd name="adj" fmla="val 9091"/>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2355C5A-AD10-4368-9421-CAFB1C745212}" type="TxLink">
              <a:rPr lang="en-US" sz="1400" b="1" i="0" u="none" strike="noStrike">
                <a:solidFill>
                  <a:schemeClr val="bg1"/>
                </a:solidFill>
                <a:latin typeface="Aptos Display" panose="020B0004020202020204" pitchFamily="34" charset="0"/>
                <a:ea typeface="Calibri"/>
                <a:cs typeface="Calibri"/>
              </a:rPr>
              <a:pPr algn="ctr"/>
              <a:t>7.36%</a:t>
            </a:fld>
            <a:endParaRPr lang="en-IN" sz="4800" b="1">
              <a:solidFill>
                <a:schemeClr val="bg1"/>
              </a:solidFill>
              <a:latin typeface="Aptos Display" panose="020B0004020202020204" pitchFamily="34" charset="0"/>
            </a:endParaRPr>
          </a:p>
        </xdr:txBody>
      </xdr:sp>
    </xdr:grpSp>
    <xdr:clientData/>
  </xdr:twoCellAnchor>
  <xdr:twoCellAnchor>
    <xdr:from>
      <xdr:col>8</xdr:col>
      <xdr:colOff>312449</xdr:colOff>
      <xdr:row>4</xdr:row>
      <xdr:rowOff>114823</xdr:rowOff>
    </xdr:from>
    <xdr:to>
      <xdr:col>12</xdr:col>
      <xdr:colOff>557557</xdr:colOff>
      <xdr:row>8</xdr:row>
      <xdr:rowOff>53322</xdr:rowOff>
    </xdr:to>
    <xdr:grpSp>
      <xdr:nvGrpSpPr>
        <xdr:cNvPr id="33" name="Group 32">
          <a:extLst>
            <a:ext uri="{FF2B5EF4-FFF2-40B4-BE49-F238E27FC236}">
              <a16:creationId xmlns:a16="http://schemas.microsoft.com/office/drawing/2014/main" id="{F78DB377-1796-4E53-AA4C-87A270487AF0}"/>
            </a:ext>
          </a:extLst>
        </xdr:cNvPr>
        <xdr:cNvGrpSpPr/>
      </xdr:nvGrpSpPr>
      <xdr:grpSpPr>
        <a:xfrm>
          <a:off x="5155846" y="897700"/>
          <a:ext cx="2666807" cy="690060"/>
          <a:chOff x="3992351" y="501805"/>
          <a:chExt cx="2698377" cy="666319"/>
        </a:xfrm>
      </xdr:grpSpPr>
      <xdr:sp macro="" textlink="">
        <xdr:nvSpPr>
          <xdr:cNvPr id="34" name="Rectangle: Rounded Corners 33">
            <a:extLst>
              <a:ext uri="{FF2B5EF4-FFF2-40B4-BE49-F238E27FC236}">
                <a16:creationId xmlns:a16="http://schemas.microsoft.com/office/drawing/2014/main" id="{FA624EF6-8C7E-2A10-CFC2-4F9177C9F52B}"/>
              </a:ext>
            </a:extLst>
          </xdr:cNvPr>
          <xdr:cNvSpPr/>
        </xdr:nvSpPr>
        <xdr:spPr>
          <a:xfrm>
            <a:off x="3995845" y="501805"/>
            <a:ext cx="2691793" cy="666319"/>
          </a:xfrm>
          <a:prstGeom prst="roundRect">
            <a:avLst>
              <a:gd name="adj" fmla="val 4849"/>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Rectangle: Rounded Corners 34">
            <a:extLst>
              <a:ext uri="{FF2B5EF4-FFF2-40B4-BE49-F238E27FC236}">
                <a16:creationId xmlns:a16="http://schemas.microsoft.com/office/drawing/2014/main" id="{5CE1D72B-69D3-4958-5EB5-27B17F5C020B}"/>
              </a:ext>
            </a:extLst>
          </xdr:cNvPr>
          <xdr:cNvSpPr/>
        </xdr:nvSpPr>
        <xdr:spPr>
          <a:xfrm>
            <a:off x="3992351" y="509225"/>
            <a:ext cx="2698377" cy="264717"/>
          </a:xfrm>
          <a:prstGeom prst="roundRect">
            <a:avLst>
              <a:gd name="adj" fmla="val 9091"/>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latin typeface="Aptos Display" panose="020B0004020202020204" pitchFamily="34" charset="0"/>
                <a:ea typeface="Calibri"/>
                <a:cs typeface="Calibri"/>
              </a:rPr>
              <a:t>AVG</a:t>
            </a:r>
            <a:r>
              <a:rPr lang="en-US" sz="1200" b="1" i="0" u="none" strike="noStrike" baseline="0">
                <a:solidFill>
                  <a:schemeClr val="bg1"/>
                </a:solidFill>
                <a:latin typeface="Aptos Display" panose="020B0004020202020204" pitchFamily="34" charset="0"/>
                <a:ea typeface="Calibri"/>
                <a:cs typeface="Calibri"/>
              </a:rPr>
              <a:t> MARKETING SPEND PER QTR</a:t>
            </a:r>
          </a:p>
        </xdr:txBody>
      </xdr:sp>
      <xdr:sp macro="" textlink="Pivot!$BG$15">
        <xdr:nvSpPr>
          <xdr:cNvPr id="36" name="Rectangle: Rounded Corners 35">
            <a:extLst>
              <a:ext uri="{FF2B5EF4-FFF2-40B4-BE49-F238E27FC236}">
                <a16:creationId xmlns:a16="http://schemas.microsoft.com/office/drawing/2014/main" id="{729C4D52-2BFC-0177-FE05-603D7C3CA520}"/>
              </a:ext>
            </a:extLst>
          </xdr:cNvPr>
          <xdr:cNvSpPr/>
        </xdr:nvSpPr>
        <xdr:spPr>
          <a:xfrm>
            <a:off x="4667829" y="929053"/>
            <a:ext cx="1371236" cy="145393"/>
          </a:xfrm>
          <a:prstGeom prst="roundRect">
            <a:avLst>
              <a:gd name="adj" fmla="val 9091"/>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6B14F96-1F68-4449-8A96-3EB06F48640F}" type="TxLink">
              <a:rPr lang="en-US" sz="1400" b="1" i="0" u="none" strike="noStrike">
                <a:solidFill>
                  <a:schemeClr val="bg1"/>
                </a:solidFill>
                <a:latin typeface="Aptos Display" panose="020B0004020202020204" pitchFamily="34" charset="0"/>
                <a:ea typeface="Calibri"/>
                <a:cs typeface="Calibri"/>
              </a:rPr>
              <a:pPr algn="ctr"/>
              <a:t> $39,899 </a:t>
            </a:fld>
            <a:endParaRPr lang="en-IN" sz="7200" b="1">
              <a:solidFill>
                <a:schemeClr val="bg1"/>
              </a:solidFill>
              <a:latin typeface="Aptos Display" panose="020B0004020202020204" pitchFamily="34" charset="0"/>
            </a:endParaRPr>
          </a:p>
        </xdr:txBody>
      </xdr:sp>
    </xdr:grpSp>
    <xdr:clientData/>
  </xdr:twoCellAnchor>
  <xdr:twoCellAnchor>
    <xdr:from>
      <xdr:col>13</xdr:col>
      <xdr:colOff>55756</xdr:colOff>
      <xdr:row>4</xdr:row>
      <xdr:rowOff>130417</xdr:rowOff>
    </xdr:from>
    <xdr:to>
      <xdr:col>15</xdr:col>
      <xdr:colOff>594727</xdr:colOff>
      <xdr:row>8</xdr:row>
      <xdr:rowOff>53002</xdr:rowOff>
    </xdr:to>
    <xdr:grpSp>
      <xdr:nvGrpSpPr>
        <xdr:cNvPr id="37" name="Group 36">
          <a:extLst>
            <a:ext uri="{FF2B5EF4-FFF2-40B4-BE49-F238E27FC236}">
              <a16:creationId xmlns:a16="http://schemas.microsoft.com/office/drawing/2014/main" id="{731386EB-5D6F-45E5-882A-7FFF8727BB12}"/>
            </a:ext>
          </a:extLst>
        </xdr:cNvPr>
        <xdr:cNvGrpSpPr/>
      </xdr:nvGrpSpPr>
      <xdr:grpSpPr>
        <a:xfrm>
          <a:off x="7926277" y="913294"/>
          <a:ext cx="1749820" cy="674146"/>
          <a:chOff x="6802244" y="502124"/>
          <a:chExt cx="1765605" cy="666000"/>
        </a:xfrm>
      </xdr:grpSpPr>
      <xdr:sp macro="" textlink="">
        <xdr:nvSpPr>
          <xdr:cNvPr id="38" name="Rectangle: Rounded Corners 37">
            <a:extLst>
              <a:ext uri="{FF2B5EF4-FFF2-40B4-BE49-F238E27FC236}">
                <a16:creationId xmlns:a16="http://schemas.microsoft.com/office/drawing/2014/main" id="{2C075A81-48D1-40BE-2CF2-2A7AAF7C74BA}"/>
              </a:ext>
            </a:extLst>
          </xdr:cNvPr>
          <xdr:cNvSpPr/>
        </xdr:nvSpPr>
        <xdr:spPr>
          <a:xfrm>
            <a:off x="6802244" y="504146"/>
            <a:ext cx="1753010" cy="663978"/>
          </a:xfrm>
          <a:prstGeom prst="roundRect">
            <a:avLst>
              <a:gd name="adj" fmla="val 4849"/>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9" name="Rectangle: Rounded Corners 38">
            <a:extLst>
              <a:ext uri="{FF2B5EF4-FFF2-40B4-BE49-F238E27FC236}">
                <a16:creationId xmlns:a16="http://schemas.microsoft.com/office/drawing/2014/main" id="{9377D42B-5610-614E-ECB9-6C1E3C915554}"/>
              </a:ext>
            </a:extLst>
          </xdr:cNvPr>
          <xdr:cNvSpPr/>
        </xdr:nvSpPr>
        <xdr:spPr>
          <a:xfrm>
            <a:off x="6804505" y="502124"/>
            <a:ext cx="1763344" cy="259624"/>
          </a:xfrm>
          <a:prstGeom prst="roundRect">
            <a:avLst>
              <a:gd name="adj" fmla="val 9091"/>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chemeClr val="bg1"/>
                </a:solidFill>
                <a:latin typeface="Aptos Display" panose="020B0004020202020204" pitchFamily="34" charset="0"/>
                <a:ea typeface="Calibri"/>
                <a:cs typeface="Calibri"/>
              </a:rPr>
              <a:t>AVG SALES PER QTR</a:t>
            </a:r>
          </a:p>
        </xdr:txBody>
      </xdr:sp>
      <xdr:sp macro="" textlink="Pivot!$BG$17">
        <xdr:nvSpPr>
          <xdr:cNvPr id="40" name="Rectangle: Rounded Corners 39">
            <a:extLst>
              <a:ext uri="{FF2B5EF4-FFF2-40B4-BE49-F238E27FC236}">
                <a16:creationId xmlns:a16="http://schemas.microsoft.com/office/drawing/2014/main" id="{F34DF96F-9AC6-A11C-E587-F276F78BC4C9}"/>
              </a:ext>
            </a:extLst>
          </xdr:cNvPr>
          <xdr:cNvSpPr/>
        </xdr:nvSpPr>
        <xdr:spPr>
          <a:xfrm>
            <a:off x="6995541" y="929053"/>
            <a:ext cx="1392831" cy="144888"/>
          </a:xfrm>
          <a:prstGeom prst="roundRect">
            <a:avLst>
              <a:gd name="adj" fmla="val 9091"/>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1FB321C-D370-40ED-812F-74D1D7781015}" type="TxLink">
              <a:rPr lang="en-US" sz="1400" b="1" i="0" u="none" strike="noStrike">
                <a:solidFill>
                  <a:schemeClr val="bg1"/>
                </a:solidFill>
                <a:latin typeface="Aptos Display" panose="020B0004020202020204" pitchFamily="34" charset="0"/>
                <a:ea typeface="Calibri"/>
                <a:cs typeface="Calibri"/>
              </a:rPr>
              <a:pPr algn="ctr"/>
              <a:t> $5,59,322 </a:t>
            </a:fld>
            <a:endParaRPr lang="en-IN" sz="8800" b="1">
              <a:solidFill>
                <a:schemeClr val="bg1"/>
              </a:solidFill>
              <a:latin typeface="Aptos Display" panose="020B0004020202020204" pitchFamily="34" charset="0"/>
            </a:endParaRPr>
          </a:p>
        </xdr:txBody>
      </xdr:sp>
    </xdr:grpSp>
    <xdr:clientData/>
  </xdr:twoCellAnchor>
  <xdr:twoCellAnchor>
    <xdr:from>
      <xdr:col>18</xdr:col>
      <xdr:colOff>468906</xdr:colOff>
      <xdr:row>4</xdr:row>
      <xdr:rowOff>130098</xdr:rowOff>
    </xdr:from>
    <xdr:to>
      <xdr:col>21</xdr:col>
      <xdr:colOff>158183</xdr:colOff>
      <xdr:row>8</xdr:row>
      <xdr:rowOff>52683</xdr:rowOff>
    </xdr:to>
    <xdr:grpSp>
      <xdr:nvGrpSpPr>
        <xdr:cNvPr id="41" name="Group 40">
          <a:extLst>
            <a:ext uri="{FF2B5EF4-FFF2-40B4-BE49-F238E27FC236}">
              <a16:creationId xmlns:a16="http://schemas.microsoft.com/office/drawing/2014/main" id="{57DAEA78-BD79-4941-AF59-6104645EB0AD}"/>
            </a:ext>
          </a:extLst>
        </xdr:cNvPr>
        <xdr:cNvGrpSpPr/>
      </xdr:nvGrpSpPr>
      <xdr:grpSpPr>
        <a:xfrm>
          <a:off x="11366550" y="912975"/>
          <a:ext cx="1505551" cy="674146"/>
          <a:chOff x="27922653" y="2944275"/>
          <a:chExt cx="1529228" cy="610821"/>
        </a:xfrm>
      </xdr:grpSpPr>
      <xdr:sp macro="" textlink="">
        <xdr:nvSpPr>
          <xdr:cNvPr id="42" name="Rectangle: Rounded Corners 41">
            <a:extLst>
              <a:ext uri="{FF2B5EF4-FFF2-40B4-BE49-F238E27FC236}">
                <a16:creationId xmlns:a16="http://schemas.microsoft.com/office/drawing/2014/main" id="{FA814B6E-19B4-E25F-7902-2A61208A94ED}"/>
              </a:ext>
            </a:extLst>
          </xdr:cNvPr>
          <xdr:cNvSpPr/>
        </xdr:nvSpPr>
        <xdr:spPr>
          <a:xfrm>
            <a:off x="27922653" y="2947199"/>
            <a:ext cx="1529228" cy="607897"/>
          </a:xfrm>
          <a:prstGeom prst="roundRect">
            <a:avLst>
              <a:gd name="adj" fmla="val 4849"/>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3" name="Rectangle: Rounded Corners 42">
            <a:extLst>
              <a:ext uri="{FF2B5EF4-FFF2-40B4-BE49-F238E27FC236}">
                <a16:creationId xmlns:a16="http://schemas.microsoft.com/office/drawing/2014/main" id="{25934BED-261E-01CF-FADC-04DB1E08E99E}"/>
              </a:ext>
            </a:extLst>
          </xdr:cNvPr>
          <xdr:cNvSpPr/>
        </xdr:nvSpPr>
        <xdr:spPr>
          <a:xfrm>
            <a:off x="27925164" y="2944275"/>
            <a:ext cx="1524809" cy="239151"/>
          </a:xfrm>
          <a:prstGeom prst="roundRect">
            <a:avLst>
              <a:gd name="adj" fmla="val 9091"/>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baseline="0">
                <a:solidFill>
                  <a:schemeClr val="bg1"/>
                </a:solidFill>
                <a:latin typeface="Aptos Display" panose="020B0004020202020204" pitchFamily="34" charset="0"/>
                <a:ea typeface="Calibri"/>
                <a:cs typeface="Calibri"/>
              </a:rPr>
              <a:t>TOP CITY</a:t>
            </a:r>
            <a:endParaRPr lang="en-US" sz="1800" b="1" i="0" u="none" strike="noStrike">
              <a:solidFill>
                <a:schemeClr val="bg1"/>
              </a:solidFill>
              <a:latin typeface="Aptos Display" panose="020B0004020202020204" pitchFamily="34" charset="0"/>
              <a:ea typeface="Calibri"/>
              <a:cs typeface="Calibri"/>
            </a:endParaRPr>
          </a:p>
        </xdr:txBody>
      </xdr:sp>
      <xdr:sp macro="" textlink="Pivot!$BG$19">
        <xdr:nvSpPr>
          <xdr:cNvPr id="44" name="Rectangle: Rounded Corners 43">
            <a:extLst>
              <a:ext uri="{FF2B5EF4-FFF2-40B4-BE49-F238E27FC236}">
                <a16:creationId xmlns:a16="http://schemas.microsoft.com/office/drawing/2014/main" id="{C7864D70-4168-9EDD-4296-5E79FFD0E1A8}"/>
              </a:ext>
            </a:extLst>
          </xdr:cNvPr>
          <xdr:cNvSpPr/>
        </xdr:nvSpPr>
        <xdr:spPr>
          <a:xfrm>
            <a:off x="28320348" y="3277960"/>
            <a:ext cx="783941" cy="191219"/>
          </a:xfrm>
          <a:prstGeom prst="roundRect">
            <a:avLst>
              <a:gd name="adj" fmla="val 9091"/>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C07556C-BA63-44C6-95A7-105FE02FFB0B}" type="TxLink">
              <a:rPr lang="en-US" sz="1400" b="1" i="0" u="none" strike="noStrike">
                <a:solidFill>
                  <a:schemeClr val="bg1"/>
                </a:solidFill>
                <a:latin typeface="Aptos Display" panose="020B0004020202020204" pitchFamily="34" charset="0"/>
                <a:ea typeface="Calibri"/>
                <a:cs typeface="Calibri"/>
              </a:rPr>
              <a:pPr algn="ctr"/>
              <a:t>Madrid</a:t>
            </a:fld>
            <a:endParaRPr lang="en-IN" sz="1400" b="1">
              <a:solidFill>
                <a:schemeClr val="bg1"/>
              </a:solidFill>
              <a:latin typeface="Aptos Display" panose="020B0004020202020204" pitchFamily="34" charset="0"/>
            </a:endParaRPr>
          </a:p>
        </xdr:txBody>
      </xdr:sp>
    </xdr:grpSp>
    <xdr:clientData/>
  </xdr:twoCellAnchor>
  <xdr:twoCellAnchor>
    <xdr:from>
      <xdr:col>21</xdr:col>
      <xdr:colOff>248209</xdr:colOff>
      <xdr:row>4</xdr:row>
      <xdr:rowOff>130098</xdr:rowOff>
    </xdr:from>
    <xdr:to>
      <xdr:col>23</xdr:col>
      <xdr:colOff>554218</xdr:colOff>
      <xdr:row>8</xdr:row>
      <xdr:rowOff>52683</xdr:rowOff>
    </xdr:to>
    <xdr:grpSp>
      <xdr:nvGrpSpPr>
        <xdr:cNvPr id="45" name="Group 44">
          <a:extLst>
            <a:ext uri="{FF2B5EF4-FFF2-40B4-BE49-F238E27FC236}">
              <a16:creationId xmlns:a16="http://schemas.microsoft.com/office/drawing/2014/main" id="{3EFBFDC0-C847-4142-9BFC-2F26EDE34EE1}"/>
            </a:ext>
          </a:extLst>
        </xdr:cNvPr>
        <xdr:cNvGrpSpPr/>
      </xdr:nvGrpSpPr>
      <xdr:grpSpPr>
        <a:xfrm>
          <a:off x="12962127" y="912975"/>
          <a:ext cx="1516858" cy="674146"/>
          <a:chOff x="27922653" y="2944275"/>
          <a:chExt cx="1532680" cy="610821"/>
        </a:xfrm>
      </xdr:grpSpPr>
      <xdr:sp macro="" textlink="">
        <xdr:nvSpPr>
          <xdr:cNvPr id="46" name="Rectangle: Rounded Corners 45">
            <a:extLst>
              <a:ext uri="{FF2B5EF4-FFF2-40B4-BE49-F238E27FC236}">
                <a16:creationId xmlns:a16="http://schemas.microsoft.com/office/drawing/2014/main" id="{4AE69B52-CD2B-FF0F-C873-F0E36619D0A5}"/>
              </a:ext>
            </a:extLst>
          </xdr:cNvPr>
          <xdr:cNvSpPr/>
        </xdr:nvSpPr>
        <xdr:spPr>
          <a:xfrm>
            <a:off x="27922653" y="2947199"/>
            <a:ext cx="1529228" cy="607897"/>
          </a:xfrm>
          <a:prstGeom prst="roundRect">
            <a:avLst>
              <a:gd name="adj" fmla="val 4849"/>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7" name="Rectangle: Rounded Corners 46">
            <a:extLst>
              <a:ext uri="{FF2B5EF4-FFF2-40B4-BE49-F238E27FC236}">
                <a16:creationId xmlns:a16="http://schemas.microsoft.com/office/drawing/2014/main" id="{E454319D-622F-566A-9D38-B0525975D81C}"/>
              </a:ext>
            </a:extLst>
          </xdr:cNvPr>
          <xdr:cNvSpPr/>
        </xdr:nvSpPr>
        <xdr:spPr>
          <a:xfrm>
            <a:off x="27935712" y="2944275"/>
            <a:ext cx="1519621" cy="239151"/>
          </a:xfrm>
          <a:prstGeom prst="roundRect">
            <a:avLst>
              <a:gd name="adj" fmla="val 9091"/>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baseline="0">
                <a:solidFill>
                  <a:schemeClr val="bg1"/>
                </a:solidFill>
                <a:latin typeface="Aptos Display" panose="020B0004020202020204" pitchFamily="34" charset="0"/>
                <a:ea typeface="Calibri"/>
                <a:cs typeface="Calibri"/>
              </a:rPr>
              <a:t>TOP COUNTRY</a:t>
            </a:r>
            <a:endParaRPr lang="en-US" sz="1800" b="1" i="0" u="none" strike="noStrike">
              <a:solidFill>
                <a:schemeClr val="bg1"/>
              </a:solidFill>
              <a:latin typeface="Aptos Display" panose="020B0004020202020204" pitchFamily="34" charset="0"/>
              <a:ea typeface="Calibri"/>
              <a:cs typeface="Calibri"/>
            </a:endParaRPr>
          </a:p>
        </xdr:txBody>
      </xdr:sp>
      <xdr:sp macro="" textlink="Pivot!$BG$21">
        <xdr:nvSpPr>
          <xdr:cNvPr id="48" name="Rectangle: Rounded Corners 47">
            <a:extLst>
              <a:ext uri="{FF2B5EF4-FFF2-40B4-BE49-F238E27FC236}">
                <a16:creationId xmlns:a16="http://schemas.microsoft.com/office/drawing/2014/main" id="{9E3BD744-2087-C136-7424-90AEFE0A7466}"/>
              </a:ext>
            </a:extLst>
          </xdr:cNvPr>
          <xdr:cNvSpPr/>
        </xdr:nvSpPr>
        <xdr:spPr>
          <a:xfrm>
            <a:off x="28320348" y="3277960"/>
            <a:ext cx="783941" cy="191219"/>
          </a:xfrm>
          <a:prstGeom prst="roundRect">
            <a:avLst>
              <a:gd name="adj" fmla="val 9091"/>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6E41268-FEB0-44B5-B558-EDB196F3FF90}" type="TxLink">
              <a:rPr lang="en-US" sz="1400" b="1" i="0" u="none" strike="noStrike">
                <a:solidFill>
                  <a:schemeClr val="bg1"/>
                </a:solidFill>
                <a:latin typeface="Aptos Display" panose="020B0004020202020204" pitchFamily="34" charset="0"/>
                <a:ea typeface="Calibri"/>
                <a:cs typeface="Calibri"/>
              </a:rPr>
              <a:pPr algn="ctr"/>
              <a:t>USA</a:t>
            </a:fld>
            <a:endParaRPr lang="en-IN" sz="7200" b="1">
              <a:solidFill>
                <a:schemeClr val="bg1"/>
              </a:solidFill>
              <a:latin typeface="Aptos Display" panose="020B0004020202020204" pitchFamily="34" charset="0"/>
            </a:endParaRPr>
          </a:p>
        </xdr:txBody>
      </xdr:sp>
    </xdr:grpSp>
    <xdr:clientData/>
  </xdr:twoCellAnchor>
  <xdr:twoCellAnchor>
    <xdr:from>
      <xdr:col>16</xdr:col>
      <xdr:colOff>70991</xdr:colOff>
      <xdr:row>4</xdr:row>
      <xdr:rowOff>130417</xdr:rowOff>
    </xdr:from>
    <xdr:to>
      <xdr:col>18</xdr:col>
      <xdr:colOff>373585</xdr:colOff>
      <xdr:row>8</xdr:row>
      <xdr:rowOff>53002</xdr:rowOff>
    </xdr:to>
    <xdr:grpSp>
      <xdr:nvGrpSpPr>
        <xdr:cNvPr id="49" name="Group 48">
          <a:extLst>
            <a:ext uri="{FF2B5EF4-FFF2-40B4-BE49-F238E27FC236}">
              <a16:creationId xmlns:a16="http://schemas.microsoft.com/office/drawing/2014/main" id="{447EB9BE-AD28-446E-991A-26F5D2A5021A}"/>
            </a:ext>
          </a:extLst>
        </xdr:cNvPr>
        <xdr:cNvGrpSpPr/>
      </xdr:nvGrpSpPr>
      <xdr:grpSpPr>
        <a:xfrm>
          <a:off x="9757786" y="913294"/>
          <a:ext cx="1513443" cy="674146"/>
          <a:chOff x="27922653" y="2944275"/>
          <a:chExt cx="1529228" cy="610821"/>
        </a:xfrm>
      </xdr:grpSpPr>
      <xdr:sp macro="" textlink="">
        <xdr:nvSpPr>
          <xdr:cNvPr id="50" name="Rectangle: Rounded Corners 49">
            <a:extLst>
              <a:ext uri="{FF2B5EF4-FFF2-40B4-BE49-F238E27FC236}">
                <a16:creationId xmlns:a16="http://schemas.microsoft.com/office/drawing/2014/main" id="{A74E13C0-27AF-3382-0D8B-A07277B3479D}"/>
              </a:ext>
            </a:extLst>
          </xdr:cNvPr>
          <xdr:cNvSpPr/>
        </xdr:nvSpPr>
        <xdr:spPr>
          <a:xfrm>
            <a:off x="27922653" y="2947199"/>
            <a:ext cx="1529228" cy="607897"/>
          </a:xfrm>
          <a:prstGeom prst="roundRect">
            <a:avLst>
              <a:gd name="adj" fmla="val 4849"/>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1" name="Rectangle: Rounded Corners 50">
            <a:extLst>
              <a:ext uri="{FF2B5EF4-FFF2-40B4-BE49-F238E27FC236}">
                <a16:creationId xmlns:a16="http://schemas.microsoft.com/office/drawing/2014/main" id="{D3D8C52D-5E05-0200-511B-9D1379AAEF5C}"/>
              </a:ext>
            </a:extLst>
          </xdr:cNvPr>
          <xdr:cNvSpPr/>
        </xdr:nvSpPr>
        <xdr:spPr>
          <a:xfrm>
            <a:off x="27925164" y="2944275"/>
            <a:ext cx="1524132" cy="239151"/>
          </a:xfrm>
          <a:prstGeom prst="roundRect">
            <a:avLst>
              <a:gd name="adj" fmla="val 9091"/>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baseline="0">
                <a:solidFill>
                  <a:schemeClr val="bg1"/>
                </a:solidFill>
                <a:latin typeface="Aptos Display" panose="020B0004020202020204" pitchFamily="34" charset="0"/>
                <a:ea typeface="Calibri"/>
                <a:cs typeface="Calibri"/>
              </a:rPr>
              <a:t>TOP TERRITORY</a:t>
            </a:r>
            <a:endParaRPr lang="en-US" sz="1800" b="1" i="0" u="none" strike="noStrike">
              <a:solidFill>
                <a:schemeClr val="bg1"/>
              </a:solidFill>
              <a:latin typeface="Aptos Display" panose="020B0004020202020204" pitchFamily="34" charset="0"/>
              <a:ea typeface="Calibri"/>
              <a:cs typeface="Calibri"/>
            </a:endParaRPr>
          </a:p>
        </xdr:txBody>
      </xdr:sp>
      <xdr:sp macro="" textlink="Pivot!$BG$23">
        <xdr:nvSpPr>
          <xdr:cNvPr id="52" name="Rectangle: Rounded Corners 51">
            <a:extLst>
              <a:ext uri="{FF2B5EF4-FFF2-40B4-BE49-F238E27FC236}">
                <a16:creationId xmlns:a16="http://schemas.microsoft.com/office/drawing/2014/main" id="{0F073F20-CDF9-95FC-0524-08D528AD21C0}"/>
              </a:ext>
            </a:extLst>
          </xdr:cNvPr>
          <xdr:cNvSpPr/>
        </xdr:nvSpPr>
        <xdr:spPr>
          <a:xfrm>
            <a:off x="28320348" y="3277960"/>
            <a:ext cx="783941" cy="191219"/>
          </a:xfrm>
          <a:prstGeom prst="roundRect">
            <a:avLst>
              <a:gd name="adj" fmla="val 9091"/>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F199BE0-48BD-4A81-9130-2E436DEF13F8}" type="TxLink">
              <a:rPr lang="en-US" sz="1400" b="1" i="0" u="none" strike="noStrike">
                <a:solidFill>
                  <a:schemeClr val="bg1"/>
                </a:solidFill>
                <a:latin typeface="Aptos Display" panose="020B0004020202020204" pitchFamily="34" charset="0"/>
                <a:ea typeface="Calibri"/>
                <a:cs typeface="Calibri"/>
              </a:rPr>
              <a:pPr algn="ctr"/>
              <a:t>EMEA</a:t>
            </a:fld>
            <a:endParaRPr lang="en-IN" sz="8800" b="1">
              <a:solidFill>
                <a:schemeClr val="bg1"/>
              </a:solidFill>
              <a:latin typeface="Aptos Display" panose="020B0004020202020204" pitchFamily="34" charset="0"/>
            </a:endParaRPr>
          </a:p>
        </xdr:txBody>
      </xdr:sp>
    </xdr:grpSp>
    <xdr:clientData/>
  </xdr:twoCellAnchor>
  <xdr:twoCellAnchor>
    <xdr:from>
      <xdr:col>4</xdr:col>
      <xdr:colOff>508412</xdr:colOff>
      <xdr:row>4</xdr:row>
      <xdr:rowOff>130417</xdr:rowOff>
    </xdr:from>
    <xdr:to>
      <xdr:col>8</xdr:col>
      <xdr:colOff>213732</xdr:colOff>
      <xdr:row>8</xdr:row>
      <xdr:rowOff>53002</xdr:rowOff>
    </xdr:to>
    <xdr:grpSp>
      <xdr:nvGrpSpPr>
        <xdr:cNvPr id="66" name="Group 65">
          <a:extLst>
            <a:ext uri="{FF2B5EF4-FFF2-40B4-BE49-F238E27FC236}">
              <a16:creationId xmlns:a16="http://schemas.microsoft.com/office/drawing/2014/main" id="{C2B79FF2-B824-DA4F-7A48-537E7C6171D9}"/>
            </a:ext>
          </a:extLst>
        </xdr:cNvPr>
        <xdr:cNvGrpSpPr/>
      </xdr:nvGrpSpPr>
      <xdr:grpSpPr>
        <a:xfrm>
          <a:off x="2930111" y="913294"/>
          <a:ext cx="2127018" cy="674146"/>
          <a:chOff x="2930111" y="913294"/>
          <a:chExt cx="2127018" cy="674146"/>
        </a:xfrm>
      </xdr:grpSpPr>
      <xdr:sp macro="" textlink="">
        <xdr:nvSpPr>
          <xdr:cNvPr id="53" name="Rectangle: Rounded Corners 52">
            <a:extLst>
              <a:ext uri="{FF2B5EF4-FFF2-40B4-BE49-F238E27FC236}">
                <a16:creationId xmlns:a16="http://schemas.microsoft.com/office/drawing/2014/main" id="{4B2673B4-7D0E-46C5-8FDD-7BCF2CB9693E}"/>
              </a:ext>
            </a:extLst>
          </xdr:cNvPr>
          <xdr:cNvSpPr/>
        </xdr:nvSpPr>
        <xdr:spPr>
          <a:xfrm>
            <a:off x="2935418" y="916482"/>
            <a:ext cx="2113795" cy="670958"/>
          </a:xfrm>
          <a:prstGeom prst="roundRect">
            <a:avLst>
              <a:gd name="adj" fmla="val 4849"/>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Rectangle: Rounded Corners 53">
            <a:extLst>
              <a:ext uri="{FF2B5EF4-FFF2-40B4-BE49-F238E27FC236}">
                <a16:creationId xmlns:a16="http://schemas.microsoft.com/office/drawing/2014/main" id="{98DD6E89-5DE1-47F1-8E8E-6EF77B286B84}"/>
              </a:ext>
            </a:extLst>
          </xdr:cNvPr>
          <xdr:cNvSpPr/>
        </xdr:nvSpPr>
        <xdr:spPr>
          <a:xfrm>
            <a:off x="2930111" y="913294"/>
            <a:ext cx="2127018" cy="262800"/>
          </a:xfrm>
          <a:prstGeom prst="roundRect">
            <a:avLst>
              <a:gd name="adj" fmla="val 9091"/>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baseline="0">
                <a:solidFill>
                  <a:schemeClr val="bg1"/>
                </a:solidFill>
                <a:latin typeface="Aptos Display" panose="020B0004020202020204" pitchFamily="34" charset="0"/>
                <a:ea typeface="Calibri"/>
                <a:cs typeface="Calibri"/>
              </a:rPr>
              <a:t>TOP PRODUCT</a:t>
            </a:r>
            <a:endParaRPr lang="en-US" sz="1800" b="1" i="0" u="none" strike="noStrike">
              <a:solidFill>
                <a:schemeClr val="bg1"/>
              </a:solidFill>
              <a:latin typeface="Aptos Display" panose="020B0004020202020204" pitchFamily="34" charset="0"/>
              <a:ea typeface="Calibri"/>
              <a:cs typeface="Calibri"/>
            </a:endParaRPr>
          </a:p>
        </xdr:txBody>
      </xdr:sp>
    </xdr:grpSp>
    <xdr:clientData/>
  </xdr:twoCellAnchor>
  <xdr:twoCellAnchor>
    <xdr:from>
      <xdr:col>4</xdr:col>
      <xdr:colOff>554812</xdr:colOff>
      <xdr:row>6</xdr:row>
      <xdr:rowOff>122538</xdr:rowOff>
    </xdr:from>
    <xdr:to>
      <xdr:col>8</xdr:col>
      <xdr:colOff>158581</xdr:colOff>
      <xdr:row>7</xdr:row>
      <xdr:rowOff>145178</xdr:rowOff>
    </xdr:to>
    <xdr:sp macro="" textlink="Pivot!$BG$27">
      <xdr:nvSpPr>
        <xdr:cNvPr id="55" name="Rectangle: Rounded Corners 54">
          <a:extLst>
            <a:ext uri="{FF2B5EF4-FFF2-40B4-BE49-F238E27FC236}">
              <a16:creationId xmlns:a16="http://schemas.microsoft.com/office/drawing/2014/main" id="{F8260E82-3DC8-4ACC-81CE-474F83F70306}"/>
            </a:ext>
          </a:extLst>
        </xdr:cNvPr>
        <xdr:cNvSpPr/>
      </xdr:nvSpPr>
      <xdr:spPr>
        <a:xfrm>
          <a:off x="1774012" y="854058"/>
          <a:ext cx="2042169" cy="205520"/>
        </a:xfrm>
        <a:prstGeom prst="roundRect">
          <a:avLst>
            <a:gd name="adj" fmla="val 9091"/>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DFFA0B6-9231-4973-8EAD-E27D2EE6CEF6}" type="TxLink">
            <a:rPr lang="en-US" sz="1400" b="1" i="0" u="none" strike="noStrike">
              <a:solidFill>
                <a:schemeClr val="bg1"/>
              </a:solidFill>
              <a:latin typeface="Aptos Display" panose="020B0004020202020204" pitchFamily="34" charset="0"/>
              <a:ea typeface="Calibri"/>
              <a:cs typeface="Calibri"/>
            </a:rPr>
            <a:pPr algn="ctr"/>
            <a:t>BrewSip Classic Coffee</a:t>
          </a:fld>
          <a:endParaRPr lang="en-IN" sz="16600" b="1">
            <a:solidFill>
              <a:schemeClr val="bg1"/>
            </a:solidFill>
            <a:latin typeface="Aptos Display" panose="020B0004020202020204" pitchFamily="34" charset="0"/>
          </a:endParaRPr>
        </a:p>
      </xdr:txBody>
    </xdr:sp>
    <xdr:clientData/>
  </xdr:twoCellAnchor>
  <xdr:twoCellAnchor>
    <xdr:from>
      <xdr:col>2</xdr:col>
      <xdr:colOff>108827</xdr:colOff>
      <xdr:row>4</xdr:row>
      <xdr:rowOff>130417</xdr:rowOff>
    </xdr:from>
    <xdr:to>
      <xdr:col>4</xdr:col>
      <xdr:colOff>411421</xdr:colOff>
      <xdr:row>8</xdr:row>
      <xdr:rowOff>53002</xdr:rowOff>
    </xdr:to>
    <xdr:grpSp>
      <xdr:nvGrpSpPr>
        <xdr:cNvPr id="56" name="Group 55">
          <a:extLst>
            <a:ext uri="{FF2B5EF4-FFF2-40B4-BE49-F238E27FC236}">
              <a16:creationId xmlns:a16="http://schemas.microsoft.com/office/drawing/2014/main" id="{20D5D4E1-B09A-4CCE-8F8E-1005ECD6E8FC}"/>
            </a:ext>
          </a:extLst>
        </xdr:cNvPr>
        <xdr:cNvGrpSpPr/>
      </xdr:nvGrpSpPr>
      <xdr:grpSpPr>
        <a:xfrm>
          <a:off x="1319676" y="913294"/>
          <a:ext cx="1513444" cy="674146"/>
          <a:chOff x="27922653" y="2944275"/>
          <a:chExt cx="1529228" cy="610821"/>
        </a:xfrm>
      </xdr:grpSpPr>
      <xdr:sp macro="" textlink="">
        <xdr:nvSpPr>
          <xdr:cNvPr id="57" name="Rectangle: Rounded Corners 56">
            <a:extLst>
              <a:ext uri="{FF2B5EF4-FFF2-40B4-BE49-F238E27FC236}">
                <a16:creationId xmlns:a16="http://schemas.microsoft.com/office/drawing/2014/main" id="{5DD36642-FE7C-B2FD-64B1-12D228B41F5B}"/>
              </a:ext>
            </a:extLst>
          </xdr:cNvPr>
          <xdr:cNvSpPr/>
        </xdr:nvSpPr>
        <xdr:spPr>
          <a:xfrm>
            <a:off x="27922653" y="2947199"/>
            <a:ext cx="1529228" cy="607897"/>
          </a:xfrm>
          <a:prstGeom prst="roundRect">
            <a:avLst>
              <a:gd name="adj" fmla="val 4849"/>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Rectangle: Rounded Corners 57">
            <a:extLst>
              <a:ext uri="{FF2B5EF4-FFF2-40B4-BE49-F238E27FC236}">
                <a16:creationId xmlns:a16="http://schemas.microsoft.com/office/drawing/2014/main" id="{A03C24C8-55FA-2774-A818-A1E110C2011B}"/>
              </a:ext>
            </a:extLst>
          </xdr:cNvPr>
          <xdr:cNvSpPr/>
        </xdr:nvSpPr>
        <xdr:spPr>
          <a:xfrm>
            <a:off x="27925165" y="2944275"/>
            <a:ext cx="1519621" cy="239151"/>
          </a:xfrm>
          <a:prstGeom prst="roundRect">
            <a:avLst>
              <a:gd name="adj" fmla="val 9091"/>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baseline="0">
                <a:solidFill>
                  <a:schemeClr val="bg1"/>
                </a:solidFill>
                <a:latin typeface="Aptos Display" panose="020B0004020202020204" pitchFamily="34" charset="0"/>
                <a:ea typeface="Calibri"/>
                <a:cs typeface="Calibri"/>
              </a:rPr>
              <a:t>TOP CATEGORY</a:t>
            </a:r>
            <a:endParaRPr lang="en-US" sz="1800" b="1" i="0" u="none" strike="noStrike">
              <a:solidFill>
                <a:schemeClr val="bg1"/>
              </a:solidFill>
              <a:latin typeface="Aptos Display" panose="020B0004020202020204" pitchFamily="34" charset="0"/>
              <a:ea typeface="Calibri"/>
              <a:cs typeface="Calibri"/>
            </a:endParaRPr>
          </a:p>
        </xdr:txBody>
      </xdr:sp>
      <xdr:sp macro="" textlink="Pivot!$BG$25">
        <xdr:nvSpPr>
          <xdr:cNvPr id="59" name="Rectangle: Rounded Corners 58">
            <a:extLst>
              <a:ext uri="{FF2B5EF4-FFF2-40B4-BE49-F238E27FC236}">
                <a16:creationId xmlns:a16="http://schemas.microsoft.com/office/drawing/2014/main" id="{D879D881-31D4-DD93-243E-C849FAABC145}"/>
              </a:ext>
            </a:extLst>
          </xdr:cNvPr>
          <xdr:cNvSpPr/>
        </xdr:nvSpPr>
        <xdr:spPr>
          <a:xfrm>
            <a:off x="28183187" y="3277960"/>
            <a:ext cx="1008000" cy="191219"/>
          </a:xfrm>
          <a:prstGeom prst="roundRect">
            <a:avLst>
              <a:gd name="adj" fmla="val 9091"/>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E829DCC-2F89-4044-A3CF-E962A0D7C8F1}" type="TxLink">
              <a:rPr lang="en-US" sz="1400" b="1" i="0" u="none" strike="noStrike">
                <a:solidFill>
                  <a:schemeClr val="bg1"/>
                </a:solidFill>
                <a:latin typeface="Aptos Display" panose="020B0004020202020204" pitchFamily="34" charset="0"/>
                <a:ea typeface="Calibri"/>
                <a:cs typeface="Calibri"/>
              </a:rPr>
              <a:pPr algn="ctr"/>
              <a:t>Beverages</a:t>
            </a:fld>
            <a:endParaRPr lang="en-IN" sz="11500" b="1">
              <a:solidFill>
                <a:schemeClr val="bg1"/>
              </a:solidFill>
              <a:latin typeface="Aptos Display" panose="020B0004020202020204" pitchFamily="34" charset="0"/>
            </a:endParaRPr>
          </a:p>
        </xdr:txBody>
      </xdr:sp>
    </xdr:grpSp>
    <xdr:clientData/>
  </xdr:twoCellAnchor>
  <xdr:twoCellAnchor>
    <xdr:from>
      <xdr:col>26</xdr:col>
      <xdr:colOff>445866</xdr:colOff>
      <xdr:row>4</xdr:row>
      <xdr:rowOff>130417</xdr:rowOff>
    </xdr:from>
    <xdr:to>
      <xdr:col>30</xdr:col>
      <xdr:colOff>69489</xdr:colOff>
      <xdr:row>8</xdr:row>
      <xdr:rowOff>53002</xdr:rowOff>
    </xdr:to>
    <xdr:grpSp>
      <xdr:nvGrpSpPr>
        <xdr:cNvPr id="60" name="Group 59">
          <a:extLst>
            <a:ext uri="{FF2B5EF4-FFF2-40B4-BE49-F238E27FC236}">
              <a16:creationId xmlns:a16="http://schemas.microsoft.com/office/drawing/2014/main" id="{19B8FB96-7505-4BB4-93FA-6B768D90138C}"/>
            </a:ext>
          </a:extLst>
        </xdr:cNvPr>
        <xdr:cNvGrpSpPr/>
      </xdr:nvGrpSpPr>
      <xdr:grpSpPr>
        <a:xfrm>
          <a:off x="16186907" y="913294"/>
          <a:ext cx="2045322" cy="674146"/>
          <a:chOff x="27922653" y="2944275"/>
          <a:chExt cx="2076813" cy="610821"/>
        </a:xfrm>
      </xdr:grpSpPr>
      <xdr:sp macro="" textlink="">
        <xdr:nvSpPr>
          <xdr:cNvPr id="61" name="Rectangle: Rounded Corners 60">
            <a:extLst>
              <a:ext uri="{FF2B5EF4-FFF2-40B4-BE49-F238E27FC236}">
                <a16:creationId xmlns:a16="http://schemas.microsoft.com/office/drawing/2014/main" id="{8307614A-FC69-885A-D0E2-E93F585EDDA4}"/>
              </a:ext>
            </a:extLst>
          </xdr:cNvPr>
          <xdr:cNvSpPr/>
        </xdr:nvSpPr>
        <xdr:spPr>
          <a:xfrm>
            <a:off x="27922653" y="2947199"/>
            <a:ext cx="2065020" cy="607897"/>
          </a:xfrm>
          <a:prstGeom prst="roundRect">
            <a:avLst>
              <a:gd name="adj" fmla="val 4849"/>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2" name="Rectangle: Rounded Corners 61">
            <a:extLst>
              <a:ext uri="{FF2B5EF4-FFF2-40B4-BE49-F238E27FC236}">
                <a16:creationId xmlns:a16="http://schemas.microsoft.com/office/drawing/2014/main" id="{DF6D8D2B-AD26-28D9-A753-AA6C5C83F416}"/>
              </a:ext>
            </a:extLst>
          </xdr:cNvPr>
          <xdr:cNvSpPr/>
        </xdr:nvSpPr>
        <xdr:spPr>
          <a:xfrm>
            <a:off x="27926838" y="2944275"/>
            <a:ext cx="2072628" cy="239151"/>
          </a:xfrm>
          <a:prstGeom prst="roundRect">
            <a:avLst>
              <a:gd name="adj" fmla="val 9091"/>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baseline="0">
                <a:solidFill>
                  <a:schemeClr val="bg1"/>
                </a:solidFill>
                <a:latin typeface="Aptos Display" panose="020B0004020202020204" pitchFamily="34" charset="0"/>
                <a:ea typeface="Calibri"/>
                <a:cs typeface="Calibri"/>
              </a:rPr>
              <a:t>TOTAL QUANTITY ORDERED</a:t>
            </a:r>
            <a:endParaRPr lang="en-US" sz="1800" b="1" i="0" u="none" strike="noStrike">
              <a:solidFill>
                <a:schemeClr val="bg1"/>
              </a:solidFill>
              <a:latin typeface="Aptos Display" panose="020B0004020202020204" pitchFamily="34" charset="0"/>
              <a:ea typeface="Calibri"/>
              <a:cs typeface="Calibri"/>
            </a:endParaRPr>
          </a:p>
        </xdr:txBody>
      </xdr:sp>
      <xdr:sp macro="" textlink="Pivot!$BG$29">
        <xdr:nvSpPr>
          <xdr:cNvPr id="63" name="Rectangle: Rounded Corners 62">
            <a:extLst>
              <a:ext uri="{FF2B5EF4-FFF2-40B4-BE49-F238E27FC236}">
                <a16:creationId xmlns:a16="http://schemas.microsoft.com/office/drawing/2014/main" id="{9ECB0CC9-4427-942E-3A3A-4FEA77409ABF}"/>
              </a:ext>
            </a:extLst>
          </xdr:cNvPr>
          <xdr:cNvSpPr/>
        </xdr:nvSpPr>
        <xdr:spPr>
          <a:xfrm>
            <a:off x="27962207" y="3277960"/>
            <a:ext cx="1980000" cy="191219"/>
          </a:xfrm>
          <a:prstGeom prst="roundRect">
            <a:avLst>
              <a:gd name="adj" fmla="val 9091"/>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B44824B-CF6D-4E6B-AE17-3020766FA215}" type="TxLink">
              <a:rPr lang="en-US" sz="1400" b="1" i="0" u="none" strike="noStrike">
                <a:solidFill>
                  <a:schemeClr val="bg1"/>
                </a:solidFill>
                <a:latin typeface="Aptos Display" panose="020B0004020202020204" pitchFamily="34" charset="0"/>
                <a:ea typeface="Calibri"/>
                <a:cs typeface="Calibri"/>
              </a:rPr>
              <a:pPr algn="ctr"/>
              <a:t>104166</a:t>
            </a:fld>
            <a:endParaRPr lang="en-US" sz="1400" b="1">
              <a:solidFill>
                <a:schemeClr val="bg1"/>
              </a:solidFill>
              <a:latin typeface="Aptos Display" panose="020B0004020202020204" pitchFamily="34" charset="0"/>
            </a:endParaRPr>
          </a:p>
        </xdr:txBody>
      </xdr:sp>
    </xdr:grpSp>
    <xdr:clientData/>
  </xdr:twoCellAnchor>
  <xdr:twoCellAnchor>
    <xdr:from>
      <xdr:col>33</xdr:col>
      <xdr:colOff>221562</xdr:colOff>
      <xdr:row>3</xdr:row>
      <xdr:rowOff>8465</xdr:rowOff>
    </xdr:from>
    <xdr:to>
      <xdr:col>41</xdr:col>
      <xdr:colOff>546847</xdr:colOff>
      <xdr:row>22</xdr:row>
      <xdr:rowOff>107576</xdr:rowOff>
    </xdr:to>
    <xdr:grpSp>
      <xdr:nvGrpSpPr>
        <xdr:cNvPr id="67" name="Group 66">
          <a:extLst>
            <a:ext uri="{FF2B5EF4-FFF2-40B4-BE49-F238E27FC236}">
              <a16:creationId xmlns:a16="http://schemas.microsoft.com/office/drawing/2014/main" id="{F27AE1D6-3520-138F-E991-873376F88575}"/>
            </a:ext>
          </a:extLst>
        </xdr:cNvPr>
        <xdr:cNvGrpSpPr/>
      </xdr:nvGrpSpPr>
      <xdr:grpSpPr>
        <a:xfrm>
          <a:off x="20200576" y="603451"/>
          <a:ext cx="5168682" cy="3669029"/>
          <a:chOff x="20338362" y="591171"/>
          <a:chExt cx="5202085" cy="3505699"/>
        </a:xfrm>
      </xdr:grpSpPr>
      <xdr:sp macro="" textlink="">
        <xdr:nvSpPr>
          <xdr:cNvPr id="238" name="Rectangle: Rounded Corners 237">
            <a:extLst>
              <a:ext uri="{FF2B5EF4-FFF2-40B4-BE49-F238E27FC236}">
                <a16:creationId xmlns:a16="http://schemas.microsoft.com/office/drawing/2014/main" id="{0DB22E23-EE1D-4E2B-8E8C-7DA691A662C7}"/>
              </a:ext>
            </a:extLst>
          </xdr:cNvPr>
          <xdr:cNvSpPr/>
        </xdr:nvSpPr>
        <xdr:spPr>
          <a:xfrm>
            <a:off x="20338362" y="591171"/>
            <a:ext cx="5202085" cy="3505699"/>
          </a:xfrm>
          <a:prstGeom prst="roundRect">
            <a:avLst>
              <a:gd name="adj" fmla="val 904"/>
            </a:avLst>
          </a:prstGeom>
          <a:solidFill>
            <a:srgbClr val="FEFCAA"/>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b="1">
              <a:solidFill>
                <a:srgbClr val="002060"/>
              </a:solidFill>
              <a:latin typeface="Verdana Pro Black" panose="020B0A04030504040204" pitchFamily="34" charset="0"/>
            </a:endParaRPr>
          </a:p>
        </xdr:txBody>
      </xdr:sp>
      <xdr:grpSp>
        <xdr:nvGrpSpPr>
          <xdr:cNvPr id="94" name="Group 93">
            <a:extLst>
              <a:ext uri="{FF2B5EF4-FFF2-40B4-BE49-F238E27FC236}">
                <a16:creationId xmlns:a16="http://schemas.microsoft.com/office/drawing/2014/main" id="{42E63ED8-9B7E-4019-04A4-F74761E90107}"/>
              </a:ext>
            </a:extLst>
          </xdr:cNvPr>
          <xdr:cNvGrpSpPr/>
        </xdr:nvGrpSpPr>
        <xdr:grpSpPr>
          <a:xfrm>
            <a:off x="21678861" y="681837"/>
            <a:ext cx="2947185" cy="3337855"/>
            <a:chOff x="23461980" y="2910840"/>
            <a:chExt cx="3002280" cy="3208020"/>
          </a:xfrm>
        </xdr:grpSpPr>
        <xdr:sp macro="" textlink="">
          <xdr:nvSpPr>
            <xdr:cNvPr id="87" name="Rectangle: Rounded Corners 86">
              <a:extLst>
                <a:ext uri="{FF2B5EF4-FFF2-40B4-BE49-F238E27FC236}">
                  <a16:creationId xmlns:a16="http://schemas.microsoft.com/office/drawing/2014/main" id="{174CB681-803F-4A37-A6B0-5C5CA945D4CE}"/>
                </a:ext>
              </a:extLst>
            </xdr:cNvPr>
            <xdr:cNvSpPr/>
          </xdr:nvSpPr>
          <xdr:spPr>
            <a:xfrm>
              <a:off x="26068020" y="3825240"/>
              <a:ext cx="396240" cy="1470660"/>
            </a:xfrm>
            <a:prstGeom prst="roundRect">
              <a:avLst>
                <a:gd name="adj" fmla="val 30769"/>
              </a:avLst>
            </a:prstGeom>
            <a:solidFill>
              <a:schemeClr val="accent2">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6" name="Rectangle: Rounded Corners 85">
              <a:extLst>
                <a:ext uri="{FF2B5EF4-FFF2-40B4-BE49-F238E27FC236}">
                  <a16:creationId xmlns:a16="http://schemas.microsoft.com/office/drawing/2014/main" id="{944349A8-223F-1947-01BB-F5FD5CB30B6F}"/>
                </a:ext>
              </a:extLst>
            </xdr:cNvPr>
            <xdr:cNvSpPr/>
          </xdr:nvSpPr>
          <xdr:spPr>
            <a:xfrm>
              <a:off x="26014680" y="3756660"/>
              <a:ext cx="396240" cy="1470660"/>
            </a:xfrm>
            <a:prstGeom prst="roundRect">
              <a:avLst>
                <a:gd name="adj" fmla="val 30769"/>
              </a:avLst>
            </a:prstGeom>
            <a:solidFill>
              <a:schemeClr val="accent4">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6" name="Rectangle: Rounded Corners 75">
              <a:extLst>
                <a:ext uri="{FF2B5EF4-FFF2-40B4-BE49-F238E27FC236}">
                  <a16:creationId xmlns:a16="http://schemas.microsoft.com/office/drawing/2014/main" id="{737C4FBE-CB04-4AE9-92A5-6E93B19629D6}"/>
                </a:ext>
              </a:extLst>
            </xdr:cNvPr>
            <xdr:cNvSpPr/>
          </xdr:nvSpPr>
          <xdr:spPr>
            <a:xfrm>
              <a:off x="23461980" y="2910840"/>
              <a:ext cx="2491740" cy="3116580"/>
            </a:xfrm>
            <a:prstGeom prst="roundRect">
              <a:avLst>
                <a:gd name="adj" fmla="val 0"/>
              </a:avLst>
            </a:prstGeom>
            <a:solidFill>
              <a:schemeClr val="accent2">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rgbClr val="002060"/>
                </a:solidFill>
                <a:latin typeface="Aptos Display" panose="020B0004020202020204" pitchFamily="34" charset="0"/>
              </a:endParaRPr>
            </a:p>
          </xdr:txBody>
        </xdr:sp>
        <xdr:sp macro="" textlink="">
          <xdr:nvSpPr>
            <xdr:cNvPr id="65" name="Rectangle: Rounded Corners 64">
              <a:extLst>
                <a:ext uri="{FF2B5EF4-FFF2-40B4-BE49-F238E27FC236}">
                  <a16:creationId xmlns:a16="http://schemas.microsoft.com/office/drawing/2014/main" id="{5EABFCD9-C743-AA5A-47BA-DBEC321837C4}"/>
                </a:ext>
              </a:extLst>
            </xdr:cNvPr>
            <xdr:cNvSpPr/>
          </xdr:nvSpPr>
          <xdr:spPr>
            <a:xfrm>
              <a:off x="23568660" y="3002280"/>
              <a:ext cx="2491740" cy="3116580"/>
            </a:xfrm>
            <a:prstGeom prst="roundRect">
              <a:avLst>
                <a:gd name="adj" fmla="val 0"/>
              </a:avLst>
            </a:prstGeom>
            <a:solidFill>
              <a:schemeClr val="accent4">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400" b="1" i="0" u="sng" strike="noStrike">
                <a:solidFill>
                  <a:srgbClr val="002060"/>
                </a:solidFill>
                <a:effectLst/>
                <a:latin typeface="Aptos Display" panose="020B0004020202020204" pitchFamily="34" charset="0"/>
                <a:ea typeface="+mn-ea"/>
                <a:cs typeface="+mn-cs"/>
              </a:endParaRPr>
            </a:p>
            <a:p>
              <a:pPr algn="ctr"/>
              <a:r>
                <a:rPr lang="en-IN" sz="1400" b="1" i="0" u="sng" strike="noStrike">
                  <a:solidFill>
                    <a:srgbClr val="002060"/>
                  </a:solidFill>
                  <a:effectLst/>
                  <a:latin typeface="Aptos Display" panose="020B0004020202020204" pitchFamily="34" charset="0"/>
                  <a:ea typeface="+mn-ea"/>
                  <a:cs typeface="+mn-cs"/>
                </a:rPr>
                <a:t>SALES INSIGHTS</a:t>
              </a:r>
            </a:p>
            <a:p>
              <a:pPr algn="l"/>
              <a:endParaRPr lang="en-IN" sz="1200" b="1" i="0" u="none" strike="noStrike">
                <a:solidFill>
                  <a:srgbClr val="002060"/>
                </a:solidFill>
                <a:effectLst/>
                <a:latin typeface="Aptos Display" panose="020B0004020202020204" pitchFamily="34" charset="0"/>
                <a:ea typeface="+mn-ea"/>
                <a:cs typeface="+mn-cs"/>
              </a:endParaRPr>
            </a:p>
            <a:p>
              <a:pPr algn="l"/>
              <a:endParaRPr lang="en-IN" sz="1200" b="1" i="0" u="none" strike="noStrike">
                <a:solidFill>
                  <a:srgbClr val="002060"/>
                </a:solidFill>
                <a:effectLst/>
                <a:latin typeface="Aptos Display" panose="020B0004020202020204" pitchFamily="34" charset="0"/>
                <a:ea typeface="+mn-ea"/>
                <a:cs typeface="+mn-cs"/>
              </a:endParaRPr>
            </a:p>
            <a:p>
              <a:pPr algn="l"/>
              <a:r>
                <a:rPr lang="en-IN" sz="1200" b="1" i="0" u="none" strike="noStrike">
                  <a:solidFill>
                    <a:srgbClr val="002060"/>
                  </a:solidFill>
                  <a:effectLst/>
                  <a:latin typeface="Aptos Display" panose="020B0004020202020204" pitchFamily="34" charset="0"/>
                  <a:ea typeface="+mn-ea"/>
                  <a:cs typeface="+mn-cs"/>
                </a:rPr>
                <a:t>1. </a:t>
              </a:r>
              <a:r>
                <a:rPr lang="en-IN" sz="1200" b="0" i="0" u="none" strike="noStrike">
                  <a:solidFill>
                    <a:srgbClr val="002060"/>
                  </a:solidFill>
                  <a:effectLst/>
                  <a:latin typeface="Aptos Display" panose="020B0004020202020204" pitchFamily="34" charset="0"/>
                  <a:ea typeface="+mn-ea"/>
                  <a:cs typeface="+mn-cs"/>
                </a:rPr>
                <a:t>Q1 &amp; Q2 Have </a:t>
              </a:r>
              <a:r>
                <a:rPr lang="en-IN" sz="1200" b="1" i="0" u="none" strike="noStrike">
                  <a:solidFill>
                    <a:srgbClr val="002060"/>
                  </a:solidFill>
                  <a:effectLst/>
                  <a:latin typeface="Aptos Display" panose="020B0004020202020204" pitchFamily="34" charset="0"/>
                  <a:ea typeface="+mn-ea"/>
                  <a:cs typeface="+mn-cs"/>
                </a:rPr>
                <a:t>Negative Growth</a:t>
              </a:r>
              <a:r>
                <a:rPr lang="en-IN" sz="1200" b="0" i="0" u="none" strike="noStrike">
                  <a:solidFill>
                    <a:srgbClr val="002060"/>
                  </a:solidFill>
                  <a:effectLst/>
                  <a:latin typeface="Aptos Display" panose="020B0004020202020204" pitchFamily="34" charset="0"/>
                  <a:ea typeface="+mn-ea"/>
                  <a:cs typeface="+mn-cs"/>
                </a:rPr>
                <a:t> Except 2003</a:t>
              </a:r>
              <a:r>
                <a:rPr lang="en-IN" sz="1200" b="0" i="0" u="none" strike="noStrike" baseline="0">
                  <a:solidFill>
                    <a:srgbClr val="002060"/>
                  </a:solidFill>
                  <a:effectLst/>
                  <a:latin typeface="Aptos Display" panose="020B0004020202020204" pitchFamily="34" charset="0"/>
                  <a:ea typeface="+mn-ea"/>
                  <a:cs typeface="+mn-cs"/>
                </a:rPr>
                <a:t> </a:t>
              </a:r>
              <a:br>
                <a:rPr lang="en-IN" sz="1200" b="1" i="0" u="none" strike="noStrike">
                  <a:solidFill>
                    <a:srgbClr val="002060"/>
                  </a:solidFill>
                  <a:effectLst/>
                  <a:latin typeface="Aptos Display" panose="020B0004020202020204" pitchFamily="34" charset="0"/>
                  <a:ea typeface="+mn-ea"/>
                  <a:cs typeface="+mn-cs"/>
                </a:rPr>
              </a:br>
              <a:r>
                <a:rPr lang="en-IN" sz="1200" b="1">
                  <a:solidFill>
                    <a:srgbClr val="002060"/>
                  </a:solidFill>
                  <a:latin typeface="Aptos Display" panose="020B0004020202020204" pitchFamily="34" charset="0"/>
                </a:rPr>
                <a:t> </a:t>
              </a:r>
              <a:br>
                <a:rPr lang="en-IN" sz="1200" b="1">
                  <a:solidFill>
                    <a:srgbClr val="002060"/>
                  </a:solidFill>
                  <a:latin typeface="Aptos Display" panose="020B0004020202020204" pitchFamily="34" charset="0"/>
                </a:rPr>
              </a:br>
              <a:r>
                <a:rPr lang="en-IN" sz="1200" b="1">
                  <a:solidFill>
                    <a:srgbClr val="002060"/>
                  </a:solidFill>
                  <a:latin typeface="Aptos Display" panose="020B0004020202020204" pitchFamily="34" charset="0"/>
                </a:rPr>
                <a:t>2. </a:t>
              </a:r>
              <a:r>
                <a:rPr lang="en-IN" sz="1200" b="1" i="0" u="none" strike="noStrike">
                  <a:solidFill>
                    <a:srgbClr val="002060"/>
                  </a:solidFill>
                  <a:effectLst/>
                  <a:latin typeface="Aptos Display" panose="020B0004020202020204" pitchFamily="34" charset="0"/>
                  <a:ea typeface="+mn-ea"/>
                  <a:cs typeface="+mn-cs"/>
                </a:rPr>
                <a:t>Q3 Performed Well</a:t>
              </a:r>
              <a:r>
                <a:rPr lang="en-IN" sz="1200" b="0" i="0" u="none" strike="noStrike">
                  <a:solidFill>
                    <a:srgbClr val="002060"/>
                  </a:solidFill>
                  <a:effectLst/>
                  <a:latin typeface="Aptos Display" panose="020B0004020202020204" pitchFamily="34" charset="0"/>
                  <a:ea typeface="+mn-ea"/>
                  <a:cs typeface="+mn-cs"/>
                </a:rPr>
                <a:t> In Every Year</a:t>
              </a:r>
              <a:br>
                <a:rPr lang="en-IN" sz="1200" b="0" i="0" u="none" strike="noStrike">
                  <a:solidFill>
                    <a:srgbClr val="002060"/>
                  </a:solidFill>
                  <a:effectLst/>
                  <a:latin typeface="Aptos Display" panose="020B0004020202020204" pitchFamily="34" charset="0"/>
                  <a:ea typeface="+mn-ea"/>
                  <a:cs typeface="+mn-cs"/>
                </a:rPr>
              </a:br>
              <a:r>
                <a:rPr lang="en-IN" sz="1200" b="1">
                  <a:solidFill>
                    <a:srgbClr val="002060"/>
                  </a:solidFill>
                  <a:latin typeface="Aptos Display" panose="020B0004020202020204" pitchFamily="34" charset="0"/>
                </a:rPr>
                <a:t> </a:t>
              </a:r>
              <a:br>
                <a:rPr lang="en-IN" sz="1200" b="1">
                  <a:solidFill>
                    <a:srgbClr val="002060"/>
                  </a:solidFill>
                  <a:latin typeface="Aptos Display" panose="020B0004020202020204" pitchFamily="34" charset="0"/>
                </a:rPr>
              </a:br>
              <a:r>
                <a:rPr lang="en-IN" sz="1200" b="1">
                  <a:solidFill>
                    <a:srgbClr val="002060"/>
                  </a:solidFill>
                  <a:latin typeface="Aptos Display" panose="020B0004020202020204" pitchFamily="34" charset="0"/>
                </a:rPr>
                <a:t>3. </a:t>
              </a:r>
              <a:r>
                <a:rPr lang="en-IN" sz="1200" b="1" i="0" u="none" strike="noStrike">
                  <a:solidFill>
                    <a:srgbClr val="002060"/>
                  </a:solidFill>
                  <a:effectLst/>
                  <a:latin typeface="Aptos Display" panose="020B0004020202020204" pitchFamily="34" charset="0"/>
                  <a:ea typeface="+mn-ea"/>
                  <a:cs typeface="+mn-cs"/>
                </a:rPr>
                <a:t>Q4 Have Max Sales Of Year </a:t>
              </a:r>
              <a:r>
                <a:rPr lang="en-IN" sz="1200" b="0" i="0" u="none" strike="noStrike">
                  <a:solidFill>
                    <a:srgbClr val="002060"/>
                  </a:solidFill>
                  <a:effectLst/>
                  <a:latin typeface="Aptos Display" panose="020B0004020202020204" pitchFamily="34" charset="0"/>
                  <a:ea typeface="+mn-ea"/>
                  <a:cs typeface="+mn-cs"/>
                </a:rPr>
                <a:t>Except 2005</a:t>
              </a:r>
              <a:r>
                <a:rPr lang="en-IN" sz="1200" b="0">
                  <a:solidFill>
                    <a:srgbClr val="002060"/>
                  </a:solidFill>
                  <a:latin typeface="Aptos Display" panose="020B0004020202020204" pitchFamily="34" charset="0"/>
                </a:rPr>
                <a:t> </a:t>
              </a:r>
              <a:endParaRPr lang="en-IN" sz="1400" b="0">
                <a:solidFill>
                  <a:srgbClr val="002060"/>
                </a:solidFill>
                <a:latin typeface="Aptos Display" panose="020B0004020202020204" pitchFamily="34" charset="0"/>
              </a:endParaRPr>
            </a:p>
          </xdr:txBody>
        </xdr:sp>
        <xdr:sp macro="" textlink="">
          <xdr:nvSpPr>
            <xdr:cNvPr id="73" name="L-Shape 72">
              <a:extLst>
                <a:ext uri="{FF2B5EF4-FFF2-40B4-BE49-F238E27FC236}">
                  <a16:creationId xmlns:a16="http://schemas.microsoft.com/office/drawing/2014/main" id="{E7A8D0CB-38B8-3998-D91A-15A2A3ECDDEC}"/>
                </a:ext>
              </a:extLst>
            </xdr:cNvPr>
            <xdr:cNvSpPr/>
          </xdr:nvSpPr>
          <xdr:spPr>
            <a:xfrm rot="5400000">
              <a:off x="23667720" y="3009900"/>
              <a:ext cx="236220" cy="335280"/>
            </a:xfrm>
            <a:prstGeom prst="corner">
              <a:avLst>
                <a:gd name="adj1" fmla="val 33871"/>
                <a:gd name="adj2" fmla="val 24494"/>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8" name="Arrow: Down 77">
              <a:extLst>
                <a:ext uri="{FF2B5EF4-FFF2-40B4-BE49-F238E27FC236}">
                  <a16:creationId xmlns:a16="http://schemas.microsoft.com/office/drawing/2014/main" id="{86D9FE41-E659-2B00-2546-DD456F86684D}"/>
                </a:ext>
              </a:extLst>
            </xdr:cNvPr>
            <xdr:cNvSpPr/>
          </xdr:nvSpPr>
          <xdr:spPr>
            <a:xfrm>
              <a:off x="26121360" y="3901440"/>
              <a:ext cx="175260" cy="266700"/>
            </a:xfrm>
            <a:prstGeom prst="downArrow">
              <a:avLst/>
            </a:prstGeom>
            <a:solidFill>
              <a:srgbClr val="FF0000"/>
            </a:solidFill>
            <a:ln w="3175">
              <a:solidFill>
                <a:srgbClr val="002060"/>
              </a:solidFill>
            </a:ln>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9" name="Arrow: Down 78">
              <a:extLst>
                <a:ext uri="{FF2B5EF4-FFF2-40B4-BE49-F238E27FC236}">
                  <a16:creationId xmlns:a16="http://schemas.microsoft.com/office/drawing/2014/main" id="{268DD882-11A7-465F-AF1D-5AD29C854EDD}"/>
                </a:ext>
              </a:extLst>
            </xdr:cNvPr>
            <xdr:cNvSpPr/>
          </xdr:nvSpPr>
          <xdr:spPr>
            <a:xfrm rot="10800000">
              <a:off x="26136600" y="4408170"/>
              <a:ext cx="175260" cy="266700"/>
            </a:xfrm>
            <a:prstGeom prst="downArrow">
              <a:avLst/>
            </a:prstGeom>
            <a:solidFill>
              <a:srgbClr val="92D050"/>
            </a:solidFill>
            <a:ln w="3175">
              <a:solidFill>
                <a:srgbClr val="002060"/>
              </a:solidFill>
            </a:ln>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0" name="Oval 79">
              <a:extLst>
                <a:ext uri="{FF2B5EF4-FFF2-40B4-BE49-F238E27FC236}">
                  <a16:creationId xmlns:a16="http://schemas.microsoft.com/office/drawing/2014/main" id="{E3914085-286A-31CD-B6C2-BD3C999DFAA9}"/>
                </a:ext>
              </a:extLst>
            </xdr:cNvPr>
            <xdr:cNvSpPr/>
          </xdr:nvSpPr>
          <xdr:spPr>
            <a:xfrm>
              <a:off x="26159460" y="4914900"/>
              <a:ext cx="129540" cy="121920"/>
            </a:xfrm>
            <a:prstGeom prst="ellipse">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1" name="L-Shape 80">
              <a:extLst>
                <a:ext uri="{FF2B5EF4-FFF2-40B4-BE49-F238E27FC236}">
                  <a16:creationId xmlns:a16="http://schemas.microsoft.com/office/drawing/2014/main" id="{98339245-BB3A-4901-9D13-5D6B08985F7E}"/>
                </a:ext>
              </a:extLst>
            </xdr:cNvPr>
            <xdr:cNvSpPr/>
          </xdr:nvSpPr>
          <xdr:spPr>
            <a:xfrm rot="16200000">
              <a:off x="25717500" y="5768340"/>
              <a:ext cx="236220" cy="335280"/>
            </a:xfrm>
            <a:prstGeom prst="corner">
              <a:avLst>
                <a:gd name="adj1" fmla="val 33871"/>
                <a:gd name="adj2" fmla="val 24494"/>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clientData/>
  </xdr:twoCellAnchor>
  <xdr:twoCellAnchor>
    <xdr:from>
      <xdr:col>42</xdr:col>
      <xdr:colOff>98612</xdr:colOff>
      <xdr:row>3</xdr:row>
      <xdr:rowOff>8466</xdr:rowOff>
    </xdr:from>
    <xdr:to>
      <xdr:col>49</xdr:col>
      <xdr:colOff>457204</xdr:colOff>
      <xdr:row>22</xdr:row>
      <xdr:rowOff>108278</xdr:rowOff>
    </xdr:to>
    <xdr:grpSp>
      <xdr:nvGrpSpPr>
        <xdr:cNvPr id="68" name="Group 67">
          <a:extLst>
            <a:ext uri="{FF2B5EF4-FFF2-40B4-BE49-F238E27FC236}">
              <a16:creationId xmlns:a16="http://schemas.microsoft.com/office/drawing/2014/main" id="{94D01493-A924-B39E-CE30-3DC12792CEA2}"/>
            </a:ext>
          </a:extLst>
        </xdr:cNvPr>
        <xdr:cNvGrpSpPr/>
      </xdr:nvGrpSpPr>
      <xdr:grpSpPr>
        <a:xfrm>
          <a:off x="25526448" y="603452"/>
          <a:ext cx="4596564" cy="3669730"/>
          <a:chOff x="25701812" y="591172"/>
          <a:chExt cx="4625792" cy="3506400"/>
        </a:xfrm>
      </xdr:grpSpPr>
      <xdr:sp macro="" textlink="">
        <xdr:nvSpPr>
          <xdr:cNvPr id="240" name="Rectangle: Rounded Corners 239">
            <a:extLst>
              <a:ext uri="{FF2B5EF4-FFF2-40B4-BE49-F238E27FC236}">
                <a16:creationId xmlns:a16="http://schemas.microsoft.com/office/drawing/2014/main" id="{13017B1C-31E0-4D87-9B91-3D0B4ACC698B}"/>
              </a:ext>
            </a:extLst>
          </xdr:cNvPr>
          <xdr:cNvSpPr/>
        </xdr:nvSpPr>
        <xdr:spPr>
          <a:xfrm>
            <a:off x="25701812" y="591172"/>
            <a:ext cx="4625792" cy="3506400"/>
          </a:xfrm>
          <a:prstGeom prst="roundRect">
            <a:avLst>
              <a:gd name="adj" fmla="val 904"/>
            </a:avLst>
          </a:prstGeom>
          <a:solidFill>
            <a:srgbClr val="FEFCAA"/>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b="1">
              <a:solidFill>
                <a:srgbClr val="002060"/>
              </a:solidFill>
              <a:latin typeface="Verdana Pro Black" panose="020B0A04030504040204" pitchFamily="34" charset="0"/>
            </a:endParaRPr>
          </a:p>
        </xdr:txBody>
      </xdr:sp>
      <xdr:grpSp>
        <xdr:nvGrpSpPr>
          <xdr:cNvPr id="147" name="Group 146">
            <a:extLst>
              <a:ext uri="{FF2B5EF4-FFF2-40B4-BE49-F238E27FC236}">
                <a16:creationId xmlns:a16="http://schemas.microsoft.com/office/drawing/2014/main" id="{4ADBCB5A-DF13-2F08-2BC8-9B0A8EE798A7}"/>
              </a:ext>
            </a:extLst>
          </xdr:cNvPr>
          <xdr:cNvGrpSpPr/>
        </xdr:nvGrpSpPr>
        <xdr:grpSpPr>
          <a:xfrm>
            <a:off x="26246850" y="681857"/>
            <a:ext cx="3238068" cy="3338523"/>
            <a:chOff x="24086820" y="563880"/>
            <a:chExt cx="3002400" cy="3208020"/>
          </a:xfrm>
        </xdr:grpSpPr>
        <xdr:sp macro="" textlink="">
          <xdr:nvSpPr>
            <xdr:cNvPr id="96" name="Rectangle: Rounded Corners 95">
              <a:extLst>
                <a:ext uri="{FF2B5EF4-FFF2-40B4-BE49-F238E27FC236}">
                  <a16:creationId xmlns:a16="http://schemas.microsoft.com/office/drawing/2014/main" id="{E32AD4D0-3AE2-D0E9-3CD9-711E84B0A996}"/>
                </a:ext>
              </a:extLst>
            </xdr:cNvPr>
            <xdr:cNvSpPr/>
          </xdr:nvSpPr>
          <xdr:spPr>
            <a:xfrm>
              <a:off x="26692964" y="1714500"/>
              <a:ext cx="396256" cy="1470660"/>
            </a:xfrm>
            <a:prstGeom prst="roundRect">
              <a:avLst>
                <a:gd name="adj" fmla="val 30769"/>
              </a:avLst>
            </a:prstGeom>
            <a:solidFill>
              <a:schemeClr val="accent2">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7" name="Rectangle: Rounded Corners 96">
              <a:extLst>
                <a:ext uri="{FF2B5EF4-FFF2-40B4-BE49-F238E27FC236}">
                  <a16:creationId xmlns:a16="http://schemas.microsoft.com/office/drawing/2014/main" id="{73924BEE-0E02-1996-7015-B23E6E8A0256}"/>
                </a:ext>
              </a:extLst>
            </xdr:cNvPr>
            <xdr:cNvSpPr/>
          </xdr:nvSpPr>
          <xdr:spPr>
            <a:xfrm>
              <a:off x="26639622" y="1645920"/>
              <a:ext cx="396256" cy="1470660"/>
            </a:xfrm>
            <a:prstGeom prst="roundRect">
              <a:avLst>
                <a:gd name="adj" fmla="val 30769"/>
              </a:avLst>
            </a:prstGeom>
            <a:solidFill>
              <a:schemeClr val="accent4">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8" name="Rectangle: Rounded Corners 97">
              <a:extLst>
                <a:ext uri="{FF2B5EF4-FFF2-40B4-BE49-F238E27FC236}">
                  <a16:creationId xmlns:a16="http://schemas.microsoft.com/office/drawing/2014/main" id="{4CEA8653-C3D5-1108-04F0-4965A0808953}"/>
                </a:ext>
              </a:extLst>
            </xdr:cNvPr>
            <xdr:cNvSpPr/>
          </xdr:nvSpPr>
          <xdr:spPr>
            <a:xfrm>
              <a:off x="24086820" y="563880"/>
              <a:ext cx="2491840" cy="3116580"/>
            </a:xfrm>
            <a:prstGeom prst="roundRect">
              <a:avLst>
                <a:gd name="adj" fmla="val 0"/>
              </a:avLst>
            </a:prstGeom>
            <a:solidFill>
              <a:schemeClr val="accent2">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rgbClr val="002060"/>
                </a:solidFill>
                <a:latin typeface="Aptos Display" panose="020B0004020202020204" pitchFamily="34" charset="0"/>
              </a:endParaRPr>
            </a:p>
          </xdr:txBody>
        </xdr:sp>
        <xdr:sp macro="" textlink="">
          <xdr:nvSpPr>
            <xdr:cNvPr id="99" name="Rectangle: Rounded Corners 98">
              <a:extLst>
                <a:ext uri="{FF2B5EF4-FFF2-40B4-BE49-F238E27FC236}">
                  <a16:creationId xmlns:a16="http://schemas.microsoft.com/office/drawing/2014/main" id="{E9D74C3B-9514-156A-D0D4-70B9173485DA}"/>
                </a:ext>
              </a:extLst>
            </xdr:cNvPr>
            <xdr:cNvSpPr/>
          </xdr:nvSpPr>
          <xdr:spPr>
            <a:xfrm>
              <a:off x="24193504" y="655320"/>
              <a:ext cx="2491840" cy="3116580"/>
            </a:xfrm>
            <a:prstGeom prst="roundRect">
              <a:avLst>
                <a:gd name="adj" fmla="val 0"/>
              </a:avLst>
            </a:prstGeom>
            <a:solidFill>
              <a:schemeClr val="accent4">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400" b="1" i="0" u="sng" strike="noStrike">
                <a:solidFill>
                  <a:srgbClr val="002060"/>
                </a:solidFill>
                <a:effectLst/>
                <a:latin typeface="Aptos Display" panose="020B0004020202020204" pitchFamily="34" charset="0"/>
                <a:ea typeface="+mn-ea"/>
                <a:cs typeface="+mn-cs"/>
              </a:endParaRPr>
            </a:p>
            <a:p>
              <a:pPr algn="ctr"/>
              <a:r>
                <a:rPr lang="en-IN" sz="1400" b="1" i="0" u="sng" strike="noStrike">
                  <a:solidFill>
                    <a:srgbClr val="002060"/>
                  </a:solidFill>
                  <a:effectLst/>
                  <a:latin typeface="Aptos Display" panose="020B0004020202020204" pitchFamily="34" charset="0"/>
                  <a:ea typeface="+mn-ea"/>
                  <a:cs typeface="+mn-cs"/>
                </a:rPr>
                <a:t>CUSTOME</a:t>
              </a:r>
              <a:r>
                <a:rPr lang="en-IN" sz="1400" b="1" i="0" u="sng" strike="noStrike" baseline="0">
                  <a:solidFill>
                    <a:srgbClr val="002060"/>
                  </a:solidFill>
                  <a:effectLst/>
                  <a:latin typeface="Aptos Display" panose="020B0004020202020204" pitchFamily="34" charset="0"/>
                  <a:ea typeface="+mn-ea"/>
                  <a:cs typeface="+mn-cs"/>
                </a:rPr>
                <a:t>R </a:t>
              </a:r>
              <a:r>
                <a:rPr lang="en-IN" sz="1400" b="1" i="0" u="sng" strike="noStrike">
                  <a:solidFill>
                    <a:srgbClr val="002060"/>
                  </a:solidFill>
                  <a:effectLst/>
                  <a:latin typeface="Aptos Display" panose="020B0004020202020204" pitchFamily="34" charset="0"/>
                  <a:ea typeface="+mn-ea"/>
                  <a:cs typeface="+mn-cs"/>
                </a:rPr>
                <a:t>SALES </a:t>
              </a:r>
              <a:br>
                <a:rPr lang="en-IN" sz="1400" b="1" i="0" u="sng" strike="noStrike">
                  <a:solidFill>
                    <a:srgbClr val="002060"/>
                  </a:solidFill>
                  <a:effectLst/>
                  <a:latin typeface="Aptos Display" panose="020B0004020202020204" pitchFamily="34" charset="0"/>
                  <a:ea typeface="+mn-ea"/>
                  <a:cs typeface="+mn-cs"/>
                </a:rPr>
              </a:br>
              <a:r>
                <a:rPr lang="en-IN" sz="1400" b="1" i="0" u="sng" strike="noStrike">
                  <a:solidFill>
                    <a:srgbClr val="002060"/>
                  </a:solidFill>
                  <a:effectLst/>
                  <a:latin typeface="Aptos Display" panose="020B0004020202020204" pitchFamily="34" charset="0"/>
                  <a:ea typeface="+mn-ea"/>
                  <a:cs typeface="+mn-cs"/>
                </a:rPr>
                <a:t>INSIGHTS</a:t>
              </a:r>
            </a:p>
            <a:p>
              <a:pPr algn="l"/>
              <a:endParaRPr lang="en-IN" sz="1200" b="1" i="0" u="none" strike="noStrike">
                <a:solidFill>
                  <a:srgbClr val="002060"/>
                </a:solidFill>
                <a:effectLst/>
                <a:latin typeface="Aptos Display" panose="020B0004020202020204" pitchFamily="34" charset="0"/>
                <a:ea typeface="+mn-ea"/>
                <a:cs typeface="+mn-cs"/>
              </a:endParaRPr>
            </a:p>
            <a:p>
              <a:pPr algn="l"/>
              <a:endParaRPr lang="en-IN" sz="1200" b="1" i="0" u="none" strike="noStrike">
                <a:solidFill>
                  <a:srgbClr val="002060"/>
                </a:solidFill>
                <a:effectLst/>
                <a:latin typeface="Aptos Display" panose="020B0004020202020204" pitchFamily="34" charset="0"/>
                <a:ea typeface="+mn-ea"/>
                <a:cs typeface="+mn-cs"/>
              </a:endParaRPr>
            </a:p>
            <a:p>
              <a:pPr algn="l"/>
              <a:r>
                <a:rPr lang="en-IN" sz="1200" b="1" i="0" u="none" strike="noStrike">
                  <a:solidFill>
                    <a:srgbClr val="002060"/>
                  </a:solidFill>
                  <a:effectLst/>
                  <a:latin typeface="Aptos Display" panose="020B0004020202020204" pitchFamily="34" charset="0"/>
                  <a:ea typeface="+mn-ea"/>
                  <a:cs typeface="+mn-cs"/>
                </a:rPr>
                <a:t>1. </a:t>
              </a:r>
              <a:r>
                <a:rPr lang="en-IN" sz="1200" b="0" i="0" u="none" strike="noStrike">
                  <a:solidFill>
                    <a:srgbClr val="002060"/>
                  </a:solidFill>
                  <a:effectLst/>
                  <a:latin typeface="Aptos Display" panose="020B0004020202020204" pitchFamily="34" charset="0"/>
                  <a:ea typeface="+mn-ea"/>
                  <a:cs typeface="+mn-cs"/>
                </a:rPr>
                <a:t>Lonsdale Wholesale, Millford Wholesale Contributed </a:t>
              </a:r>
              <a:br>
                <a:rPr lang="en-IN" sz="1200" b="0" i="0" u="none" strike="noStrike">
                  <a:solidFill>
                    <a:srgbClr val="002060"/>
                  </a:solidFill>
                  <a:effectLst/>
                  <a:latin typeface="Aptos Display" panose="020B0004020202020204" pitchFamily="34" charset="0"/>
                  <a:ea typeface="+mn-ea"/>
                  <a:cs typeface="+mn-cs"/>
                </a:rPr>
              </a:br>
              <a:r>
                <a:rPr lang="en-IN" sz="1200" b="1" i="1" u="none" strike="noStrike">
                  <a:solidFill>
                    <a:srgbClr val="002060"/>
                  </a:solidFill>
                  <a:effectLst/>
                  <a:latin typeface="Aptos Display" panose="020B0004020202020204" pitchFamily="34" charset="0"/>
                  <a:ea typeface="+mn-ea"/>
                  <a:cs typeface="+mn-cs"/>
                </a:rPr>
                <a:t>17.54% Of Sales 9.59% And 7.95% </a:t>
              </a:r>
              <a:r>
                <a:rPr lang="en-IN" sz="1200" b="0" i="0" u="none" strike="noStrike">
                  <a:solidFill>
                    <a:srgbClr val="002060"/>
                  </a:solidFill>
                  <a:effectLst/>
                  <a:latin typeface="Aptos Display" panose="020B0004020202020204" pitchFamily="34" charset="0"/>
                  <a:ea typeface="+mn-ea"/>
                  <a:cs typeface="+mn-cs"/>
                </a:rPr>
                <a:t>Respectively</a:t>
              </a:r>
              <a:br>
                <a:rPr lang="en-IN" sz="1200" b="1" i="0" u="none" strike="noStrike">
                  <a:solidFill>
                    <a:srgbClr val="002060"/>
                  </a:solidFill>
                  <a:effectLst/>
                  <a:latin typeface="Aptos Display" panose="020B0004020202020204" pitchFamily="34" charset="0"/>
                  <a:ea typeface="+mn-ea"/>
                  <a:cs typeface="+mn-cs"/>
                </a:rPr>
              </a:br>
              <a:r>
                <a:rPr lang="en-IN" sz="1200" b="1">
                  <a:solidFill>
                    <a:srgbClr val="002060"/>
                  </a:solidFill>
                  <a:latin typeface="Aptos Display" panose="020B0004020202020204" pitchFamily="34" charset="0"/>
                </a:rPr>
                <a:t> </a:t>
              </a:r>
              <a:br>
                <a:rPr lang="en-IN" sz="1200" b="1">
                  <a:solidFill>
                    <a:srgbClr val="002060"/>
                  </a:solidFill>
                  <a:latin typeface="Aptos Display" panose="020B0004020202020204" pitchFamily="34" charset="0"/>
                </a:rPr>
              </a:br>
              <a:r>
                <a:rPr lang="en-IN" sz="1200" b="1">
                  <a:solidFill>
                    <a:srgbClr val="002060"/>
                  </a:solidFill>
                  <a:latin typeface="Aptos Display" panose="020B0004020202020204" pitchFamily="34" charset="0"/>
                </a:rPr>
                <a:t>2. </a:t>
              </a:r>
              <a:r>
                <a:rPr lang="en-IN" sz="1200" b="0" i="0" u="none" strike="noStrike">
                  <a:solidFill>
                    <a:srgbClr val="002060"/>
                  </a:solidFill>
                  <a:effectLst/>
                  <a:latin typeface="Aptos Display" panose="020B0004020202020204" pitchFamily="34" charset="0"/>
                  <a:ea typeface="+mn-ea"/>
                  <a:cs typeface="+mn-cs"/>
                </a:rPr>
                <a:t>Top </a:t>
              </a:r>
              <a:r>
                <a:rPr lang="en-IN" sz="1200" b="1" i="1" u="none" strike="noStrike">
                  <a:solidFill>
                    <a:srgbClr val="002060"/>
                  </a:solidFill>
                  <a:effectLst/>
                  <a:latin typeface="Aptos Display" panose="020B0004020202020204" pitchFamily="34" charset="0"/>
                  <a:ea typeface="+mn-ea"/>
                  <a:cs typeface="+mn-cs"/>
                </a:rPr>
                <a:t>10</a:t>
              </a:r>
              <a:r>
                <a:rPr lang="en-IN" sz="1200" b="0" i="0" u="none" strike="noStrike">
                  <a:solidFill>
                    <a:srgbClr val="002060"/>
                  </a:solidFill>
                  <a:effectLst/>
                  <a:latin typeface="Aptos Display" panose="020B0004020202020204" pitchFamily="34" charset="0"/>
                  <a:ea typeface="+mn-ea"/>
                  <a:cs typeface="+mn-cs"/>
                </a:rPr>
                <a:t> Customers Out Of 92 Contribute </a:t>
              </a:r>
              <a:r>
                <a:rPr lang="en-IN" sz="1200" b="1" i="1" u="none" strike="noStrike">
                  <a:solidFill>
                    <a:srgbClr val="002060"/>
                  </a:solidFill>
                  <a:effectLst/>
                  <a:latin typeface="Aptos Display" panose="020B0004020202020204" pitchFamily="34" charset="0"/>
                  <a:ea typeface="+mn-ea"/>
                  <a:cs typeface="+mn-cs"/>
                </a:rPr>
                <a:t>33.65%</a:t>
              </a:r>
              <a:r>
                <a:rPr lang="en-IN" sz="1200" b="1" i="0" u="none" strike="noStrike">
                  <a:solidFill>
                    <a:srgbClr val="002060"/>
                  </a:solidFill>
                  <a:effectLst/>
                  <a:latin typeface="Aptos Display" panose="020B0004020202020204" pitchFamily="34" charset="0"/>
                  <a:ea typeface="+mn-ea"/>
                  <a:cs typeface="+mn-cs"/>
                </a:rPr>
                <a:t> To Sales</a:t>
              </a:r>
              <a:r>
                <a:rPr lang="en-IN" sz="1200" b="1">
                  <a:solidFill>
                    <a:srgbClr val="002060"/>
                  </a:solidFill>
                  <a:latin typeface="Aptos Display" panose="020B0004020202020204" pitchFamily="34" charset="0"/>
                </a:rPr>
                <a:t> </a:t>
              </a:r>
              <a:endParaRPr lang="en-IN" sz="1400" b="1">
                <a:solidFill>
                  <a:srgbClr val="002060"/>
                </a:solidFill>
                <a:latin typeface="Aptos Display" panose="020B0004020202020204" pitchFamily="34" charset="0"/>
              </a:endParaRPr>
            </a:p>
          </xdr:txBody>
        </xdr:sp>
        <xdr:sp macro="" textlink="">
          <xdr:nvSpPr>
            <xdr:cNvPr id="100" name="L-Shape 99">
              <a:extLst>
                <a:ext uri="{FF2B5EF4-FFF2-40B4-BE49-F238E27FC236}">
                  <a16:creationId xmlns:a16="http://schemas.microsoft.com/office/drawing/2014/main" id="{0EAC7430-10AB-3A4E-AAF0-12B5AD9DF5DF}"/>
                </a:ext>
              </a:extLst>
            </xdr:cNvPr>
            <xdr:cNvSpPr/>
          </xdr:nvSpPr>
          <xdr:spPr>
            <a:xfrm rot="5400000">
              <a:off x="24292573" y="662933"/>
              <a:ext cx="236220" cy="335293"/>
            </a:xfrm>
            <a:prstGeom prst="corner">
              <a:avLst>
                <a:gd name="adj1" fmla="val 33871"/>
                <a:gd name="adj2" fmla="val 24494"/>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4" name="L-Shape 103">
              <a:extLst>
                <a:ext uri="{FF2B5EF4-FFF2-40B4-BE49-F238E27FC236}">
                  <a16:creationId xmlns:a16="http://schemas.microsoft.com/office/drawing/2014/main" id="{BD3E45BC-0377-0D4A-25FE-BFC1824231A7}"/>
                </a:ext>
              </a:extLst>
            </xdr:cNvPr>
            <xdr:cNvSpPr/>
          </xdr:nvSpPr>
          <xdr:spPr>
            <a:xfrm rot="16200000">
              <a:off x="26342435" y="3421373"/>
              <a:ext cx="236220" cy="335293"/>
            </a:xfrm>
            <a:prstGeom prst="corner">
              <a:avLst>
                <a:gd name="adj1" fmla="val 33871"/>
                <a:gd name="adj2" fmla="val 24494"/>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33" name="Graphic 132" descr="Bar chart with solid fill">
              <a:extLst>
                <a:ext uri="{FF2B5EF4-FFF2-40B4-BE49-F238E27FC236}">
                  <a16:creationId xmlns:a16="http://schemas.microsoft.com/office/drawing/2014/main" id="{47E2DA75-21D9-0C14-6120-F125D906ECA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6670000" y="1950720"/>
              <a:ext cx="370980" cy="396240"/>
            </a:xfrm>
            <a:prstGeom prst="rect">
              <a:avLst/>
            </a:prstGeom>
          </xdr:spPr>
        </xdr:pic>
        <xdr:pic>
          <xdr:nvPicPr>
            <xdr:cNvPr id="143" name="Graphic 142" descr="Users with solid fill">
              <a:extLst>
                <a:ext uri="{FF2B5EF4-FFF2-40B4-BE49-F238E27FC236}">
                  <a16:creationId xmlns:a16="http://schemas.microsoft.com/office/drawing/2014/main" id="{612241D9-CF41-FDF6-5EF4-6121573F3CC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6715720" y="2628900"/>
              <a:ext cx="289560" cy="419100"/>
            </a:xfrm>
            <a:prstGeom prst="rect">
              <a:avLst/>
            </a:prstGeom>
          </xdr:spPr>
        </xdr:pic>
      </xdr:grpSp>
    </xdr:grpSp>
    <xdr:clientData/>
  </xdr:twoCellAnchor>
  <xdr:twoCellAnchor>
    <xdr:from>
      <xdr:col>50</xdr:col>
      <xdr:colOff>17930</xdr:colOff>
      <xdr:row>3</xdr:row>
      <xdr:rowOff>8466</xdr:rowOff>
    </xdr:from>
    <xdr:to>
      <xdr:col>60</xdr:col>
      <xdr:colOff>80682</xdr:colOff>
      <xdr:row>22</xdr:row>
      <xdr:rowOff>108278</xdr:rowOff>
    </xdr:to>
    <xdr:grpSp>
      <xdr:nvGrpSpPr>
        <xdr:cNvPr id="69" name="Group 68">
          <a:extLst>
            <a:ext uri="{FF2B5EF4-FFF2-40B4-BE49-F238E27FC236}">
              <a16:creationId xmlns:a16="http://schemas.microsoft.com/office/drawing/2014/main" id="{17B18DD7-B493-A4CC-97F2-687742EF96E6}"/>
            </a:ext>
          </a:extLst>
        </xdr:cNvPr>
        <xdr:cNvGrpSpPr/>
      </xdr:nvGrpSpPr>
      <xdr:grpSpPr>
        <a:xfrm>
          <a:off x="30289163" y="603452"/>
          <a:ext cx="6116998" cy="3669730"/>
          <a:chOff x="30497930" y="591172"/>
          <a:chExt cx="6158752" cy="3506400"/>
        </a:xfrm>
      </xdr:grpSpPr>
      <xdr:sp macro="" textlink="">
        <xdr:nvSpPr>
          <xdr:cNvPr id="241" name="Rectangle: Rounded Corners 240">
            <a:extLst>
              <a:ext uri="{FF2B5EF4-FFF2-40B4-BE49-F238E27FC236}">
                <a16:creationId xmlns:a16="http://schemas.microsoft.com/office/drawing/2014/main" id="{524231F9-D81C-4FE2-B1A8-2DA3ECD8E818}"/>
              </a:ext>
            </a:extLst>
          </xdr:cNvPr>
          <xdr:cNvSpPr/>
        </xdr:nvSpPr>
        <xdr:spPr>
          <a:xfrm>
            <a:off x="30497930" y="591172"/>
            <a:ext cx="6158752" cy="3506400"/>
          </a:xfrm>
          <a:prstGeom prst="roundRect">
            <a:avLst>
              <a:gd name="adj" fmla="val 904"/>
            </a:avLst>
          </a:prstGeom>
          <a:solidFill>
            <a:srgbClr val="FEFCAA"/>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b="1">
              <a:solidFill>
                <a:srgbClr val="002060"/>
              </a:solidFill>
              <a:latin typeface="Verdana Pro Black" panose="020B0A04030504040204" pitchFamily="34" charset="0"/>
            </a:endParaRPr>
          </a:p>
        </xdr:txBody>
      </xdr:sp>
      <xdr:grpSp>
        <xdr:nvGrpSpPr>
          <xdr:cNvPr id="237" name="Group 236">
            <a:extLst>
              <a:ext uri="{FF2B5EF4-FFF2-40B4-BE49-F238E27FC236}">
                <a16:creationId xmlns:a16="http://schemas.microsoft.com/office/drawing/2014/main" id="{C733FEAD-7BF4-2A74-72B4-FCC82CB2ECF5}"/>
              </a:ext>
            </a:extLst>
          </xdr:cNvPr>
          <xdr:cNvGrpSpPr/>
        </xdr:nvGrpSpPr>
        <xdr:grpSpPr>
          <a:xfrm>
            <a:off x="31352494" y="681857"/>
            <a:ext cx="3143693" cy="3338523"/>
            <a:chOff x="30897237" y="421775"/>
            <a:chExt cx="3011807" cy="3199765"/>
          </a:xfrm>
        </xdr:grpSpPr>
        <xdr:sp macro="" textlink="">
          <xdr:nvSpPr>
            <xdr:cNvPr id="114" name="Rectangle: Rounded Corners 113">
              <a:extLst>
                <a:ext uri="{FF2B5EF4-FFF2-40B4-BE49-F238E27FC236}">
                  <a16:creationId xmlns:a16="http://schemas.microsoft.com/office/drawing/2014/main" id="{DD704CB7-EA86-9EB3-8F78-86AFBD6DB156}"/>
                </a:ext>
              </a:extLst>
            </xdr:cNvPr>
            <xdr:cNvSpPr/>
          </xdr:nvSpPr>
          <xdr:spPr>
            <a:xfrm>
              <a:off x="33510907" y="1495388"/>
              <a:ext cx="398137" cy="1920687"/>
            </a:xfrm>
            <a:prstGeom prst="roundRect">
              <a:avLst>
                <a:gd name="adj" fmla="val 30769"/>
              </a:avLst>
            </a:prstGeom>
            <a:solidFill>
              <a:schemeClr val="accent2">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5" name="Rectangle: Rounded Corners 114">
              <a:extLst>
                <a:ext uri="{FF2B5EF4-FFF2-40B4-BE49-F238E27FC236}">
                  <a16:creationId xmlns:a16="http://schemas.microsoft.com/office/drawing/2014/main" id="{B1F33A47-47B3-B6CE-622D-376590954BCD}"/>
                </a:ext>
              </a:extLst>
            </xdr:cNvPr>
            <xdr:cNvSpPr/>
          </xdr:nvSpPr>
          <xdr:spPr>
            <a:xfrm>
              <a:off x="33457565" y="1425959"/>
              <a:ext cx="398137" cy="1920687"/>
            </a:xfrm>
            <a:prstGeom prst="roundRect">
              <a:avLst>
                <a:gd name="adj" fmla="val 30769"/>
              </a:avLst>
            </a:prstGeom>
            <a:solidFill>
              <a:schemeClr val="accent4">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6" name="Rectangle: Rounded Corners 115">
              <a:extLst>
                <a:ext uri="{FF2B5EF4-FFF2-40B4-BE49-F238E27FC236}">
                  <a16:creationId xmlns:a16="http://schemas.microsoft.com/office/drawing/2014/main" id="{D43D7DC3-1BBF-D680-9F73-EA48DAD95DAB}"/>
                </a:ext>
              </a:extLst>
            </xdr:cNvPr>
            <xdr:cNvSpPr/>
          </xdr:nvSpPr>
          <xdr:spPr>
            <a:xfrm>
              <a:off x="30897237" y="421775"/>
              <a:ext cx="2499366" cy="3107193"/>
            </a:xfrm>
            <a:prstGeom prst="roundRect">
              <a:avLst>
                <a:gd name="adj" fmla="val 0"/>
              </a:avLst>
            </a:prstGeom>
            <a:solidFill>
              <a:schemeClr val="accent2">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rgbClr val="002060"/>
                </a:solidFill>
                <a:latin typeface="Aptos Display" panose="020B0004020202020204" pitchFamily="34" charset="0"/>
              </a:endParaRPr>
            </a:p>
          </xdr:txBody>
        </xdr:sp>
        <xdr:sp macro="" textlink="">
          <xdr:nvSpPr>
            <xdr:cNvPr id="117" name="Rectangle: Rounded Corners 116">
              <a:extLst>
                <a:ext uri="{FF2B5EF4-FFF2-40B4-BE49-F238E27FC236}">
                  <a16:creationId xmlns:a16="http://schemas.microsoft.com/office/drawing/2014/main" id="{7DF72861-D76A-3262-34B5-1762D6647092}"/>
                </a:ext>
              </a:extLst>
            </xdr:cNvPr>
            <xdr:cNvSpPr/>
          </xdr:nvSpPr>
          <xdr:spPr>
            <a:xfrm>
              <a:off x="31003921" y="514347"/>
              <a:ext cx="2499366" cy="3107193"/>
            </a:xfrm>
            <a:prstGeom prst="roundRect">
              <a:avLst>
                <a:gd name="adj" fmla="val 0"/>
              </a:avLst>
            </a:prstGeom>
            <a:solidFill>
              <a:schemeClr val="accent4">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400" b="1" i="0" u="sng" strike="noStrike">
                <a:solidFill>
                  <a:srgbClr val="002060"/>
                </a:solidFill>
                <a:effectLst/>
                <a:latin typeface="Aptos Display" panose="020B0004020202020204" pitchFamily="34" charset="0"/>
                <a:ea typeface="+mn-ea"/>
                <a:cs typeface="+mn-cs"/>
              </a:endParaRPr>
            </a:p>
            <a:p>
              <a:pPr algn="ctr"/>
              <a:r>
                <a:rPr lang="en-IN" sz="1400" b="1" i="0" u="sng" strike="noStrike" baseline="0">
                  <a:solidFill>
                    <a:srgbClr val="002060"/>
                  </a:solidFill>
                  <a:effectLst/>
                  <a:latin typeface="Aptos Display" panose="020B0004020202020204" pitchFamily="34" charset="0"/>
                  <a:ea typeface="+mn-ea"/>
                  <a:cs typeface="+mn-cs"/>
                </a:rPr>
                <a:t>DEMOGRAPHIC </a:t>
              </a:r>
              <a:r>
                <a:rPr lang="en-IN" sz="1400" b="1" i="0" u="sng" strike="noStrike">
                  <a:solidFill>
                    <a:srgbClr val="002060"/>
                  </a:solidFill>
                  <a:effectLst/>
                  <a:latin typeface="Aptos Display" panose="020B0004020202020204" pitchFamily="34" charset="0"/>
                  <a:ea typeface="+mn-ea"/>
                  <a:cs typeface="+mn-cs"/>
                </a:rPr>
                <a:t>SALES </a:t>
              </a:r>
              <a:br>
                <a:rPr lang="en-IN" sz="1400" b="1" i="0" u="sng" strike="noStrike">
                  <a:solidFill>
                    <a:srgbClr val="002060"/>
                  </a:solidFill>
                  <a:effectLst/>
                  <a:latin typeface="Aptos Display" panose="020B0004020202020204" pitchFamily="34" charset="0"/>
                  <a:ea typeface="+mn-ea"/>
                  <a:cs typeface="+mn-cs"/>
                </a:rPr>
              </a:br>
              <a:r>
                <a:rPr lang="en-IN" sz="1400" b="1" i="0" u="sng" strike="noStrike">
                  <a:solidFill>
                    <a:srgbClr val="002060"/>
                  </a:solidFill>
                  <a:effectLst/>
                  <a:latin typeface="Aptos Display" panose="020B0004020202020204" pitchFamily="34" charset="0"/>
                  <a:ea typeface="+mn-ea"/>
                  <a:cs typeface="+mn-cs"/>
                </a:rPr>
                <a:t>INSIGHTS</a:t>
              </a:r>
            </a:p>
            <a:p>
              <a:pPr algn="l"/>
              <a:endParaRPr lang="en-IN" sz="1200" b="1" i="0" u="none" strike="noStrike">
                <a:solidFill>
                  <a:srgbClr val="002060"/>
                </a:solidFill>
                <a:effectLst/>
                <a:latin typeface="Aptos Display" panose="020B0004020202020204" pitchFamily="34" charset="0"/>
                <a:ea typeface="+mn-ea"/>
                <a:cs typeface="+mn-cs"/>
              </a:endParaRPr>
            </a:p>
            <a:p>
              <a:pPr algn="l"/>
              <a:endParaRPr lang="en-IN" sz="1200" b="1" i="0" u="none" strike="noStrike">
                <a:solidFill>
                  <a:srgbClr val="002060"/>
                </a:solidFill>
                <a:effectLst/>
                <a:latin typeface="Aptos Display" panose="020B0004020202020204" pitchFamily="34" charset="0"/>
                <a:ea typeface="+mn-ea"/>
                <a:cs typeface="+mn-cs"/>
              </a:endParaRPr>
            </a:p>
            <a:p>
              <a:pPr algn="l"/>
              <a:r>
                <a:rPr lang="en-IN" sz="1200" b="1" i="0" u="none" strike="noStrike">
                  <a:solidFill>
                    <a:srgbClr val="002060"/>
                  </a:solidFill>
                  <a:effectLst/>
                  <a:latin typeface="Aptos Display" panose="020B0004020202020204" pitchFamily="34" charset="0"/>
                  <a:ea typeface="+mn-ea"/>
                  <a:cs typeface="+mn-cs"/>
                </a:rPr>
                <a:t>1</a:t>
              </a:r>
              <a:r>
                <a:rPr lang="en-IN" sz="1200" b="0" i="0" u="none" strike="noStrike">
                  <a:solidFill>
                    <a:srgbClr val="002060"/>
                  </a:solidFill>
                  <a:effectLst/>
                  <a:latin typeface="Aptos Display" panose="020B0004020202020204" pitchFamily="34" charset="0"/>
                  <a:ea typeface="+mn-ea"/>
                  <a:cs typeface="+mn-cs"/>
                </a:rPr>
                <a:t>. </a:t>
              </a:r>
              <a:r>
                <a:rPr lang="en-IN" sz="1200" b="1" i="0" u="none" strike="noStrike">
                  <a:solidFill>
                    <a:srgbClr val="002060"/>
                  </a:solidFill>
                  <a:effectLst/>
                  <a:latin typeface="Aptos Display" panose="020B0004020202020204" pitchFamily="34" charset="0"/>
                  <a:ea typeface="+mn-ea"/>
                  <a:cs typeface="+mn-cs"/>
                </a:rPr>
                <a:t>USA</a:t>
              </a:r>
              <a:r>
                <a:rPr lang="en-IN" sz="1200" b="0" i="0" u="none" strike="noStrike">
                  <a:solidFill>
                    <a:srgbClr val="002060"/>
                  </a:solidFill>
                  <a:effectLst/>
                  <a:latin typeface="Aptos Display" panose="020B0004020202020204" pitchFamily="34" charset="0"/>
                  <a:ea typeface="+mn-ea"/>
                  <a:cs typeface="+mn-cs"/>
                </a:rPr>
                <a:t> Contributes </a:t>
              </a:r>
              <a:r>
                <a:rPr lang="en-IN" sz="1200" b="1" i="1" u="none" strike="noStrike">
                  <a:solidFill>
                    <a:srgbClr val="002060"/>
                  </a:solidFill>
                  <a:effectLst/>
                  <a:latin typeface="Aptos Display" panose="020B0004020202020204" pitchFamily="34" charset="0"/>
                  <a:ea typeface="+mn-ea"/>
                  <a:cs typeface="+mn-cs"/>
                </a:rPr>
                <a:t>33.84%</a:t>
              </a:r>
              <a:r>
                <a:rPr lang="en-IN" sz="1200" b="1" i="0" u="none" strike="noStrike">
                  <a:solidFill>
                    <a:srgbClr val="002060"/>
                  </a:solidFill>
                  <a:effectLst/>
                  <a:latin typeface="Aptos Display" panose="020B0004020202020204" pitchFamily="34" charset="0"/>
                  <a:ea typeface="+mn-ea"/>
                  <a:cs typeface="+mn-cs"/>
                </a:rPr>
                <a:t> Of Sales</a:t>
              </a:r>
              <a:r>
                <a:rPr lang="en-IN" sz="1200" b="1">
                  <a:solidFill>
                    <a:srgbClr val="002060"/>
                  </a:solidFill>
                  <a:latin typeface="Aptos Display" panose="020B0004020202020204" pitchFamily="34" charset="0"/>
                </a:rPr>
                <a:t> </a:t>
              </a:r>
              <a:br>
                <a:rPr lang="en-IN" sz="1200" b="1">
                  <a:solidFill>
                    <a:srgbClr val="002060"/>
                  </a:solidFill>
                  <a:latin typeface="Aptos Display" panose="020B0004020202020204" pitchFamily="34" charset="0"/>
                </a:rPr>
              </a:br>
              <a:endParaRPr lang="en-IN" sz="1200" b="1">
                <a:solidFill>
                  <a:srgbClr val="002060"/>
                </a:solidFill>
                <a:latin typeface="Aptos Display" panose="020B0004020202020204" pitchFamily="34" charset="0"/>
              </a:endParaRPr>
            </a:p>
            <a:p>
              <a:pPr algn="l"/>
              <a:r>
                <a:rPr lang="en-IN" sz="1200" b="1">
                  <a:solidFill>
                    <a:srgbClr val="002060"/>
                  </a:solidFill>
                  <a:latin typeface="Aptos Display" panose="020B0004020202020204" pitchFamily="34" charset="0"/>
                </a:rPr>
                <a:t>2. </a:t>
              </a:r>
              <a:r>
                <a:rPr lang="en-IN" sz="1200" b="0" i="0" u="none" strike="noStrike">
                  <a:solidFill>
                    <a:srgbClr val="002060"/>
                  </a:solidFill>
                  <a:effectLst/>
                  <a:latin typeface="Aptos Display" panose="020B0004020202020204" pitchFamily="34" charset="0"/>
                  <a:ea typeface="+mn-ea"/>
                  <a:cs typeface="+mn-cs"/>
                </a:rPr>
                <a:t>Difference Between </a:t>
              </a:r>
              <a:r>
                <a:rPr lang="en-IN" sz="1200" b="1" i="0" u="none" strike="noStrike">
                  <a:solidFill>
                    <a:srgbClr val="002060"/>
                  </a:solidFill>
                  <a:effectLst/>
                  <a:latin typeface="Aptos Display" panose="020B0004020202020204" pitchFamily="34" charset="0"/>
                  <a:ea typeface="+mn-ea"/>
                  <a:cs typeface="+mn-cs"/>
                </a:rPr>
                <a:t>USA(1) And Spain(2) Is </a:t>
              </a:r>
              <a:r>
                <a:rPr lang="en-IN" sz="1200" b="1" i="1" u="none" strike="noStrike">
                  <a:solidFill>
                    <a:srgbClr val="002060"/>
                  </a:solidFill>
                  <a:effectLst/>
                  <a:latin typeface="Aptos Display" panose="020B0004020202020204" pitchFamily="34" charset="0"/>
                  <a:ea typeface="+mn-ea"/>
                  <a:cs typeface="+mn-cs"/>
                </a:rPr>
                <a:t>20.63%</a:t>
              </a:r>
            </a:p>
            <a:p>
              <a:pPr algn="l"/>
              <a:endParaRPr lang="en-IN" sz="1400" b="1">
                <a:solidFill>
                  <a:srgbClr val="002060"/>
                </a:solidFill>
                <a:latin typeface="Aptos Display" panose="020B0004020202020204" pitchFamily="34" charset="0"/>
              </a:endParaRPr>
            </a:p>
            <a:p>
              <a:pPr algn="l"/>
              <a:r>
                <a:rPr lang="en-IN" sz="1200" b="1">
                  <a:solidFill>
                    <a:srgbClr val="002060"/>
                  </a:solidFill>
                  <a:latin typeface="Aptos Display" panose="020B0004020202020204" pitchFamily="34" charset="0"/>
                </a:rPr>
                <a:t>3.</a:t>
              </a:r>
              <a:r>
                <a:rPr lang="en-IN" sz="1400" b="1">
                  <a:solidFill>
                    <a:srgbClr val="002060"/>
                  </a:solidFill>
                  <a:latin typeface="Aptos Display" panose="020B0004020202020204" pitchFamily="34" charset="0"/>
                </a:rPr>
                <a:t> </a:t>
              </a:r>
              <a:r>
                <a:rPr lang="en-IN" sz="1200" b="1" i="0" u="none" strike="noStrike">
                  <a:solidFill>
                    <a:srgbClr val="002060"/>
                  </a:solidFill>
                  <a:effectLst/>
                  <a:latin typeface="Aptos Display" panose="020B0004020202020204" pitchFamily="34" charset="0"/>
                  <a:ea typeface="+mn-ea"/>
                  <a:cs typeface="+mn-cs"/>
                </a:rPr>
                <a:t>Top 3 Contributes </a:t>
              </a:r>
              <a:r>
                <a:rPr lang="en-IN" sz="1200" b="1" i="1" u="none" strike="noStrike">
                  <a:solidFill>
                    <a:srgbClr val="002060"/>
                  </a:solidFill>
                  <a:effectLst/>
                  <a:latin typeface="Aptos Display" panose="020B0004020202020204" pitchFamily="34" charset="0"/>
                  <a:ea typeface="+mn-ea"/>
                  <a:cs typeface="+mn-cs"/>
                </a:rPr>
                <a:t>58.98%</a:t>
              </a:r>
            </a:p>
            <a:p>
              <a:pPr algn="l"/>
              <a:endParaRPr lang="en-IN" sz="1200" b="0" i="0" u="none" strike="noStrike">
                <a:solidFill>
                  <a:srgbClr val="002060"/>
                </a:solidFill>
                <a:effectLst/>
                <a:latin typeface="Aptos Display" panose="020B0004020202020204" pitchFamily="34" charset="0"/>
                <a:ea typeface="+mn-ea"/>
                <a:cs typeface="+mn-cs"/>
              </a:endParaRPr>
            </a:p>
            <a:p>
              <a:pPr algn="l"/>
              <a:r>
                <a:rPr lang="en-IN" sz="1200" b="0" i="0" u="none" strike="noStrike">
                  <a:solidFill>
                    <a:srgbClr val="002060"/>
                  </a:solidFill>
                  <a:effectLst/>
                  <a:latin typeface="Aptos Display" panose="020B0004020202020204" pitchFamily="34" charset="0"/>
                  <a:ea typeface="+mn-ea"/>
                  <a:cs typeface="+mn-cs"/>
                </a:rPr>
                <a:t>4. Except </a:t>
              </a:r>
              <a:r>
                <a:rPr lang="en-IN" sz="1200" b="1" i="0" u="none" strike="noStrike">
                  <a:solidFill>
                    <a:srgbClr val="002060"/>
                  </a:solidFill>
                  <a:effectLst/>
                  <a:latin typeface="Aptos Display" panose="020B0004020202020204" pitchFamily="34" charset="0"/>
                  <a:ea typeface="+mn-ea"/>
                  <a:cs typeface="+mn-cs"/>
                </a:rPr>
                <a:t>UK(4) And Finland(5)</a:t>
              </a:r>
              <a:r>
                <a:rPr lang="en-IN" sz="1200" b="0" i="0" u="none" strike="noStrike">
                  <a:solidFill>
                    <a:srgbClr val="002060"/>
                  </a:solidFill>
                  <a:effectLst/>
                  <a:latin typeface="Aptos Display" panose="020B0004020202020204" pitchFamily="34" charset="0"/>
                  <a:ea typeface="+mn-ea"/>
                  <a:cs typeface="+mn-cs"/>
                </a:rPr>
                <a:t> Other Countries Have </a:t>
              </a:r>
              <a:r>
                <a:rPr lang="en-IN" sz="1200" b="1" i="1" u="none" strike="noStrike">
                  <a:solidFill>
                    <a:srgbClr val="002060"/>
                  </a:solidFill>
                  <a:effectLst/>
                  <a:latin typeface="Aptos Display" panose="020B0004020202020204" pitchFamily="34" charset="0"/>
                  <a:ea typeface="+mn-ea"/>
                  <a:cs typeface="+mn-cs"/>
                </a:rPr>
                <a:t>&lt;5%</a:t>
              </a:r>
              <a:r>
                <a:rPr lang="en-IN" sz="1200" b="1" i="0" u="none" strike="noStrike">
                  <a:solidFill>
                    <a:srgbClr val="002060"/>
                  </a:solidFill>
                  <a:effectLst/>
                  <a:latin typeface="Aptos Display" panose="020B0004020202020204" pitchFamily="34" charset="0"/>
                  <a:ea typeface="+mn-ea"/>
                  <a:cs typeface="+mn-cs"/>
                </a:rPr>
                <a:t> Of Sales</a:t>
              </a:r>
            </a:p>
          </xdr:txBody>
        </xdr:sp>
        <xdr:sp macro="" textlink="">
          <xdr:nvSpPr>
            <xdr:cNvPr id="118" name="L-Shape 117">
              <a:extLst>
                <a:ext uri="{FF2B5EF4-FFF2-40B4-BE49-F238E27FC236}">
                  <a16:creationId xmlns:a16="http://schemas.microsoft.com/office/drawing/2014/main" id="{EC5F561C-8C96-534C-8FF8-A91AFD278D78}"/>
                </a:ext>
              </a:extLst>
            </xdr:cNvPr>
            <xdr:cNvSpPr/>
          </xdr:nvSpPr>
          <xdr:spPr>
            <a:xfrm rot="5400000">
              <a:off x="31105292" y="520366"/>
              <a:ext cx="233500" cy="337175"/>
            </a:xfrm>
            <a:prstGeom prst="corner">
              <a:avLst>
                <a:gd name="adj1" fmla="val 33871"/>
                <a:gd name="adj2" fmla="val 24494"/>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9" name="L-Shape 118">
              <a:extLst>
                <a:ext uri="{FF2B5EF4-FFF2-40B4-BE49-F238E27FC236}">
                  <a16:creationId xmlns:a16="http://schemas.microsoft.com/office/drawing/2014/main" id="{C894433F-69B9-79A0-5371-DE03611CAA9F}"/>
                </a:ext>
              </a:extLst>
            </xdr:cNvPr>
            <xdr:cNvSpPr/>
          </xdr:nvSpPr>
          <xdr:spPr>
            <a:xfrm rot="16200000">
              <a:off x="33161738" y="3271570"/>
              <a:ext cx="233501" cy="335293"/>
            </a:xfrm>
            <a:prstGeom prst="corner">
              <a:avLst>
                <a:gd name="adj1" fmla="val 33871"/>
                <a:gd name="adj2" fmla="val 24494"/>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29" name="Graphic 128" descr="Money with solid fill">
              <a:extLst>
                <a:ext uri="{FF2B5EF4-FFF2-40B4-BE49-F238E27FC236}">
                  <a16:creationId xmlns:a16="http://schemas.microsoft.com/office/drawing/2014/main" id="{D9CC7582-8862-E6D4-6AED-1EDD992CA0C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3541283" y="1464530"/>
              <a:ext cx="276201" cy="349215"/>
            </a:xfrm>
            <a:prstGeom prst="rect">
              <a:avLst/>
            </a:prstGeom>
          </xdr:spPr>
        </xdr:pic>
        <xdr:sp macro="" textlink="">
          <xdr:nvSpPr>
            <xdr:cNvPr id="148" name="Minus Sign 147">
              <a:extLst>
                <a:ext uri="{FF2B5EF4-FFF2-40B4-BE49-F238E27FC236}">
                  <a16:creationId xmlns:a16="http://schemas.microsoft.com/office/drawing/2014/main" id="{2C88BF6D-3E80-67F9-8506-227AA095C6F2}"/>
                </a:ext>
              </a:extLst>
            </xdr:cNvPr>
            <xdr:cNvSpPr/>
          </xdr:nvSpPr>
          <xdr:spPr>
            <a:xfrm>
              <a:off x="33587003" y="2034640"/>
              <a:ext cx="181881" cy="179407"/>
            </a:xfrm>
            <a:prstGeom prst="mathMinus">
              <a:avLst/>
            </a:prstGeom>
            <a:solidFill>
              <a:srgbClr val="FF0000"/>
            </a:solidFill>
            <a:ln>
              <a:noFill/>
            </a:ln>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50" name="Graphic 149" descr="Users with solid fill">
              <a:extLst>
                <a:ext uri="{FF2B5EF4-FFF2-40B4-BE49-F238E27FC236}">
                  <a16:creationId xmlns:a16="http://schemas.microsoft.com/office/drawing/2014/main" id="{8E75D0EE-1434-4751-96AF-B4ECC3EA507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3533663" y="2414713"/>
              <a:ext cx="291441" cy="415822"/>
            </a:xfrm>
            <a:prstGeom prst="rect">
              <a:avLst/>
            </a:prstGeom>
          </xdr:spPr>
        </xdr:pic>
        <xdr:pic>
          <xdr:nvPicPr>
            <xdr:cNvPr id="152" name="Graphic 151" descr="Downward trend graph with solid fill">
              <a:extLst>
                <a:ext uri="{FF2B5EF4-FFF2-40B4-BE49-F238E27FC236}">
                  <a16:creationId xmlns:a16="http://schemas.microsoft.com/office/drawing/2014/main" id="{54CFA167-1503-2EDC-FE85-EC35FC4A3B8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3503183" y="2876821"/>
              <a:ext cx="352401" cy="387788"/>
            </a:xfrm>
            <a:prstGeom prst="rect">
              <a:avLst/>
            </a:prstGeom>
            <a:effectLst>
              <a:innerShdw blurRad="63500" dist="50800" dir="8100000">
                <a:prstClr val="black">
                  <a:alpha val="50000"/>
                </a:prstClr>
              </a:innerShdw>
            </a:effectLst>
          </xdr:spPr>
        </xdr:pic>
      </xdr:grpSp>
    </xdr:grpSp>
    <xdr:clientData/>
  </xdr:twoCellAnchor>
  <xdr:twoCellAnchor>
    <xdr:from>
      <xdr:col>33</xdr:col>
      <xdr:colOff>221562</xdr:colOff>
      <xdr:row>23</xdr:row>
      <xdr:rowOff>53786</xdr:rowOff>
    </xdr:from>
    <xdr:to>
      <xdr:col>42</xdr:col>
      <xdr:colOff>533400</xdr:colOff>
      <xdr:row>43</xdr:row>
      <xdr:rowOff>80682</xdr:rowOff>
    </xdr:to>
    <xdr:grpSp>
      <xdr:nvGrpSpPr>
        <xdr:cNvPr id="70" name="Group 69">
          <a:extLst>
            <a:ext uri="{FF2B5EF4-FFF2-40B4-BE49-F238E27FC236}">
              <a16:creationId xmlns:a16="http://schemas.microsoft.com/office/drawing/2014/main" id="{303AF86F-F60A-DA16-AA32-52D10FD89DB3}"/>
            </a:ext>
          </a:extLst>
        </xdr:cNvPr>
        <xdr:cNvGrpSpPr/>
      </xdr:nvGrpSpPr>
      <xdr:grpSpPr>
        <a:xfrm>
          <a:off x="20200576" y="4406581"/>
          <a:ext cx="5760660" cy="3784704"/>
          <a:chOff x="20338362" y="4222374"/>
          <a:chExt cx="5798238" cy="3612779"/>
        </a:xfrm>
      </xdr:grpSpPr>
      <xdr:sp macro="" textlink="">
        <xdr:nvSpPr>
          <xdr:cNvPr id="242" name="Rectangle: Rounded Corners 241">
            <a:extLst>
              <a:ext uri="{FF2B5EF4-FFF2-40B4-BE49-F238E27FC236}">
                <a16:creationId xmlns:a16="http://schemas.microsoft.com/office/drawing/2014/main" id="{AAD6095D-5459-4FCE-9AC3-C0573EC8B1B1}"/>
              </a:ext>
            </a:extLst>
          </xdr:cNvPr>
          <xdr:cNvSpPr/>
        </xdr:nvSpPr>
        <xdr:spPr>
          <a:xfrm>
            <a:off x="20338362" y="4222374"/>
            <a:ext cx="5798238" cy="3612779"/>
          </a:xfrm>
          <a:prstGeom prst="roundRect">
            <a:avLst>
              <a:gd name="adj" fmla="val 904"/>
            </a:avLst>
          </a:prstGeom>
          <a:solidFill>
            <a:srgbClr val="FEFCAA"/>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b="1">
              <a:solidFill>
                <a:srgbClr val="002060"/>
              </a:solidFill>
              <a:latin typeface="Verdana Pro Black" panose="020B0A04030504040204" pitchFamily="34" charset="0"/>
            </a:endParaRPr>
          </a:p>
        </xdr:txBody>
      </xdr:sp>
      <xdr:grpSp>
        <xdr:nvGrpSpPr>
          <xdr:cNvPr id="175" name="Group 174">
            <a:extLst>
              <a:ext uri="{FF2B5EF4-FFF2-40B4-BE49-F238E27FC236}">
                <a16:creationId xmlns:a16="http://schemas.microsoft.com/office/drawing/2014/main" id="{D580A62C-6180-A343-7554-8EC1E6E12AF4}"/>
              </a:ext>
            </a:extLst>
          </xdr:cNvPr>
          <xdr:cNvGrpSpPr/>
        </xdr:nvGrpSpPr>
        <xdr:grpSpPr>
          <a:xfrm>
            <a:off x="22510066" y="4327827"/>
            <a:ext cx="3200710" cy="3417397"/>
            <a:chOff x="31798260" y="2994660"/>
            <a:chExt cx="3002400" cy="3208020"/>
          </a:xfrm>
        </xdr:grpSpPr>
        <xdr:sp macro="" textlink="">
          <xdr:nvSpPr>
            <xdr:cNvPr id="155" name="Rectangle: Rounded Corners 154">
              <a:extLst>
                <a:ext uri="{FF2B5EF4-FFF2-40B4-BE49-F238E27FC236}">
                  <a16:creationId xmlns:a16="http://schemas.microsoft.com/office/drawing/2014/main" id="{0621AE09-6DE7-950E-DFCF-0253204A9281}"/>
                </a:ext>
              </a:extLst>
            </xdr:cNvPr>
            <xdr:cNvSpPr/>
          </xdr:nvSpPr>
          <xdr:spPr>
            <a:xfrm>
              <a:off x="34404404" y="4067247"/>
              <a:ext cx="396256" cy="1876353"/>
            </a:xfrm>
            <a:prstGeom prst="roundRect">
              <a:avLst>
                <a:gd name="adj" fmla="val 30769"/>
              </a:avLst>
            </a:prstGeom>
            <a:solidFill>
              <a:schemeClr val="accent2">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6" name="Rectangle: Rounded Corners 155">
              <a:extLst>
                <a:ext uri="{FF2B5EF4-FFF2-40B4-BE49-F238E27FC236}">
                  <a16:creationId xmlns:a16="http://schemas.microsoft.com/office/drawing/2014/main" id="{E368D884-4665-736B-744E-E4EF1EE5F5F4}"/>
                </a:ext>
              </a:extLst>
            </xdr:cNvPr>
            <xdr:cNvSpPr/>
          </xdr:nvSpPr>
          <xdr:spPr>
            <a:xfrm>
              <a:off x="34351062" y="4000500"/>
              <a:ext cx="396256" cy="1876353"/>
            </a:xfrm>
            <a:prstGeom prst="roundRect">
              <a:avLst>
                <a:gd name="adj" fmla="val 30769"/>
              </a:avLst>
            </a:prstGeom>
            <a:solidFill>
              <a:schemeClr val="accent4">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7" name="Rectangle: Rounded Corners 156">
              <a:extLst>
                <a:ext uri="{FF2B5EF4-FFF2-40B4-BE49-F238E27FC236}">
                  <a16:creationId xmlns:a16="http://schemas.microsoft.com/office/drawing/2014/main" id="{F7AD968D-45FD-D89B-421E-34F40A76896C}"/>
                </a:ext>
              </a:extLst>
            </xdr:cNvPr>
            <xdr:cNvSpPr/>
          </xdr:nvSpPr>
          <xdr:spPr>
            <a:xfrm>
              <a:off x="31798260" y="2994660"/>
              <a:ext cx="2491840" cy="3116580"/>
            </a:xfrm>
            <a:prstGeom prst="roundRect">
              <a:avLst>
                <a:gd name="adj" fmla="val 0"/>
              </a:avLst>
            </a:prstGeom>
            <a:solidFill>
              <a:schemeClr val="accent2">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rgbClr val="002060"/>
                </a:solidFill>
                <a:latin typeface="Aptos Display" panose="020B0004020202020204" pitchFamily="34" charset="0"/>
              </a:endParaRPr>
            </a:p>
          </xdr:txBody>
        </xdr:sp>
        <xdr:sp macro="" textlink="">
          <xdr:nvSpPr>
            <xdr:cNvPr id="158" name="Rectangle: Rounded Corners 157">
              <a:extLst>
                <a:ext uri="{FF2B5EF4-FFF2-40B4-BE49-F238E27FC236}">
                  <a16:creationId xmlns:a16="http://schemas.microsoft.com/office/drawing/2014/main" id="{EA6EA37E-D9BB-584C-B575-F5E46E9C2C6C}"/>
                </a:ext>
              </a:extLst>
            </xdr:cNvPr>
            <xdr:cNvSpPr/>
          </xdr:nvSpPr>
          <xdr:spPr>
            <a:xfrm>
              <a:off x="31904944" y="3086100"/>
              <a:ext cx="2491840" cy="3116580"/>
            </a:xfrm>
            <a:prstGeom prst="roundRect">
              <a:avLst>
                <a:gd name="adj" fmla="val 0"/>
              </a:avLst>
            </a:prstGeom>
            <a:solidFill>
              <a:schemeClr val="accent4">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400" b="1" i="0" u="sng" strike="noStrike">
                <a:solidFill>
                  <a:srgbClr val="002060"/>
                </a:solidFill>
                <a:effectLst/>
                <a:latin typeface="Aptos Display" panose="020B0004020202020204" pitchFamily="34" charset="0"/>
                <a:ea typeface="+mn-ea"/>
                <a:cs typeface="+mn-cs"/>
              </a:endParaRPr>
            </a:p>
            <a:p>
              <a:pPr algn="ctr"/>
              <a:r>
                <a:rPr lang="en-IN" sz="1400" b="1" i="0" u="sng" strike="noStrike" baseline="0">
                  <a:solidFill>
                    <a:srgbClr val="002060"/>
                  </a:solidFill>
                  <a:effectLst/>
                  <a:latin typeface="Aptos Display" panose="020B0004020202020204" pitchFamily="34" charset="0"/>
                  <a:ea typeface="+mn-ea"/>
                  <a:cs typeface="+mn-cs"/>
                </a:rPr>
                <a:t>CATEGORY WISE </a:t>
              </a:r>
              <a:r>
                <a:rPr lang="en-IN" sz="1400" b="1" i="0" u="sng" strike="noStrike">
                  <a:solidFill>
                    <a:srgbClr val="002060"/>
                  </a:solidFill>
                  <a:effectLst/>
                  <a:latin typeface="Aptos Display" panose="020B0004020202020204" pitchFamily="34" charset="0"/>
                  <a:ea typeface="+mn-ea"/>
                  <a:cs typeface="+mn-cs"/>
                </a:rPr>
                <a:t>SALES </a:t>
              </a:r>
              <a:br>
                <a:rPr lang="en-IN" sz="1400" b="1" i="0" u="sng" strike="noStrike">
                  <a:solidFill>
                    <a:srgbClr val="002060"/>
                  </a:solidFill>
                  <a:effectLst/>
                  <a:latin typeface="Aptos Display" panose="020B0004020202020204" pitchFamily="34" charset="0"/>
                  <a:ea typeface="+mn-ea"/>
                  <a:cs typeface="+mn-cs"/>
                </a:rPr>
              </a:br>
              <a:r>
                <a:rPr lang="en-IN" sz="1400" b="1" i="0" u="sng" strike="noStrike">
                  <a:solidFill>
                    <a:srgbClr val="002060"/>
                  </a:solidFill>
                  <a:effectLst/>
                  <a:latin typeface="Aptos Display" panose="020B0004020202020204" pitchFamily="34" charset="0"/>
                  <a:ea typeface="+mn-ea"/>
                  <a:cs typeface="+mn-cs"/>
                </a:rPr>
                <a:t>INSIGHTS</a:t>
              </a:r>
            </a:p>
            <a:p>
              <a:pPr algn="l"/>
              <a:endParaRPr lang="en-IN" sz="1200" b="1" i="0" u="none" strike="noStrike">
                <a:solidFill>
                  <a:srgbClr val="002060"/>
                </a:solidFill>
                <a:effectLst/>
                <a:latin typeface="Aptos Display" panose="020B0004020202020204" pitchFamily="34" charset="0"/>
                <a:ea typeface="+mn-ea"/>
                <a:cs typeface="+mn-cs"/>
              </a:endParaRPr>
            </a:p>
            <a:p>
              <a:pPr algn="l"/>
              <a:endParaRPr lang="en-IN" sz="1200" b="1" i="0" u="none" strike="noStrike">
                <a:solidFill>
                  <a:srgbClr val="002060"/>
                </a:solidFill>
                <a:effectLst/>
                <a:latin typeface="Aptos Display" panose="020B0004020202020204" pitchFamily="34" charset="0"/>
                <a:ea typeface="+mn-ea"/>
                <a:cs typeface="+mn-cs"/>
              </a:endParaRPr>
            </a:p>
            <a:p>
              <a:pPr algn="l"/>
              <a:r>
                <a:rPr lang="en-IN" sz="1200" b="1" i="0" u="none" strike="noStrike">
                  <a:solidFill>
                    <a:srgbClr val="002060"/>
                  </a:solidFill>
                  <a:effectLst/>
                  <a:latin typeface="Aptos Display" panose="020B0004020202020204" pitchFamily="34" charset="0"/>
                  <a:ea typeface="+mn-ea"/>
                  <a:cs typeface="+mn-cs"/>
                </a:rPr>
                <a:t>1. Beverages And Infant Nutition </a:t>
              </a:r>
              <a:r>
                <a:rPr lang="en-IN" sz="1200" b="0" i="0" u="none" strike="noStrike">
                  <a:solidFill>
                    <a:srgbClr val="002060"/>
                  </a:solidFill>
                  <a:effectLst/>
                  <a:latin typeface="Aptos Display" panose="020B0004020202020204" pitchFamily="34" charset="0"/>
                  <a:ea typeface="+mn-ea"/>
                  <a:cs typeface="+mn-cs"/>
                </a:rPr>
                <a:t>Contributes </a:t>
              </a:r>
              <a:r>
                <a:rPr lang="en-IN" sz="1200" b="1" i="1" u="none" strike="noStrike">
                  <a:solidFill>
                    <a:srgbClr val="002060"/>
                  </a:solidFill>
                  <a:effectLst/>
                  <a:latin typeface="Aptos Display" panose="020B0004020202020204" pitchFamily="34" charset="0"/>
                  <a:ea typeface="+mn-ea"/>
                  <a:cs typeface="+mn-cs"/>
                </a:rPr>
                <a:t>64%</a:t>
              </a:r>
              <a:br>
                <a:rPr lang="en-IN" sz="1200" b="0">
                  <a:solidFill>
                    <a:srgbClr val="002060"/>
                  </a:solidFill>
                  <a:latin typeface="Aptos Display" panose="020B0004020202020204" pitchFamily="34" charset="0"/>
                </a:rPr>
              </a:br>
              <a:endParaRPr lang="en-IN" sz="1200" b="0">
                <a:solidFill>
                  <a:srgbClr val="002060"/>
                </a:solidFill>
                <a:latin typeface="Aptos Display" panose="020B0004020202020204" pitchFamily="34" charset="0"/>
              </a:endParaRPr>
            </a:p>
            <a:p>
              <a:pPr algn="l"/>
              <a:r>
                <a:rPr lang="en-IN" sz="1200" b="1">
                  <a:solidFill>
                    <a:srgbClr val="002060"/>
                  </a:solidFill>
                  <a:latin typeface="Aptos Display" panose="020B0004020202020204" pitchFamily="34" charset="0"/>
                </a:rPr>
                <a:t>2. </a:t>
              </a:r>
              <a:r>
                <a:rPr lang="en-IN" sz="1200" b="0" i="0" u="none" strike="noStrike">
                  <a:solidFill>
                    <a:srgbClr val="002060"/>
                  </a:solidFill>
                  <a:effectLst/>
                  <a:latin typeface="Aptos Display" panose="020B0004020202020204" pitchFamily="34" charset="0"/>
                  <a:ea typeface="+mn-ea"/>
                  <a:cs typeface="+mn-cs"/>
                </a:rPr>
                <a:t>Top 3 Beverages, Infant Nutrition, Dairy Products </a:t>
              </a:r>
              <a:r>
                <a:rPr lang="en-IN" sz="1200" b="1" i="0" u="none" strike="noStrike">
                  <a:solidFill>
                    <a:srgbClr val="002060"/>
                  </a:solidFill>
                  <a:effectLst/>
                  <a:latin typeface="Aptos Display" panose="020B0004020202020204" pitchFamily="34" charset="0"/>
                  <a:ea typeface="+mn-ea"/>
                  <a:cs typeface="+mn-cs"/>
                </a:rPr>
                <a:t>Consists </a:t>
              </a:r>
              <a:r>
                <a:rPr lang="en-IN" sz="1200" b="1" i="1" u="none" strike="noStrike">
                  <a:solidFill>
                    <a:srgbClr val="002060"/>
                  </a:solidFill>
                  <a:effectLst/>
                  <a:latin typeface="Aptos Display" panose="020B0004020202020204" pitchFamily="34" charset="0"/>
                  <a:ea typeface="+mn-ea"/>
                  <a:cs typeface="+mn-cs"/>
                </a:rPr>
                <a:t>82%</a:t>
              </a:r>
            </a:p>
            <a:p>
              <a:pPr algn="l"/>
              <a:endParaRPr lang="en-IN" sz="1400" b="1">
                <a:solidFill>
                  <a:srgbClr val="002060"/>
                </a:solidFill>
                <a:latin typeface="Aptos Display" panose="020B0004020202020204" pitchFamily="34" charset="0"/>
              </a:endParaRPr>
            </a:p>
            <a:p>
              <a:pPr algn="l"/>
              <a:r>
                <a:rPr lang="en-IN" sz="1200" b="1">
                  <a:solidFill>
                    <a:srgbClr val="002060"/>
                  </a:solidFill>
                  <a:latin typeface="Aptos Display" panose="020B0004020202020204" pitchFamily="34" charset="0"/>
                </a:rPr>
                <a:t>3.</a:t>
              </a:r>
              <a:r>
                <a:rPr lang="en-IN" sz="1400" b="1">
                  <a:solidFill>
                    <a:srgbClr val="002060"/>
                  </a:solidFill>
                  <a:latin typeface="Aptos Display" panose="020B0004020202020204" pitchFamily="34" charset="0"/>
                </a:rPr>
                <a:t> </a:t>
              </a:r>
              <a:r>
                <a:rPr lang="en-IN" sz="1200" b="0" i="0" u="none" strike="noStrike">
                  <a:solidFill>
                    <a:srgbClr val="002060"/>
                  </a:solidFill>
                  <a:effectLst/>
                  <a:latin typeface="Aptos Display" panose="020B0004020202020204" pitchFamily="34" charset="0"/>
                  <a:ea typeface="+mn-ea"/>
                  <a:cs typeface="+mn-cs"/>
                </a:rPr>
                <a:t>Other 4 Categories Contributes Only </a:t>
              </a:r>
              <a:r>
                <a:rPr lang="en-IN" sz="1200" b="1" i="1" u="none" strike="noStrike">
                  <a:solidFill>
                    <a:srgbClr val="002060"/>
                  </a:solidFill>
                  <a:effectLst/>
                  <a:latin typeface="Aptos Display" panose="020B0004020202020204" pitchFamily="34" charset="0"/>
                  <a:ea typeface="+mn-ea"/>
                  <a:cs typeface="+mn-cs"/>
                </a:rPr>
                <a:t>18%</a:t>
              </a:r>
              <a:r>
                <a:rPr lang="en-IN" sz="1200" b="1" i="0" u="none" strike="noStrike">
                  <a:solidFill>
                    <a:srgbClr val="002060"/>
                  </a:solidFill>
                  <a:effectLst/>
                  <a:latin typeface="Aptos Display" panose="020B0004020202020204" pitchFamily="34" charset="0"/>
                  <a:ea typeface="+mn-ea"/>
                  <a:cs typeface="+mn-cs"/>
                </a:rPr>
                <a:t> Of Sales</a:t>
              </a:r>
            </a:p>
          </xdr:txBody>
        </xdr:sp>
        <xdr:sp macro="" textlink="">
          <xdr:nvSpPr>
            <xdr:cNvPr id="159" name="L-Shape 158">
              <a:extLst>
                <a:ext uri="{FF2B5EF4-FFF2-40B4-BE49-F238E27FC236}">
                  <a16:creationId xmlns:a16="http://schemas.microsoft.com/office/drawing/2014/main" id="{1027B11A-58C1-CCE1-F2AC-F505102714E7}"/>
                </a:ext>
              </a:extLst>
            </xdr:cNvPr>
            <xdr:cNvSpPr/>
          </xdr:nvSpPr>
          <xdr:spPr>
            <a:xfrm rot="5400000">
              <a:off x="32004013" y="3093713"/>
              <a:ext cx="236220" cy="335293"/>
            </a:xfrm>
            <a:prstGeom prst="corner">
              <a:avLst>
                <a:gd name="adj1" fmla="val 33871"/>
                <a:gd name="adj2" fmla="val 24494"/>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0" name="L-Shape 159">
              <a:extLst>
                <a:ext uri="{FF2B5EF4-FFF2-40B4-BE49-F238E27FC236}">
                  <a16:creationId xmlns:a16="http://schemas.microsoft.com/office/drawing/2014/main" id="{55241F73-BA6A-FFFF-C680-49CF311AE600}"/>
                </a:ext>
              </a:extLst>
            </xdr:cNvPr>
            <xdr:cNvSpPr/>
          </xdr:nvSpPr>
          <xdr:spPr>
            <a:xfrm rot="16200000">
              <a:off x="34053875" y="5852153"/>
              <a:ext cx="236220" cy="335293"/>
            </a:xfrm>
            <a:prstGeom prst="corner">
              <a:avLst>
                <a:gd name="adj1" fmla="val 33871"/>
                <a:gd name="adj2" fmla="val 24494"/>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63" name="Graphic 162" descr="Users with solid fill">
              <a:extLst>
                <a:ext uri="{FF2B5EF4-FFF2-40B4-BE49-F238E27FC236}">
                  <a16:creationId xmlns:a16="http://schemas.microsoft.com/office/drawing/2014/main" id="{3C723C42-5F12-9B62-FD2F-3F75B4A6C69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4427160" y="4701540"/>
              <a:ext cx="289560" cy="419100"/>
            </a:xfrm>
            <a:prstGeom prst="rect">
              <a:avLst/>
            </a:prstGeom>
          </xdr:spPr>
        </xdr:pic>
        <xdr:pic>
          <xdr:nvPicPr>
            <xdr:cNvPr id="164" name="Graphic 163" descr="Downward trend graph with solid fill">
              <a:extLst>
                <a:ext uri="{FF2B5EF4-FFF2-40B4-BE49-F238E27FC236}">
                  <a16:creationId xmlns:a16="http://schemas.microsoft.com/office/drawing/2014/main" id="{7B6A7937-1126-9968-64FF-1785A929EBA9}"/>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4396680" y="5349240"/>
              <a:ext cx="350520" cy="388620"/>
            </a:xfrm>
            <a:prstGeom prst="rect">
              <a:avLst/>
            </a:prstGeom>
            <a:effectLst>
              <a:innerShdw blurRad="63500" dist="50800" dir="8100000">
                <a:prstClr val="black">
                  <a:alpha val="50000"/>
                </a:prstClr>
              </a:innerShdw>
            </a:effectLst>
          </xdr:spPr>
        </xdr:pic>
        <xdr:pic>
          <xdr:nvPicPr>
            <xdr:cNvPr id="168" name="Graphic 167" descr="Pie chart with solid fill">
              <a:extLst>
                <a:ext uri="{FF2B5EF4-FFF2-40B4-BE49-F238E27FC236}">
                  <a16:creationId xmlns:a16="http://schemas.microsoft.com/office/drawing/2014/main" id="{4C39C6F5-085F-E5B1-66EE-8CF04424BAB9}"/>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4409520" y="4135260"/>
              <a:ext cx="330060" cy="330060"/>
            </a:xfrm>
            <a:prstGeom prst="rect">
              <a:avLst/>
            </a:prstGeom>
          </xdr:spPr>
        </xdr:pic>
      </xdr:grpSp>
    </xdr:grpSp>
    <xdr:clientData/>
  </xdr:twoCellAnchor>
  <xdr:twoCellAnchor>
    <xdr:from>
      <xdr:col>43</xdr:col>
      <xdr:colOff>69162</xdr:colOff>
      <xdr:row>23</xdr:row>
      <xdr:rowOff>53788</xdr:rowOff>
    </xdr:from>
    <xdr:to>
      <xdr:col>51</xdr:col>
      <xdr:colOff>93134</xdr:colOff>
      <xdr:row>43</xdr:row>
      <xdr:rowOff>82305</xdr:rowOff>
    </xdr:to>
    <xdr:grpSp>
      <xdr:nvGrpSpPr>
        <xdr:cNvPr id="71" name="Group 70">
          <a:extLst>
            <a:ext uri="{FF2B5EF4-FFF2-40B4-BE49-F238E27FC236}">
              <a16:creationId xmlns:a16="http://schemas.microsoft.com/office/drawing/2014/main" id="{E10DF929-34E9-0DAC-C0BD-E4C0BE52A666}"/>
            </a:ext>
          </a:extLst>
        </xdr:cNvPr>
        <xdr:cNvGrpSpPr/>
      </xdr:nvGrpSpPr>
      <xdr:grpSpPr>
        <a:xfrm>
          <a:off x="26102422" y="4406583"/>
          <a:ext cx="4867370" cy="3786325"/>
          <a:chOff x="26281962" y="4222376"/>
          <a:chExt cx="4900772" cy="3614400"/>
        </a:xfrm>
      </xdr:grpSpPr>
      <xdr:sp macro="" textlink="">
        <xdr:nvSpPr>
          <xdr:cNvPr id="243" name="Rectangle: Rounded Corners 242">
            <a:extLst>
              <a:ext uri="{FF2B5EF4-FFF2-40B4-BE49-F238E27FC236}">
                <a16:creationId xmlns:a16="http://schemas.microsoft.com/office/drawing/2014/main" id="{FCD7F76F-1E76-46AA-834F-21DA9B671624}"/>
              </a:ext>
            </a:extLst>
          </xdr:cNvPr>
          <xdr:cNvSpPr/>
        </xdr:nvSpPr>
        <xdr:spPr>
          <a:xfrm>
            <a:off x="26281962" y="4222376"/>
            <a:ext cx="4900772" cy="3614400"/>
          </a:xfrm>
          <a:prstGeom prst="roundRect">
            <a:avLst>
              <a:gd name="adj" fmla="val 904"/>
            </a:avLst>
          </a:prstGeom>
          <a:solidFill>
            <a:srgbClr val="FEFCAA"/>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b="1">
              <a:solidFill>
                <a:srgbClr val="002060"/>
              </a:solidFill>
              <a:latin typeface="Verdana Pro Black" panose="020B0A04030504040204" pitchFamily="34" charset="0"/>
            </a:endParaRPr>
          </a:p>
        </xdr:txBody>
      </xdr:sp>
      <xdr:grpSp>
        <xdr:nvGrpSpPr>
          <xdr:cNvPr id="187" name="Group 186">
            <a:extLst>
              <a:ext uri="{FF2B5EF4-FFF2-40B4-BE49-F238E27FC236}">
                <a16:creationId xmlns:a16="http://schemas.microsoft.com/office/drawing/2014/main" id="{7D9B2486-62BE-A5B5-CB4A-B79FCEB0E963}"/>
              </a:ext>
            </a:extLst>
          </xdr:cNvPr>
          <xdr:cNvGrpSpPr/>
        </xdr:nvGrpSpPr>
        <xdr:grpSpPr>
          <a:xfrm>
            <a:off x="27064374" y="4327876"/>
            <a:ext cx="3290119" cy="3418931"/>
            <a:chOff x="35455860" y="2194560"/>
            <a:chExt cx="3002400" cy="3208020"/>
          </a:xfrm>
        </xdr:grpSpPr>
        <xdr:sp macro="" textlink="">
          <xdr:nvSpPr>
            <xdr:cNvPr id="177" name="Rectangle: Rounded Corners 176">
              <a:extLst>
                <a:ext uri="{FF2B5EF4-FFF2-40B4-BE49-F238E27FC236}">
                  <a16:creationId xmlns:a16="http://schemas.microsoft.com/office/drawing/2014/main" id="{4C11B354-C81C-D612-72B6-8A6B0656CF58}"/>
                </a:ext>
              </a:extLst>
            </xdr:cNvPr>
            <xdr:cNvSpPr/>
          </xdr:nvSpPr>
          <xdr:spPr>
            <a:xfrm>
              <a:off x="38062004" y="3252751"/>
              <a:ext cx="396256" cy="1471649"/>
            </a:xfrm>
            <a:prstGeom prst="roundRect">
              <a:avLst>
                <a:gd name="adj" fmla="val 30769"/>
              </a:avLst>
            </a:prstGeom>
            <a:solidFill>
              <a:schemeClr val="accent2">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8" name="Rectangle: Rounded Corners 177">
              <a:extLst>
                <a:ext uri="{FF2B5EF4-FFF2-40B4-BE49-F238E27FC236}">
                  <a16:creationId xmlns:a16="http://schemas.microsoft.com/office/drawing/2014/main" id="{9AEBC97A-06FF-A0FF-7D49-86EF25B346EE}"/>
                </a:ext>
              </a:extLst>
            </xdr:cNvPr>
            <xdr:cNvSpPr/>
          </xdr:nvSpPr>
          <xdr:spPr>
            <a:xfrm>
              <a:off x="38008662" y="3200400"/>
              <a:ext cx="396256" cy="1471649"/>
            </a:xfrm>
            <a:prstGeom prst="roundRect">
              <a:avLst>
                <a:gd name="adj" fmla="val 30769"/>
              </a:avLst>
            </a:prstGeom>
            <a:solidFill>
              <a:schemeClr val="accent4">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9" name="Rectangle: Rounded Corners 178">
              <a:extLst>
                <a:ext uri="{FF2B5EF4-FFF2-40B4-BE49-F238E27FC236}">
                  <a16:creationId xmlns:a16="http://schemas.microsoft.com/office/drawing/2014/main" id="{0F77905C-88BD-E7CC-482B-528918119414}"/>
                </a:ext>
              </a:extLst>
            </xdr:cNvPr>
            <xdr:cNvSpPr/>
          </xdr:nvSpPr>
          <xdr:spPr>
            <a:xfrm>
              <a:off x="35455860" y="2194560"/>
              <a:ext cx="2491840" cy="3116580"/>
            </a:xfrm>
            <a:prstGeom prst="roundRect">
              <a:avLst>
                <a:gd name="adj" fmla="val 0"/>
              </a:avLst>
            </a:prstGeom>
            <a:solidFill>
              <a:schemeClr val="accent2">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rgbClr val="002060"/>
                </a:solidFill>
                <a:latin typeface="Aptos Display" panose="020B0004020202020204" pitchFamily="34" charset="0"/>
              </a:endParaRPr>
            </a:p>
          </xdr:txBody>
        </xdr:sp>
        <xdr:sp macro="" textlink="">
          <xdr:nvSpPr>
            <xdr:cNvPr id="180" name="Rectangle: Rounded Corners 179">
              <a:extLst>
                <a:ext uri="{FF2B5EF4-FFF2-40B4-BE49-F238E27FC236}">
                  <a16:creationId xmlns:a16="http://schemas.microsoft.com/office/drawing/2014/main" id="{048D33F1-05E4-0204-5477-CB70CB798439}"/>
                </a:ext>
              </a:extLst>
            </xdr:cNvPr>
            <xdr:cNvSpPr/>
          </xdr:nvSpPr>
          <xdr:spPr>
            <a:xfrm>
              <a:off x="35562544" y="2286000"/>
              <a:ext cx="2491840" cy="3116580"/>
            </a:xfrm>
            <a:prstGeom prst="roundRect">
              <a:avLst>
                <a:gd name="adj" fmla="val 0"/>
              </a:avLst>
            </a:prstGeom>
            <a:solidFill>
              <a:schemeClr val="accent4">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400" b="1" i="0" u="sng" strike="noStrike">
                <a:solidFill>
                  <a:srgbClr val="002060"/>
                </a:solidFill>
                <a:effectLst/>
                <a:latin typeface="Aptos Display" panose="020B0004020202020204" pitchFamily="34" charset="0"/>
                <a:ea typeface="+mn-ea"/>
                <a:cs typeface="+mn-cs"/>
              </a:endParaRPr>
            </a:p>
            <a:p>
              <a:pPr algn="ctr"/>
              <a:r>
                <a:rPr lang="en-IN" sz="1400" b="1" i="0" u="sng" strike="noStrike" baseline="0">
                  <a:solidFill>
                    <a:srgbClr val="002060"/>
                  </a:solidFill>
                  <a:effectLst/>
                  <a:latin typeface="Aptos Display" panose="020B0004020202020204" pitchFamily="34" charset="0"/>
                  <a:ea typeface="+mn-ea"/>
                  <a:cs typeface="+mn-cs"/>
                </a:rPr>
                <a:t>PRODUCT WISE </a:t>
              </a:r>
              <a:r>
                <a:rPr lang="en-IN" sz="1400" b="1" i="0" u="sng" strike="noStrike">
                  <a:solidFill>
                    <a:srgbClr val="002060"/>
                  </a:solidFill>
                  <a:effectLst/>
                  <a:latin typeface="Aptos Display" panose="020B0004020202020204" pitchFamily="34" charset="0"/>
                  <a:ea typeface="+mn-ea"/>
                  <a:cs typeface="+mn-cs"/>
                </a:rPr>
                <a:t>SALES </a:t>
              </a:r>
              <a:br>
                <a:rPr lang="en-IN" sz="1400" b="1" i="0" u="sng" strike="noStrike">
                  <a:solidFill>
                    <a:srgbClr val="002060"/>
                  </a:solidFill>
                  <a:effectLst/>
                  <a:latin typeface="Aptos Display" panose="020B0004020202020204" pitchFamily="34" charset="0"/>
                  <a:ea typeface="+mn-ea"/>
                  <a:cs typeface="+mn-cs"/>
                </a:rPr>
              </a:br>
              <a:r>
                <a:rPr lang="en-IN" sz="1400" b="1" i="0" u="sng" strike="noStrike">
                  <a:solidFill>
                    <a:srgbClr val="002060"/>
                  </a:solidFill>
                  <a:effectLst/>
                  <a:latin typeface="Aptos Display" panose="020B0004020202020204" pitchFamily="34" charset="0"/>
                  <a:ea typeface="+mn-ea"/>
                  <a:cs typeface="+mn-cs"/>
                </a:rPr>
                <a:t>INSIGHTS</a:t>
              </a:r>
            </a:p>
            <a:p>
              <a:pPr algn="l"/>
              <a:endParaRPr lang="en-IN" sz="1200" b="1" i="0" u="none" strike="noStrike">
                <a:solidFill>
                  <a:srgbClr val="002060"/>
                </a:solidFill>
                <a:effectLst/>
                <a:latin typeface="Aptos Display" panose="020B0004020202020204" pitchFamily="34" charset="0"/>
                <a:ea typeface="+mn-ea"/>
                <a:cs typeface="+mn-cs"/>
              </a:endParaRPr>
            </a:p>
            <a:p>
              <a:pPr algn="l"/>
              <a:endParaRPr lang="en-IN" sz="1200" b="1" i="0" u="none" strike="noStrike">
                <a:solidFill>
                  <a:srgbClr val="002060"/>
                </a:solidFill>
                <a:effectLst/>
                <a:latin typeface="Aptos Display" panose="020B0004020202020204" pitchFamily="34" charset="0"/>
                <a:ea typeface="+mn-ea"/>
                <a:cs typeface="+mn-cs"/>
              </a:endParaRPr>
            </a:p>
            <a:p>
              <a:pPr algn="l"/>
              <a:r>
                <a:rPr lang="en-IN" sz="1200" b="1" i="0" u="none" strike="noStrike">
                  <a:solidFill>
                    <a:srgbClr val="002060"/>
                  </a:solidFill>
                  <a:effectLst/>
                  <a:latin typeface="Aptos Display" panose="020B0004020202020204" pitchFamily="34" charset="0"/>
                  <a:ea typeface="+mn-ea"/>
                  <a:cs typeface="+mn-cs"/>
                </a:rPr>
                <a:t>1. </a:t>
              </a:r>
              <a:r>
                <a:rPr lang="en-IN" sz="1200" b="0" i="0" u="none" strike="noStrike">
                  <a:solidFill>
                    <a:srgbClr val="002060"/>
                  </a:solidFill>
                  <a:effectLst/>
                  <a:latin typeface="Aptos Display" panose="020B0004020202020204" pitchFamily="34" charset="0"/>
                  <a:ea typeface="+mn-ea"/>
                  <a:cs typeface="+mn-cs"/>
                </a:rPr>
                <a:t>Top 10 Products </a:t>
              </a:r>
              <a:r>
                <a:rPr lang="en-IN" sz="1200" b="1" i="0" u="none" strike="noStrike">
                  <a:solidFill>
                    <a:srgbClr val="002060"/>
                  </a:solidFill>
                  <a:effectLst/>
                  <a:latin typeface="Aptos Display" panose="020B0004020202020204" pitchFamily="34" charset="0"/>
                  <a:ea typeface="+mn-ea"/>
                  <a:cs typeface="+mn-cs"/>
                </a:rPr>
                <a:t>Consists </a:t>
              </a:r>
              <a:r>
                <a:rPr lang="en-IN" sz="1200" b="1" i="1" u="none" strike="noStrike">
                  <a:solidFill>
                    <a:srgbClr val="002060"/>
                  </a:solidFill>
                  <a:effectLst/>
                  <a:latin typeface="Aptos Display" panose="020B0004020202020204" pitchFamily="34" charset="0"/>
                  <a:ea typeface="+mn-ea"/>
                  <a:cs typeface="+mn-cs"/>
                </a:rPr>
                <a:t>74.69%</a:t>
              </a:r>
            </a:p>
            <a:p>
              <a:pPr algn="l"/>
              <a:endParaRPr lang="en-IN" sz="1200" b="0">
                <a:solidFill>
                  <a:srgbClr val="002060"/>
                </a:solidFill>
                <a:latin typeface="Aptos Display" panose="020B0004020202020204" pitchFamily="34" charset="0"/>
              </a:endParaRPr>
            </a:p>
            <a:p>
              <a:pPr algn="l"/>
              <a:r>
                <a:rPr lang="en-IN" sz="1200" b="1">
                  <a:solidFill>
                    <a:srgbClr val="002060"/>
                  </a:solidFill>
                  <a:latin typeface="Aptos Display" panose="020B0004020202020204" pitchFamily="34" charset="0"/>
                </a:rPr>
                <a:t>2. </a:t>
              </a:r>
              <a:r>
                <a:rPr lang="en-IN" sz="1200" b="0" i="0" u="none" strike="noStrike">
                  <a:solidFill>
                    <a:srgbClr val="002060"/>
                  </a:solidFill>
                  <a:effectLst/>
                  <a:latin typeface="Aptos Display" panose="020B0004020202020204" pitchFamily="34" charset="0"/>
                  <a:ea typeface="+mn-ea"/>
                  <a:cs typeface="+mn-cs"/>
                </a:rPr>
                <a:t>Top 3 Product </a:t>
              </a:r>
              <a:r>
                <a:rPr lang="en-IN" sz="1200" b="1" i="0" u="none" strike="noStrike">
                  <a:solidFill>
                    <a:srgbClr val="002060"/>
                  </a:solidFill>
                  <a:effectLst/>
                  <a:latin typeface="Aptos Display" panose="020B0004020202020204" pitchFamily="34" charset="0"/>
                  <a:ea typeface="+mn-ea"/>
                  <a:cs typeface="+mn-cs"/>
                </a:rPr>
                <a:t>Consists </a:t>
              </a:r>
              <a:r>
                <a:rPr lang="en-IN" sz="1200" b="1" i="1" u="none" strike="noStrike">
                  <a:solidFill>
                    <a:srgbClr val="002060"/>
                  </a:solidFill>
                  <a:effectLst/>
                  <a:latin typeface="Aptos Display" panose="020B0004020202020204" pitchFamily="34" charset="0"/>
                  <a:ea typeface="+mn-ea"/>
                  <a:cs typeface="+mn-cs"/>
                </a:rPr>
                <a:t>32.27%</a:t>
              </a:r>
            </a:p>
            <a:p>
              <a:pPr algn="l"/>
              <a:endParaRPr lang="en-IN" sz="1400" b="1">
                <a:solidFill>
                  <a:srgbClr val="002060"/>
                </a:solidFill>
                <a:latin typeface="Aptos Display" panose="020B0004020202020204" pitchFamily="34" charset="0"/>
              </a:endParaRPr>
            </a:p>
            <a:p>
              <a:pPr algn="l"/>
              <a:r>
                <a:rPr lang="en-IN" sz="1200" b="1">
                  <a:solidFill>
                    <a:srgbClr val="002060"/>
                  </a:solidFill>
                  <a:latin typeface="Aptos Display" panose="020B0004020202020204" pitchFamily="34" charset="0"/>
                </a:rPr>
                <a:t>3.</a:t>
              </a:r>
              <a:r>
                <a:rPr lang="en-IN" sz="1400" b="1">
                  <a:solidFill>
                    <a:srgbClr val="002060"/>
                  </a:solidFill>
                  <a:latin typeface="Aptos Display" panose="020B0004020202020204" pitchFamily="34" charset="0"/>
                </a:rPr>
                <a:t> </a:t>
              </a:r>
              <a:r>
                <a:rPr lang="en-IN" sz="1200" b="0" i="0" u="none" strike="noStrike">
                  <a:solidFill>
                    <a:srgbClr val="002060"/>
                  </a:solidFill>
                  <a:effectLst/>
                  <a:latin typeface="Aptos Display" panose="020B0004020202020204" pitchFamily="34" charset="0"/>
                  <a:ea typeface="+mn-ea"/>
                  <a:cs typeface="+mn-cs"/>
                </a:rPr>
                <a:t>Other 23 Product </a:t>
              </a:r>
              <a:r>
                <a:rPr lang="en-IN" sz="1200" b="1" i="0" u="none" strike="noStrike">
                  <a:solidFill>
                    <a:srgbClr val="002060"/>
                  </a:solidFill>
                  <a:effectLst/>
                  <a:latin typeface="Aptos Display" panose="020B0004020202020204" pitchFamily="34" charset="0"/>
                  <a:ea typeface="+mn-ea"/>
                  <a:cs typeface="+mn-cs"/>
                </a:rPr>
                <a:t>Consists </a:t>
              </a:r>
              <a:r>
                <a:rPr lang="en-IN" sz="1200" b="1" i="1" u="none" strike="noStrike">
                  <a:solidFill>
                    <a:srgbClr val="002060"/>
                  </a:solidFill>
                  <a:effectLst/>
                  <a:latin typeface="Aptos Display" panose="020B0004020202020204" pitchFamily="34" charset="0"/>
                  <a:ea typeface="+mn-ea"/>
                  <a:cs typeface="+mn-cs"/>
                </a:rPr>
                <a:t>25.31%</a:t>
              </a:r>
              <a:r>
                <a:rPr lang="en-IN" sz="1200" b="1" i="0" u="none" strike="noStrike">
                  <a:solidFill>
                    <a:srgbClr val="002060"/>
                  </a:solidFill>
                  <a:effectLst/>
                  <a:latin typeface="Aptos Display" panose="020B0004020202020204" pitchFamily="34" charset="0"/>
                  <a:ea typeface="+mn-ea"/>
                  <a:cs typeface="+mn-cs"/>
                </a:rPr>
                <a:t> Avg </a:t>
              </a:r>
              <a:r>
                <a:rPr lang="en-IN" sz="1200" b="1" i="1" u="none" strike="noStrike">
                  <a:solidFill>
                    <a:srgbClr val="002060"/>
                  </a:solidFill>
                  <a:effectLst/>
                  <a:latin typeface="Aptos Display" panose="020B0004020202020204" pitchFamily="34" charset="0"/>
                  <a:ea typeface="+mn-ea"/>
                  <a:cs typeface="+mn-cs"/>
                </a:rPr>
                <a:t>1.10%</a:t>
              </a:r>
              <a:r>
                <a:rPr lang="en-IN" sz="1200" b="1" i="0" u="none" strike="noStrike">
                  <a:solidFill>
                    <a:srgbClr val="002060"/>
                  </a:solidFill>
                  <a:effectLst/>
                  <a:latin typeface="Aptos Display" panose="020B0004020202020204" pitchFamily="34" charset="0"/>
                  <a:ea typeface="+mn-ea"/>
                  <a:cs typeface="+mn-cs"/>
                </a:rPr>
                <a:t> Each</a:t>
              </a:r>
            </a:p>
          </xdr:txBody>
        </xdr:sp>
        <xdr:sp macro="" textlink="">
          <xdr:nvSpPr>
            <xdr:cNvPr id="181" name="L-Shape 180">
              <a:extLst>
                <a:ext uri="{FF2B5EF4-FFF2-40B4-BE49-F238E27FC236}">
                  <a16:creationId xmlns:a16="http://schemas.microsoft.com/office/drawing/2014/main" id="{4BF941A4-CAC6-5235-C857-73FEE5118F52}"/>
                </a:ext>
              </a:extLst>
            </xdr:cNvPr>
            <xdr:cNvSpPr/>
          </xdr:nvSpPr>
          <xdr:spPr>
            <a:xfrm rot="5400000">
              <a:off x="35661613" y="2293613"/>
              <a:ext cx="236220" cy="335293"/>
            </a:xfrm>
            <a:prstGeom prst="corner">
              <a:avLst>
                <a:gd name="adj1" fmla="val 33871"/>
                <a:gd name="adj2" fmla="val 24494"/>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2" name="L-Shape 181">
              <a:extLst>
                <a:ext uri="{FF2B5EF4-FFF2-40B4-BE49-F238E27FC236}">
                  <a16:creationId xmlns:a16="http://schemas.microsoft.com/office/drawing/2014/main" id="{D28DFB80-C101-9446-5301-6D494B33A364}"/>
                </a:ext>
              </a:extLst>
            </xdr:cNvPr>
            <xdr:cNvSpPr/>
          </xdr:nvSpPr>
          <xdr:spPr>
            <a:xfrm rot="16200000">
              <a:off x="37711475" y="5052053"/>
              <a:ext cx="236220" cy="335293"/>
            </a:xfrm>
            <a:prstGeom prst="corner">
              <a:avLst>
                <a:gd name="adj1" fmla="val 33871"/>
                <a:gd name="adj2" fmla="val 24494"/>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83" name="Graphic 182" descr="Users with solid fill">
              <a:extLst>
                <a:ext uri="{FF2B5EF4-FFF2-40B4-BE49-F238E27FC236}">
                  <a16:creationId xmlns:a16="http://schemas.microsoft.com/office/drawing/2014/main" id="{80A4FF5F-5EFE-5EF9-986B-C494EE40EE15}"/>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8084760" y="3634740"/>
              <a:ext cx="289560" cy="419100"/>
            </a:xfrm>
            <a:prstGeom prst="rect">
              <a:avLst/>
            </a:prstGeom>
          </xdr:spPr>
        </xdr:pic>
        <xdr:pic>
          <xdr:nvPicPr>
            <xdr:cNvPr id="184" name="Graphic 183" descr="Downward trend graph with solid fill">
              <a:extLst>
                <a:ext uri="{FF2B5EF4-FFF2-40B4-BE49-F238E27FC236}">
                  <a16:creationId xmlns:a16="http://schemas.microsoft.com/office/drawing/2014/main" id="{000A5E39-8586-C018-9D8A-23F01CAF24DF}"/>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8054280" y="4137660"/>
              <a:ext cx="350520" cy="388620"/>
            </a:xfrm>
            <a:prstGeom prst="rect">
              <a:avLst/>
            </a:prstGeom>
            <a:effectLst>
              <a:innerShdw blurRad="63500" dist="50800" dir="8100000">
                <a:prstClr val="black">
                  <a:alpha val="50000"/>
                </a:prstClr>
              </a:innerShdw>
            </a:effectLst>
          </xdr:spPr>
        </xdr:pic>
        <xdr:pic>
          <xdr:nvPicPr>
            <xdr:cNvPr id="185" name="Graphic 184" descr="Pie chart with solid fill">
              <a:extLst>
                <a:ext uri="{FF2B5EF4-FFF2-40B4-BE49-F238E27FC236}">
                  <a16:creationId xmlns:a16="http://schemas.microsoft.com/office/drawing/2014/main" id="{D98DAE41-42E7-8889-B658-C7C6F4F10F82}"/>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8067120" y="3266580"/>
              <a:ext cx="330060" cy="330060"/>
            </a:xfrm>
            <a:prstGeom prst="rect">
              <a:avLst/>
            </a:prstGeom>
          </xdr:spPr>
        </xdr:pic>
      </xdr:grpSp>
    </xdr:grpSp>
    <xdr:clientData/>
  </xdr:twoCellAnchor>
  <xdr:twoCellAnchor>
    <xdr:from>
      <xdr:col>51</xdr:col>
      <xdr:colOff>251012</xdr:colOff>
      <xdr:row>23</xdr:row>
      <xdr:rowOff>53787</xdr:rowOff>
    </xdr:from>
    <xdr:to>
      <xdr:col>60</xdr:col>
      <xdr:colOff>80681</xdr:colOff>
      <xdr:row>43</xdr:row>
      <xdr:rowOff>82304</xdr:rowOff>
    </xdr:to>
    <xdr:grpSp>
      <xdr:nvGrpSpPr>
        <xdr:cNvPr id="251" name="Group 250">
          <a:extLst>
            <a:ext uri="{FF2B5EF4-FFF2-40B4-BE49-F238E27FC236}">
              <a16:creationId xmlns:a16="http://schemas.microsoft.com/office/drawing/2014/main" id="{5DDD1F72-5F5A-BC04-F010-C305C8592354}"/>
            </a:ext>
          </a:extLst>
        </xdr:cNvPr>
        <xdr:cNvGrpSpPr/>
      </xdr:nvGrpSpPr>
      <xdr:grpSpPr>
        <a:xfrm>
          <a:off x="31127670" y="4406582"/>
          <a:ext cx="5278490" cy="3786325"/>
          <a:chOff x="31340612" y="4222376"/>
          <a:chExt cx="5316069" cy="3514669"/>
        </a:xfrm>
      </xdr:grpSpPr>
      <xdr:sp macro="" textlink="">
        <xdr:nvSpPr>
          <xdr:cNvPr id="244" name="Rectangle: Rounded Corners 243">
            <a:extLst>
              <a:ext uri="{FF2B5EF4-FFF2-40B4-BE49-F238E27FC236}">
                <a16:creationId xmlns:a16="http://schemas.microsoft.com/office/drawing/2014/main" id="{99FD296E-2D4B-47E3-838D-E6C6BF0453CF}"/>
              </a:ext>
            </a:extLst>
          </xdr:cNvPr>
          <xdr:cNvSpPr/>
        </xdr:nvSpPr>
        <xdr:spPr>
          <a:xfrm>
            <a:off x="31340612" y="4222376"/>
            <a:ext cx="5316069" cy="3514669"/>
          </a:xfrm>
          <a:prstGeom prst="roundRect">
            <a:avLst>
              <a:gd name="adj" fmla="val 904"/>
            </a:avLst>
          </a:prstGeom>
          <a:solidFill>
            <a:srgbClr val="FEFCAA"/>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b="1">
              <a:solidFill>
                <a:srgbClr val="002060"/>
              </a:solidFill>
              <a:latin typeface="Verdana Pro Black" panose="020B0A04030504040204" pitchFamily="34" charset="0"/>
            </a:endParaRPr>
          </a:p>
        </xdr:txBody>
      </xdr:sp>
      <xdr:grpSp>
        <xdr:nvGrpSpPr>
          <xdr:cNvPr id="199" name="Group 198">
            <a:extLst>
              <a:ext uri="{FF2B5EF4-FFF2-40B4-BE49-F238E27FC236}">
                <a16:creationId xmlns:a16="http://schemas.microsoft.com/office/drawing/2014/main" id="{DB08ED17-FDF3-E870-7A78-571C35C52D37}"/>
              </a:ext>
            </a:extLst>
          </xdr:cNvPr>
          <xdr:cNvGrpSpPr/>
        </xdr:nvGrpSpPr>
        <xdr:grpSpPr>
          <a:xfrm>
            <a:off x="32209445" y="4324965"/>
            <a:ext cx="3271785" cy="3324593"/>
            <a:chOff x="38968680" y="1577340"/>
            <a:chExt cx="3002400" cy="3208020"/>
          </a:xfrm>
        </xdr:grpSpPr>
        <xdr:grpSp>
          <xdr:nvGrpSpPr>
            <xdr:cNvPr id="198" name="Group 197">
              <a:extLst>
                <a:ext uri="{FF2B5EF4-FFF2-40B4-BE49-F238E27FC236}">
                  <a16:creationId xmlns:a16="http://schemas.microsoft.com/office/drawing/2014/main" id="{7F05CC78-6BA5-5CE3-0358-E9B0D086A040}"/>
                </a:ext>
              </a:extLst>
            </xdr:cNvPr>
            <xdr:cNvGrpSpPr/>
          </xdr:nvGrpSpPr>
          <xdr:grpSpPr>
            <a:xfrm>
              <a:off x="41521482" y="2583180"/>
              <a:ext cx="449598" cy="609600"/>
              <a:chOff x="41521482" y="2583180"/>
              <a:chExt cx="449598" cy="1524000"/>
            </a:xfrm>
          </xdr:grpSpPr>
          <xdr:sp macro="" textlink="">
            <xdr:nvSpPr>
              <xdr:cNvPr id="189" name="Rectangle: Rounded Corners 188">
                <a:extLst>
                  <a:ext uri="{FF2B5EF4-FFF2-40B4-BE49-F238E27FC236}">
                    <a16:creationId xmlns:a16="http://schemas.microsoft.com/office/drawing/2014/main" id="{9289DF01-480B-E392-089E-0DA37AE5EE28}"/>
                  </a:ext>
                </a:extLst>
              </xdr:cNvPr>
              <xdr:cNvSpPr/>
            </xdr:nvSpPr>
            <xdr:spPr>
              <a:xfrm>
                <a:off x="41574824" y="2635531"/>
                <a:ext cx="396256" cy="1471649"/>
              </a:xfrm>
              <a:prstGeom prst="roundRect">
                <a:avLst>
                  <a:gd name="adj" fmla="val 30769"/>
                </a:avLst>
              </a:prstGeom>
              <a:solidFill>
                <a:schemeClr val="accent2">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0" name="Rectangle: Rounded Corners 189">
                <a:extLst>
                  <a:ext uri="{FF2B5EF4-FFF2-40B4-BE49-F238E27FC236}">
                    <a16:creationId xmlns:a16="http://schemas.microsoft.com/office/drawing/2014/main" id="{260B48D9-1BB9-BBA0-FE64-AFFABCE71B7A}"/>
                  </a:ext>
                </a:extLst>
              </xdr:cNvPr>
              <xdr:cNvSpPr/>
            </xdr:nvSpPr>
            <xdr:spPr>
              <a:xfrm>
                <a:off x="41521482" y="2583180"/>
                <a:ext cx="396256" cy="1471649"/>
              </a:xfrm>
              <a:prstGeom prst="roundRect">
                <a:avLst>
                  <a:gd name="adj" fmla="val 30769"/>
                </a:avLst>
              </a:prstGeom>
              <a:solidFill>
                <a:schemeClr val="accent4">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191" name="Rectangle: Rounded Corners 190">
              <a:extLst>
                <a:ext uri="{FF2B5EF4-FFF2-40B4-BE49-F238E27FC236}">
                  <a16:creationId xmlns:a16="http://schemas.microsoft.com/office/drawing/2014/main" id="{F44CF25F-2DF7-39C8-82E3-526D810B4AED}"/>
                </a:ext>
              </a:extLst>
            </xdr:cNvPr>
            <xdr:cNvSpPr/>
          </xdr:nvSpPr>
          <xdr:spPr>
            <a:xfrm>
              <a:off x="38968680" y="1577340"/>
              <a:ext cx="2491840" cy="3116580"/>
            </a:xfrm>
            <a:prstGeom prst="roundRect">
              <a:avLst>
                <a:gd name="adj" fmla="val 0"/>
              </a:avLst>
            </a:prstGeom>
            <a:solidFill>
              <a:schemeClr val="accent2">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rgbClr val="002060"/>
                </a:solidFill>
                <a:latin typeface="Aptos Display" panose="020B0004020202020204" pitchFamily="34" charset="0"/>
              </a:endParaRPr>
            </a:p>
          </xdr:txBody>
        </xdr:sp>
        <xdr:sp macro="" textlink="">
          <xdr:nvSpPr>
            <xdr:cNvPr id="192" name="Rectangle: Rounded Corners 191">
              <a:extLst>
                <a:ext uri="{FF2B5EF4-FFF2-40B4-BE49-F238E27FC236}">
                  <a16:creationId xmlns:a16="http://schemas.microsoft.com/office/drawing/2014/main" id="{F98BA569-F6FA-22ED-A17F-6C6607E0D86D}"/>
                </a:ext>
              </a:extLst>
            </xdr:cNvPr>
            <xdr:cNvSpPr/>
          </xdr:nvSpPr>
          <xdr:spPr>
            <a:xfrm>
              <a:off x="39075364" y="1668780"/>
              <a:ext cx="2491840" cy="3116580"/>
            </a:xfrm>
            <a:prstGeom prst="roundRect">
              <a:avLst>
                <a:gd name="adj" fmla="val 0"/>
              </a:avLst>
            </a:prstGeom>
            <a:solidFill>
              <a:schemeClr val="accent4">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400" b="1" i="0" u="sng" strike="noStrike">
                <a:solidFill>
                  <a:srgbClr val="002060"/>
                </a:solidFill>
                <a:effectLst/>
                <a:latin typeface="Aptos Display" panose="020B0004020202020204" pitchFamily="34" charset="0"/>
                <a:ea typeface="+mn-ea"/>
                <a:cs typeface="+mn-cs"/>
              </a:endParaRPr>
            </a:p>
            <a:p>
              <a:pPr algn="ctr"/>
              <a:r>
                <a:rPr lang="en-IN" sz="1400" b="1" i="0" u="sng" strike="noStrike" baseline="0">
                  <a:solidFill>
                    <a:srgbClr val="002060"/>
                  </a:solidFill>
                  <a:effectLst/>
                  <a:latin typeface="Aptos Display" panose="020B0004020202020204" pitchFamily="34" charset="0"/>
                  <a:ea typeface="+mn-ea"/>
                  <a:cs typeface="+mn-cs"/>
                </a:rPr>
                <a:t>DEAL WISE </a:t>
              </a:r>
              <a:r>
                <a:rPr lang="en-IN" sz="1400" b="1" i="0" u="sng" strike="noStrike">
                  <a:solidFill>
                    <a:srgbClr val="002060"/>
                  </a:solidFill>
                  <a:effectLst/>
                  <a:latin typeface="Aptos Display" panose="020B0004020202020204" pitchFamily="34" charset="0"/>
                  <a:ea typeface="+mn-ea"/>
                  <a:cs typeface="+mn-cs"/>
                </a:rPr>
                <a:t>SALES </a:t>
              </a:r>
              <a:br>
                <a:rPr lang="en-IN" sz="1400" b="1" i="0" u="sng" strike="noStrike">
                  <a:solidFill>
                    <a:srgbClr val="002060"/>
                  </a:solidFill>
                  <a:effectLst/>
                  <a:latin typeface="Aptos Display" panose="020B0004020202020204" pitchFamily="34" charset="0"/>
                  <a:ea typeface="+mn-ea"/>
                  <a:cs typeface="+mn-cs"/>
                </a:rPr>
              </a:br>
              <a:r>
                <a:rPr lang="en-IN" sz="1400" b="1" i="0" u="sng" strike="noStrike">
                  <a:solidFill>
                    <a:srgbClr val="002060"/>
                  </a:solidFill>
                  <a:effectLst/>
                  <a:latin typeface="Aptos Display" panose="020B0004020202020204" pitchFamily="34" charset="0"/>
                  <a:ea typeface="+mn-ea"/>
                  <a:cs typeface="+mn-cs"/>
                </a:rPr>
                <a:t>INSIGHTS</a:t>
              </a:r>
            </a:p>
            <a:p>
              <a:pPr algn="l"/>
              <a:endParaRPr lang="en-IN" sz="1200" b="1" i="0" u="none" strike="noStrike">
                <a:solidFill>
                  <a:srgbClr val="002060"/>
                </a:solidFill>
                <a:effectLst/>
                <a:latin typeface="Aptos Display" panose="020B0004020202020204" pitchFamily="34" charset="0"/>
                <a:ea typeface="+mn-ea"/>
                <a:cs typeface="+mn-cs"/>
              </a:endParaRPr>
            </a:p>
            <a:p>
              <a:pPr algn="l"/>
              <a:endParaRPr lang="en-IN" sz="1200" b="1" i="0" u="none" strike="noStrike">
                <a:solidFill>
                  <a:srgbClr val="002060"/>
                </a:solidFill>
                <a:effectLst/>
                <a:latin typeface="Aptos Display" panose="020B0004020202020204" pitchFamily="34" charset="0"/>
                <a:ea typeface="+mn-ea"/>
                <a:cs typeface="+mn-cs"/>
              </a:endParaRPr>
            </a:p>
            <a:p>
              <a:pPr algn="l"/>
              <a:r>
                <a:rPr lang="en-IN" sz="1200" b="1" i="0" u="none" strike="noStrike">
                  <a:solidFill>
                    <a:srgbClr val="002060"/>
                  </a:solidFill>
                  <a:effectLst/>
                  <a:latin typeface="Aptos Display" panose="020B0004020202020204" pitchFamily="34" charset="0"/>
                  <a:ea typeface="+mn-ea"/>
                  <a:cs typeface="+mn-cs"/>
                </a:rPr>
                <a:t>1. </a:t>
              </a:r>
              <a:r>
                <a:rPr lang="en-IN" sz="1200" b="0" i="0" u="none" strike="noStrike">
                  <a:solidFill>
                    <a:srgbClr val="002060"/>
                  </a:solidFill>
                  <a:effectLst/>
                  <a:latin typeface="Aptos Display" panose="020B0004020202020204" pitchFamily="34" charset="0"/>
                  <a:ea typeface="+mn-ea"/>
                  <a:cs typeface="+mn-cs"/>
                </a:rPr>
                <a:t>Almost All Business Runs On </a:t>
              </a:r>
              <a:r>
                <a:rPr lang="en-IN" sz="1200" b="1" i="0" u="none" strike="noStrike">
                  <a:solidFill>
                    <a:srgbClr val="002060"/>
                  </a:solidFill>
                  <a:effectLst/>
                  <a:latin typeface="Aptos Display" panose="020B0004020202020204" pitchFamily="34" charset="0"/>
                  <a:ea typeface="+mn-ea"/>
                  <a:cs typeface="+mn-cs"/>
                </a:rPr>
                <a:t>Small Deal Size</a:t>
              </a:r>
              <a:endParaRPr lang="en-IN" sz="1200" b="1" i="1" u="none" strike="noStrike">
                <a:solidFill>
                  <a:srgbClr val="002060"/>
                </a:solidFill>
                <a:effectLst/>
                <a:latin typeface="Aptos Display" panose="020B0004020202020204" pitchFamily="34" charset="0"/>
                <a:ea typeface="+mn-ea"/>
                <a:cs typeface="+mn-cs"/>
              </a:endParaRPr>
            </a:p>
          </xdr:txBody>
        </xdr:sp>
        <xdr:sp macro="" textlink="">
          <xdr:nvSpPr>
            <xdr:cNvPr id="193" name="L-Shape 192">
              <a:extLst>
                <a:ext uri="{FF2B5EF4-FFF2-40B4-BE49-F238E27FC236}">
                  <a16:creationId xmlns:a16="http://schemas.microsoft.com/office/drawing/2014/main" id="{5F1A4F28-2C40-9C2B-680A-2BCC7BCD7F20}"/>
                </a:ext>
              </a:extLst>
            </xdr:cNvPr>
            <xdr:cNvSpPr/>
          </xdr:nvSpPr>
          <xdr:spPr>
            <a:xfrm rot="5400000">
              <a:off x="39174433" y="1676393"/>
              <a:ext cx="236220" cy="335293"/>
            </a:xfrm>
            <a:prstGeom prst="corner">
              <a:avLst>
                <a:gd name="adj1" fmla="val 33871"/>
                <a:gd name="adj2" fmla="val 24494"/>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4" name="L-Shape 193">
              <a:extLst>
                <a:ext uri="{FF2B5EF4-FFF2-40B4-BE49-F238E27FC236}">
                  <a16:creationId xmlns:a16="http://schemas.microsoft.com/office/drawing/2014/main" id="{4ECD0E81-52E7-CA37-3743-134B41E129D5}"/>
                </a:ext>
              </a:extLst>
            </xdr:cNvPr>
            <xdr:cNvSpPr/>
          </xdr:nvSpPr>
          <xdr:spPr>
            <a:xfrm rot="16200000">
              <a:off x="41224295" y="4434833"/>
              <a:ext cx="236220" cy="335293"/>
            </a:xfrm>
            <a:prstGeom prst="corner">
              <a:avLst>
                <a:gd name="adj1" fmla="val 33871"/>
                <a:gd name="adj2" fmla="val 24494"/>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97" name="Graphic 196" descr="Pie chart with solid fill">
              <a:extLst>
                <a:ext uri="{FF2B5EF4-FFF2-40B4-BE49-F238E27FC236}">
                  <a16:creationId xmlns:a16="http://schemas.microsoft.com/office/drawing/2014/main" id="{1E4B1AF9-3433-AC4D-20CB-19DB1B76A728}"/>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41579940" y="2717940"/>
              <a:ext cx="330060" cy="330060"/>
            </a:xfrm>
            <a:prstGeom prst="rect">
              <a:avLst/>
            </a:prstGeom>
          </xdr:spPr>
        </xdr:pic>
      </xdr:grpSp>
    </xdr:grpSp>
    <xdr:clientData/>
  </xdr:twoCellAnchor>
  <xdr:twoCellAnchor editAs="oneCell">
    <xdr:from>
      <xdr:col>93</xdr:col>
      <xdr:colOff>373380</xdr:colOff>
      <xdr:row>13</xdr:row>
      <xdr:rowOff>0</xdr:rowOff>
    </xdr:from>
    <xdr:to>
      <xdr:col>95</xdr:col>
      <xdr:colOff>68581</xdr:colOff>
      <xdr:row>18</xdr:row>
      <xdr:rowOff>16933</xdr:rowOff>
    </xdr:to>
    <xdr:pic>
      <xdr:nvPicPr>
        <xdr:cNvPr id="203" name="Graphic 202" descr="Bar graph with upward trend with solid fill">
          <a:extLst>
            <a:ext uri="{FF2B5EF4-FFF2-40B4-BE49-F238E27FC236}">
              <a16:creationId xmlns:a16="http://schemas.microsoft.com/office/drawing/2014/main" id="{08E86C3C-4B34-42AA-A3DA-AB84D2336D10}"/>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56677873" y="2473890"/>
          <a:ext cx="906050" cy="939452"/>
        </a:xfrm>
        <a:prstGeom prst="rect">
          <a:avLst/>
        </a:prstGeom>
      </xdr:spPr>
    </xdr:pic>
    <xdr:clientData/>
  </xdr:twoCellAnchor>
  <xdr:twoCellAnchor>
    <xdr:from>
      <xdr:col>62</xdr:col>
      <xdr:colOff>220132</xdr:colOff>
      <xdr:row>0</xdr:row>
      <xdr:rowOff>118532</xdr:rowOff>
    </xdr:from>
    <xdr:to>
      <xdr:col>80</xdr:col>
      <xdr:colOff>242047</xdr:colOff>
      <xdr:row>2</xdr:row>
      <xdr:rowOff>110067</xdr:rowOff>
    </xdr:to>
    <xdr:sp macro="" textlink="">
      <xdr:nvSpPr>
        <xdr:cNvPr id="72" name="Rectangle: Rounded Corners 71">
          <a:extLst>
            <a:ext uri="{FF2B5EF4-FFF2-40B4-BE49-F238E27FC236}">
              <a16:creationId xmlns:a16="http://schemas.microsoft.com/office/drawing/2014/main" id="{652A4B89-EEE9-47CF-BF5C-A42F599CC1E9}"/>
            </a:ext>
          </a:extLst>
        </xdr:cNvPr>
        <xdr:cNvSpPr/>
      </xdr:nvSpPr>
      <xdr:spPr>
        <a:xfrm>
          <a:off x="38015332" y="118532"/>
          <a:ext cx="10994715" cy="394947"/>
        </a:xfrm>
        <a:prstGeom prst="roundRect">
          <a:avLst>
            <a:gd name="adj" fmla="val 12500"/>
          </a:avLst>
        </a:prstGeom>
        <a:solidFill>
          <a:srgbClr val="FEFCAA"/>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002060"/>
              </a:solidFill>
              <a:latin typeface="Verdana Pro Black" panose="020B0A04030504040204" pitchFamily="34" charset="0"/>
            </a:rPr>
            <a:t>NOTES</a:t>
          </a:r>
          <a:endParaRPr lang="en-IN" sz="1400" b="1">
            <a:solidFill>
              <a:srgbClr val="002060"/>
            </a:solidFill>
            <a:latin typeface="Verdana Pro Black" panose="020B0A04030504040204" pitchFamily="34" charset="0"/>
          </a:endParaRPr>
        </a:p>
      </xdr:txBody>
    </xdr:sp>
    <xdr:clientData/>
  </xdr:twoCellAnchor>
  <xdr:twoCellAnchor>
    <xdr:from>
      <xdr:col>62</xdr:col>
      <xdr:colOff>221562</xdr:colOff>
      <xdr:row>3</xdr:row>
      <xdr:rowOff>8465</xdr:rowOff>
    </xdr:from>
    <xdr:to>
      <xdr:col>70</xdr:col>
      <xdr:colOff>546847</xdr:colOff>
      <xdr:row>22</xdr:row>
      <xdr:rowOff>107576</xdr:rowOff>
    </xdr:to>
    <xdr:grpSp>
      <xdr:nvGrpSpPr>
        <xdr:cNvPr id="74" name="Group 73">
          <a:extLst>
            <a:ext uri="{FF2B5EF4-FFF2-40B4-BE49-F238E27FC236}">
              <a16:creationId xmlns:a16="http://schemas.microsoft.com/office/drawing/2014/main" id="{1CF95CEA-6B92-4C87-B058-512714ED6CA3}"/>
            </a:ext>
          </a:extLst>
        </xdr:cNvPr>
        <xdr:cNvGrpSpPr/>
      </xdr:nvGrpSpPr>
      <xdr:grpSpPr>
        <a:xfrm>
          <a:off x="37757891" y="603451"/>
          <a:ext cx="5168682" cy="3669029"/>
          <a:chOff x="20338362" y="591171"/>
          <a:chExt cx="5202085" cy="3505699"/>
        </a:xfrm>
      </xdr:grpSpPr>
      <xdr:sp macro="" textlink="">
        <xdr:nvSpPr>
          <xdr:cNvPr id="75" name="Rectangle: Rounded Corners 74">
            <a:extLst>
              <a:ext uri="{FF2B5EF4-FFF2-40B4-BE49-F238E27FC236}">
                <a16:creationId xmlns:a16="http://schemas.microsoft.com/office/drawing/2014/main" id="{3B062FD9-578C-A478-BC47-9289DA6E416B}"/>
              </a:ext>
            </a:extLst>
          </xdr:cNvPr>
          <xdr:cNvSpPr/>
        </xdr:nvSpPr>
        <xdr:spPr>
          <a:xfrm>
            <a:off x="20338362" y="591171"/>
            <a:ext cx="5202085" cy="3505699"/>
          </a:xfrm>
          <a:prstGeom prst="roundRect">
            <a:avLst>
              <a:gd name="adj" fmla="val 904"/>
            </a:avLst>
          </a:prstGeom>
          <a:solidFill>
            <a:srgbClr val="FEFCAA"/>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b="1">
              <a:solidFill>
                <a:srgbClr val="002060"/>
              </a:solidFill>
              <a:latin typeface="Verdana Pro Black" panose="020B0A04030504040204" pitchFamily="34" charset="0"/>
            </a:endParaRPr>
          </a:p>
        </xdr:txBody>
      </xdr:sp>
      <xdr:grpSp>
        <xdr:nvGrpSpPr>
          <xdr:cNvPr id="77" name="Group 76">
            <a:extLst>
              <a:ext uri="{FF2B5EF4-FFF2-40B4-BE49-F238E27FC236}">
                <a16:creationId xmlns:a16="http://schemas.microsoft.com/office/drawing/2014/main" id="{36AF71A9-6794-ED3B-90E7-19ED340863D0}"/>
              </a:ext>
            </a:extLst>
          </xdr:cNvPr>
          <xdr:cNvGrpSpPr/>
        </xdr:nvGrpSpPr>
        <xdr:grpSpPr>
          <a:xfrm>
            <a:off x="21678861" y="681837"/>
            <a:ext cx="2947185" cy="3337855"/>
            <a:chOff x="23461980" y="2910840"/>
            <a:chExt cx="3002280" cy="3208020"/>
          </a:xfrm>
        </xdr:grpSpPr>
        <xdr:sp macro="" textlink="">
          <xdr:nvSpPr>
            <xdr:cNvPr id="82" name="Rectangle: Rounded Corners 81">
              <a:extLst>
                <a:ext uri="{FF2B5EF4-FFF2-40B4-BE49-F238E27FC236}">
                  <a16:creationId xmlns:a16="http://schemas.microsoft.com/office/drawing/2014/main" id="{75C9417F-40E8-5C00-56F0-328D69A8035B}"/>
                </a:ext>
              </a:extLst>
            </xdr:cNvPr>
            <xdr:cNvSpPr/>
          </xdr:nvSpPr>
          <xdr:spPr>
            <a:xfrm>
              <a:off x="26068020" y="3799392"/>
              <a:ext cx="396240" cy="911693"/>
            </a:xfrm>
            <a:prstGeom prst="roundRect">
              <a:avLst>
                <a:gd name="adj" fmla="val 30769"/>
              </a:avLst>
            </a:prstGeom>
            <a:solidFill>
              <a:schemeClr val="accent2">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3" name="Rectangle: Rounded Corners 82">
              <a:extLst>
                <a:ext uri="{FF2B5EF4-FFF2-40B4-BE49-F238E27FC236}">
                  <a16:creationId xmlns:a16="http://schemas.microsoft.com/office/drawing/2014/main" id="{5DE2E19B-2109-E6E7-E3EE-9C16B924AEC8}"/>
                </a:ext>
              </a:extLst>
            </xdr:cNvPr>
            <xdr:cNvSpPr/>
          </xdr:nvSpPr>
          <xdr:spPr>
            <a:xfrm>
              <a:off x="26014680" y="3730812"/>
              <a:ext cx="396240" cy="911693"/>
            </a:xfrm>
            <a:prstGeom prst="roundRect">
              <a:avLst>
                <a:gd name="adj" fmla="val 30769"/>
              </a:avLst>
            </a:prstGeom>
            <a:solidFill>
              <a:schemeClr val="accent4">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4" name="Rectangle: Rounded Corners 83">
              <a:extLst>
                <a:ext uri="{FF2B5EF4-FFF2-40B4-BE49-F238E27FC236}">
                  <a16:creationId xmlns:a16="http://schemas.microsoft.com/office/drawing/2014/main" id="{91144F23-9CD5-8E10-08DE-96760FC6563D}"/>
                </a:ext>
              </a:extLst>
            </xdr:cNvPr>
            <xdr:cNvSpPr/>
          </xdr:nvSpPr>
          <xdr:spPr>
            <a:xfrm>
              <a:off x="23461980" y="2910840"/>
              <a:ext cx="2491740" cy="3116580"/>
            </a:xfrm>
            <a:prstGeom prst="roundRect">
              <a:avLst>
                <a:gd name="adj" fmla="val 0"/>
              </a:avLst>
            </a:prstGeom>
            <a:solidFill>
              <a:schemeClr val="accent2">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rgbClr val="002060"/>
                </a:solidFill>
                <a:latin typeface="Aptos Display" panose="020B0004020202020204" pitchFamily="34" charset="0"/>
              </a:endParaRPr>
            </a:p>
          </xdr:txBody>
        </xdr:sp>
        <xdr:sp macro="" textlink="">
          <xdr:nvSpPr>
            <xdr:cNvPr id="85" name="Rectangle: Rounded Corners 84">
              <a:extLst>
                <a:ext uri="{FF2B5EF4-FFF2-40B4-BE49-F238E27FC236}">
                  <a16:creationId xmlns:a16="http://schemas.microsoft.com/office/drawing/2014/main" id="{6F2D2E7F-2D3F-EF24-2FF9-0BFC3B1509D5}"/>
                </a:ext>
              </a:extLst>
            </xdr:cNvPr>
            <xdr:cNvSpPr/>
          </xdr:nvSpPr>
          <xdr:spPr>
            <a:xfrm>
              <a:off x="23568660" y="3002280"/>
              <a:ext cx="2491740" cy="3116580"/>
            </a:xfrm>
            <a:prstGeom prst="roundRect">
              <a:avLst>
                <a:gd name="adj" fmla="val 0"/>
              </a:avLst>
            </a:prstGeom>
            <a:solidFill>
              <a:schemeClr val="accent4">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400" b="1" i="0" u="sng" strike="noStrike">
                <a:solidFill>
                  <a:srgbClr val="002060"/>
                </a:solidFill>
                <a:effectLst/>
                <a:latin typeface="Aptos Display" panose="020B0004020202020204" pitchFamily="34" charset="0"/>
                <a:ea typeface="+mn-ea"/>
                <a:cs typeface="+mn-cs"/>
              </a:endParaRPr>
            </a:p>
            <a:p>
              <a:pPr algn="ctr"/>
              <a:r>
                <a:rPr lang="en-IN" sz="1400" b="1" i="0" u="sng" strike="noStrike">
                  <a:solidFill>
                    <a:srgbClr val="002060"/>
                  </a:solidFill>
                  <a:effectLst/>
                  <a:latin typeface="Aptos Display" panose="020B0004020202020204" pitchFamily="34" charset="0"/>
                  <a:ea typeface="+mn-ea"/>
                  <a:cs typeface="+mn-cs"/>
                </a:rPr>
                <a:t>RETURN INSIGHTS</a:t>
              </a:r>
            </a:p>
            <a:p>
              <a:pPr algn="l"/>
              <a:endParaRPr lang="en-IN" sz="1200" b="1" i="0" u="none" strike="noStrike">
                <a:solidFill>
                  <a:srgbClr val="002060"/>
                </a:solidFill>
                <a:effectLst/>
                <a:latin typeface="Aptos Display" panose="020B0004020202020204" pitchFamily="34" charset="0"/>
                <a:ea typeface="+mn-ea"/>
                <a:cs typeface="+mn-cs"/>
              </a:endParaRPr>
            </a:p>
            <a:p>
              <a:pPr algn="l"/>
              <a:endParaRPr lang="en-IN" sz="1200" b="1" i="0" u="none" strike="noStrike">
                <a:solidFill>
                  <a:srgbClr val="002060"/>
                </a:solidFill>
                <a:effectLst/>
                <a:latin typeface="Aptos Display" panose="020B0004020202020204" pitchFamily="34" charset="0"/>
                <a:ea typeface="+mn-ea"/>
                <a:cs typeface="+mn-cs"/>
              </a:endParaRPr>
            </a:p>
            <a:p>
              <a:pPr algn="l"/>
              <a:r>
                <a:rPr lang="en-IN" sz="1200" b="1" i="0" u="none" strike="noStrike">
                  <a:solidFill>
                    <a:srgbClr val="002060"/>
                  </a:solidFill>
                  <a:effectLst/>
                  <a:latin typeface="Aptos Display" panose="020B0004020202020204" pitchFamily="34" charset="0"/>
                  <a:ea typeface="+mn-ea"/>
                  <a:cs typeface="+mn-cs"/>
                </a:rPr>
                <a:t>1. </a:t>
              </a:r>
              <a:r>
                <a:rPr lang="en-IN" sz="1200" b="1" i="1" u="none" strike="noStrike">
                  <a:solidFill>
                    <a:srgbClr val="002060"/>
                  </a:solidFill>
                  <a:effectLst/>
                  <a:latin typeface="Aptos Display" panose="020B0004020202020204" pitchFamily="34" charset="0"/>
                  <a:ea typeface="+mn-ea"/>
                  <a:cs typeface="+mn-cs"/>
                </a:rPr>
                <a:t>60% </a:t>
              </a:r>
              <a:r>
                <a:rPr lang="en-IN" sz="1200" b="0" i="1" u="none" strike="noStrike">
                  <a:solidFill>
                    <a:srgbClr val="002060"/>
                  </a:solidFill>
                  <a:effectLst/>
                  <a:latin typeface="Aptos Display" panose="020B0004020202020204" pitchFamily="34" charset="0"/>
                  <a:ea typeface="+mn-ea"/>
                  <a:cs typeface="+mn-cs"/>
                </a:rPr>
                <a:t>Of Returns Happen In </a:t>
              </a:r>
              <a:r>
                <a:rPr lang="en-IN" sz="1200" b="1" i="1" u="none" strike="noStrike">
                  <a:solidFill>
                    <a:srgbClr val="002060"/>
                  </a:solidFill>
                  <a:effectLst/>
                  <a:latin typeface="Aptos Display" panose="020B0004020202020204" pitchFamily="34" charset="0"/>
                  <a:ea typeface="+mn-ea"/>
                  <a:cs typeface="+mn-cs"/>
                </a:rPr>
                <a:t>2005 </a:t>
              </a:r>
              <a:br>
                <a:rPr lang="en-IN" sz="1200" b="1" i="0" u="none" strike="noStrike">
                  <a:solidFill>
                    <a:srgbClr val="002060"/>
                  </a:solidFill>
                  <a:effectLst/>
                  <a:latin typeface="Aptos Display" panose="020B0004020202020204" pitchFamily="34" charset="0"/>
                  <a:ea typeface="+mn-ea"/>
                  <a:cs typeface="+mn-cs"/>
                </a:rPr>
              </a:br>
              <a:r>
                <a:rPr lang="en-IN" sz="1200" b="1">
                  <a:solidFill>
                    <a:srgbClr val="002060"/>
                  </a:solidFill>
                  <a:latin typeface="Aptos Display" panose="020B0004020202020204" pitchFamily="34" charset="0"/>
                </a:rPr>
                <a:t> </a:t>
              </a:r>
              <a:br>
                <a:rPr lang="en-IN" sz="1200" b="1">
                  <a:solidFill>
                    <a:srgbClr val="002060"/>
                  </a:solidFill>
                  <a:latin typeface="Aptos Display" panose="020B0004020202020204" pitchFamily="34" charset="0"/>
                </a:rPr>
              </a:br>
              <a:r>
                <a:rPr lang="en-IN" sz="1200" b="1">
                  <a:solidFill>
                    <a:srgbClr val="002060"/>
                  </a:solidFill>
                  <a:latin typeface="Aptos Display" panose="020B0004020202020204" pitchFamily="34" charset="0"/>
                </a:rPr>
                <a:t>2. </a:t>
              </a:r>
              <a:r>
                <a:rPr lang="en-IN" sz="1200" b="0">
                  <a:solidFill>
                    <a:srgbClr val="002060"/>
                  </a:solidFill>
                  <a:latin typeface="Aptos Display" panose="020B0004020202020204" pitchFamily="34" charset="0"/>
                </a:rPr>
                <a:t>Returns Rate Have </a:t>
              </a:r>
              <a:r>
                <a:rPr lang="en-IN" sz="1200" b="1">
                  <a:solidFill>
                    <a:srgbClr val="002060"/>
                  </a:solidFill>
                  <a:latin typeface="Aptos Display" panose="020B0004020202020204" pitchFamily="34" charset="0"/>
                </a:rPr>
                <a:t>Increased </a:t>
              </a:r>
              <a:r>
                <a:rPr lang="en-IN" sz="1200" b="0">
                  <a:solidFill>
                    <a:srgbClr val="002060"/>
                  </a:solidFill>
                  <a:latin typeface="Aptos Display" panose="020B0004020202020204" pitchFamily="34" charset="0"/>
                </a:rPr>
                <a:t>Positively</a:t>
              </a:r>
              <a:r>
                <a:rPr lang="en-IN" sz="1200" b="1">
                  <a:solidFill>
                    <a:srgbClr val="002060"/>
                  </a:solidFill>
                  <a:latin typeface="Aptos Display" panose="020B0004020202020204" pitchFamily="34" charset="0"/>
                </a:rPr>
                <a:t> By CAGR 127% </a:t>
              </a:r>
              <a:endParaRPr lang="en-IN" sz="1400" b="0">
                <a:solidFill>
                  <a:srgbClr val="002060"/>
                </a:solidFill>
                <a:latin typeface="Aptos Display" panose="020B0004020202020204" pitchFamily="34" charset="0"/>
              </a:endParaRPr>
            </a:p>
          </xdr:txBody>
        </xdr:sp>
        <xdr:sp macro="" textlink="">
          <xdr:nvSpPr>
            <xdr:cNvPr id="88" name="L-Shape 87">
              <a:extLst>
                <a:ext uri="{FF2B5EF4-FFF2-40B4-BE49-F238E27FC236}">
                  <a16:creationId xmlns:a16="http://schemas.microsoft.com/office/drawing/2014/main" id="{4AADA883-DA43-FBB6-7AFD-22F48DE01483}"/>
                </a:ext>
              </a:extLst>
            </xdr:cNvPr>
            <xdr:cNvSpPr/>
          </xdr:nvSpPr>
          <xdr:spPr>
            <a:xfrm rot="5400000">
              <a:off x="23667720" y="3009900"/>
              <a:ext cx="236220" cy="335280"/>
            </a:xfrm>
            <a:prstGeom prst="corner">
              <a:avLst>
                <a:gd name="adj1" fmla="val 33871"/>
                <a:gd name="adj2" fmla="val 24494"/>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9" name="Arrow: Down 88">
              <a:extLst>
                <a:ext uri="{FF2B5EF4-FFF2-40B4-BE49-F238E27FC236}">
                  <a16:creationId xmlns:a16="http://schemas.microsoft.com/office/drawing/2014/main" id="{2BB80D3D-B08B-D5E0-EBA2-DEDA2A753111}"/>
                </a:ext>
              </a:extLst>
            </xdr:cNvPr>
            <xdr:cNvSpPr/>
          </xdr:nvSpPr>
          <xdr:spPr>
            <a:xfrm rot="10800000">
              <a:off x="26121360" y="3789432"/>
              <a:ext cx="175260" cy="266700"/>
            </a:xfrm>
            <a:prstGeom prst="downArrow">
              <a:avLst/>
            </a:prstGeom>
            <a:solidFill>
              <a:srgbClr val="FF0000"/>
            </a:solidFill>
            <a:ln w="3175">
              <a:solidFill>
                <a:srgbClr val="002060"/>
              </a:solidFill>
            </a:ln>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2" name="L-Shape 91">
              <a:extLst>
                <a:ext uri="{FF2B5EF4-FFF2-40B4-BE49-F238E27FC236}">
                  <a16:creationId xmlns:a16="http://schemas.microsoft.com/office/drawing/2014/main" id="{05786ABC-7B10-6C3F-7233-7C6BF01495BD}"/>
                </a:ext>
              </a:extLst>
            </xdr:cNvPr>
            <xdr:cNvSpPr/>
          </xdr:nvSpPr>
          <xdr:spPr>
            <a:xfrm rot="16200000">
              <a:off x="25717500" y="5768340"/>
              <a:ext cx="236220" cy="335280"/>
            </a:xfrm>
            <a:prstGeom prst="corner">
              <a:avLst>
                <a:gd name="adj1" fmla="val 33871"/>
                <a:gd name="adj2" fmla="val 24494"/>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clientData/>
  </xdr:twoCellAnchor>
  <xdr:twoCellAnchor>
    <xdr:from>
      <xdr:col>71</xdr:col>
      <xdr:colOff>89646</xdr:colOff>
      <xdr:row>3</xdr:row>
      <xdr:rowOff>8466</xdr:rowOff>
    </xdr:from>
    <xdr:to>
      <xdr:col>80</xdr:col>
      <xdr:colOff>233082</xdr:colOff>
      <xdr:row>22</xdr:row>
      <xdr:rowOff>108278</xdr:rowOff>
    </xdr:to>
    <xdr:sp macro="" textlink="">
      <xdr:nvSpPr>
        <xdr:cNvPr id="95" name="Rectangle: Rounded Corners 94">
          <a:extLst>
            <a:ext uri="{FF2B5EF4-FFF2-40B4-BE49-F238E27FC236}">
              <a16:creationId xmlns:a16="http://schemas.microsoft.com/office/drawing/2014/main" id="{6A0469E9-F476-C814-83AB-F2BA52D080C7}"/>
            </a:ext>
          </a:extLst>
        </xdr:cNvPr>
        <xdr:cNvSpPr/>
      </xdr:nvSpPr>
      <xdr:spPr>
        <a:xfrm>
          <a:off x="43371246" y="591172"/>
          <a:ext cx="5629836" cy="3506400"/>
        </a:xfrm>
        <a:prstGeom prst="roundRect">
          <a:avLst>
            <a:gd name="adj" fmla="val 904"/>
          </a:avLst>
        </a:prstGeom>
        <a:solidFill>
          <a:srgbClr val="FEFCAA"/>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b="1">
            <a:solidFill>
              <a:srgbClr val="002060"/>
            </a:solidFill>
            <a:latin typeface="Verdana Pro Black" panose="020B0A04030504040204" pitchFamily="34" charset="0"/>
          </a:endParaRPr>
        </a:p>
      </xdr:txBody>
    </xdr:sp>
    <xdr:clientData/>
  </xdr:twoCellAnchor>
  <xdr:twoCellAnchor>
    <xdr:from>
      <xdr:col>72</xdr:col>
      <xdr:colOff>25085</xdr:colOff>
      <xdr:row>3</xdr:row>
      <xdr:rowOff>99151</xdr:rowOff>
    </xdr:from>
    <xdr:to>
      <xdr:col>77</xdr:col>
      <xdr:colOff>215153</xdr:colOff>
      <xdr:row>22</xdr:row>
      <xdr:rowOff>31086</xdr:rowOff>
    </xdr:to>
    <xdr:grpSp>
      <xdr:nvGrpSpPr>
        <xdr:cNvPr id="101" name="Group 100">
          <a:extLst>
            <a:ext uri="{FF2B5EF4-FFF2-40B4-BE49-F238E27FC236}">
              <a16:creationId xmlns:a16="http://schemas.microsoft.com/office/drawing/2014/main" id="{532B2354-EE53-892D-A6ED-41163784FF1C}"/>
            </a:ext>
          </a:extLst>
        </xdr:cNvPr>
        <xdr:cNvGrpSpPr/>
      </xdr:nvGrpSpPr>
      <xdr:grpSpPr>
        <a:xfrm>
          <a:off x="43615660" y="694137"/>
          <a:ext cx="3217192" cy="3501853"/>
          <a:chOff x="24086820" y="563880"/>
          <a:chExt cx="3002400" cy="3208020"/>
        </a:xfrm>
      </xdr:grpSpPr>
      <xdr:sp macro="" textlink="">
        <xdr:nvSpPr>
          <xdr:cNvPr id="102" name="Rectangle: Rounded Corners 101">
            <a:extLst>
              <a:ext uri="{FF2B5EF4-FFF2-40B4-BE49-F238E27FC236}">
                <a16:creationId xmlns:a16="http://schemas.microsoft.com/office/drawing/2014/main" id="{22CE6D1A-01A2-FDC5-A5BC-E24237A16143}"/>
              </a:ext>
            </a:extLst>
          </xdr:cNvPr>
          <xdr:cNvSpPr/>
        </xdr:nvSpPr>
        <xdr:spPr>
          <a:xfrm>
            <a:off x="26692964" y="1662812"/>
            <a:ext cx="396256" cy="855988"/>
          </a:xfrm>
          <a:prstGeom prst="roundRect">
            <a:avLst>
              <a:gd name="adj" fmla="val 30769"/>
            </a:avLst>
          </a:prstGeom>
          <a:solidFill>
            <a:schemeClr val="accent2">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3" name="Rectangle: Rounded Corners 102">
            <a:extLst>
              <a:ext uri="{FF2B5EF4-FFF2-40B4-BE49-F238E27FC236}">
                <a16:creationId xmlns:a16="http://schemas.microsoft.com/office/drawing/2014/main" id="{4C8FB3D1-0A13-23B1-D1FB-3C54CF7F83D2}"/>
              </a:ext>
            </a:extLst>
          </xdr:cNvPr>
          <xdr:cNvSpPr/>
        </xdr:nvSpPr>
        <xdr:spPr>
          <a:xfrm>
            <a:off x="26639622" y="1594235"/>
            <a:ext cx="396256" cy="855988"/>
          </a:xfrm>
          <a:prstGeom prst="roundRect">
            <a:avLst>
              <a:gd name="adj" fmla="val 30769"/>
            </a:avLst>
          </a:prstGeom>
          <a:solidFill>
            <a:schemeClr val="accent4">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5" name="Rectangle: Rounded Corners 104">
            <a:extLst>
              <a:ext uri="{FF2B5EF4-FFF2-40B4-BE49-F238E27FC236}">
                <a16:creationId xmlns:a16="http://schemas.microsoft.com/office/drawing/2014/main" id="{C564D8B1-2346-2051-637B-7D88B14477E5}"/>
              </a:ext>
            </a:extLst>
          </xdr:cNvPr>
          <xdr:cNvSpPr/>
        </xdr:nvSpPr>
        <xdr:spPr>
          <a:xfrm>
            <a:off x="24086820" y="563880"/>
            <a:ext cx="2491840" cy="3116580"/>
          </a:xfrm>
          <a:prstGeom prst="roundRect">
            <a:avLst>
              <a:gd name="adj" fmla="val 0"/>
            </a:avLst>
          </a:prstGeom>
          <a:solidFill>
            <a:schemeClr val="accent2">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rgbClr val="002060"/>
              </a:solidFill>
              <a:latin typeface="Aptos Display" panose="020B0004020202020204" pitchFamily="34" charset="0"/>
            </a:endParaRPr>
          </a:p>
        </xdr:txBody>
      </xdr:sp>
      <xdr:sp macro="" textlink="">
        <xdr:nvSpPr>
          <xdr:cNvPr id="106" name="Rectangle: Rounded Corners 105">
            <a:extLst>
              <a:ext uri="{FF2B5EF4-FFF2-40B4-BE49-F238E27FC236}">
                <a16:creationId xmlns:a16="http://schemas.microsoft.com/office/drawing/2014/main" id="{7EF6602F-606B-AEFD-AD20-B57F8429C666}"/>
              </a:ext>
            </a:extLst>
          </xdr:cNvPr>
          <xdr:cNvSpPr/>
        </xdr:nvSpPr>
        <xdr:spPr>
          <a:xfrm>
            <a:off x="24193504" y="655320"/>
            <a:ext cx="2491840" cy="3116580"/>
          </a:xfrm>
          <a:prstGeom prst="roundRect">
            <a:avLst>
              <a:gd name="adj" fmla="val 0"/>
            </a:avLst>
          </a:prstGeom>
          <a:solidFill>
            <a:schemeClr val="accent4">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400" b="1" i="0" u="sng" strike="noStrike">
              <a:solidFill>
                <a:srgbClr val="002060"/>
              </a:solidFill>
              <a:effectLst/>
              <a:latin typeface="Aptos Display" panose="020B0004020202020204" pitchFamily="34" charset="0"/>
              <a:ea typeface="+mn-ea"/>
              <a:cs typeface="+mn-cs"/>
            </a:endParaRPr>
          </a:p>
          <a:p>
            <a:pPr algn="ctr"/>
            <a:r>
              <a:rPr lang="en-IN" sz="1400" b="1" i="0" u="sng" strike="noStrike">
                <a:solidFill>
                  <a:srgbClr val="002060"/>
                </a:solidFill>
                <a:effectLst/>
                <a:latin typeface="Aptos Display" panose="020B0004020202020204" pitchFamily="34" charset="0"/>
                <a:ea typeface="+mn-ea"/>
                <a:cs typeface="+mn-cs"/>
              </a:rPr>
              <a:t>RETURN</a:t>
            </a:r>
            <a:r>
              <a:rPr lang="en-IN" sz="1400" b="1" i="0" u="sng" strike="noStrike" baseline="0">
                <a:solidFill>
                  <a:srgbClr val="002060"/>
                </a:solidFill>
                <a:effectLst/>
                <a:latin typeface="Aptos Display" panose="020B0004020202020204" pitchFamily="34" charset="0"/>
                <a:ea typeface="+mn-ea"/>
                <a:cs typeface="+mn-cs"/>
              </a:rPr>
              <a:t> ORDERED QTY</a:t>
            </a:r>
            <a:br>
              <a:rPr lang="en-IN" sz="1400" b="1" i="0" u="sng" strike="noStrike">
                <a:solidFill>
                  <a:srgbClr val="002060"/>
                </a:solidFill>
                <a:effectLst/>
                <a:latin typeface="Aptos Display" panose="020B0004020202020204" pitchFamily="34" charset="0"/>
                <a:ea typeface="+mn-ea"/>
                <a:cs typeface="+mn-cs"/>
              </a:rPr>
            </a:br>
            <a:r>
              <a:rPr lang="en-IN" sz="1400" b="1" i="0" u="sng" strike="noStrike">
                <a:solidFill>
                  <a:srgbClr val="002060"/>
                </a:solidFill>
                <a:effectLst/>
                <a:latin typeface="Aptos Display" panose="020B0004020202020204" pitchFamily="34" charset="0"/>
                <a:ea typeface="+mn-ea"/>
                <a:cs typeface="+mn-cs"/>
              </a:rPr>
              <a:t>INSIGHTS</a:t>
            </a:r>
          </a:p>
          <a:p>
            <a:pPr algn="l"/>
            <a:endParaRPr lang="en-IN" sz="1200" b="1" i="0" u="none" strike="noStrike">
              <a:solidFill>
                <a:srgbClr val="002060"/>
              </a:solidFill>
              <a:effectLst/>
              <a:latin typeface="Aptos Display" panose="020B0004020202020204" pitchFamily="34" charset="0"/>
              <a:ea typeface="+mn-ea"/>
              <a:cs typeface="+mn-cs"/>
            </a:endParaRPr>
          </a:p>
          <a:p>
            <a:pPr algn="l"/>
            <a:endParaRPr lang="en-IN" sz="1200" b="1" i="0" u="none" strike="noStrike">
              <a:solidFill>
                <a:srgbClr val="002060"/>
              </a:solidFill>
              <a:effectLst/>
              <a:latin typeface="Aptos Display" panose="020B0004020202020204" pitchFamily="34" charset="0"/>
              <a:ea typeface="+mn-ea"/>
              <a:cs typeface="+mn-cs"/>
            </a:endParaRPr>
          </a:p>
          <a:p>
            <a:pPr algn="l"/>
            <a:r>
              <a:rPr lang="en-IN" sz="1200" b="1" i="0" u="none" strike="noStrike">
                <a:solidFill>
                  <a:srgbClr val="002060"/>
                </a:solidFill>
                <a:effectLst/>
                <a:latin typeface="Aptos Display" panose="020B0004020202020204" pitchFamily="34" charset="0"/>
                <a:ea typeface="+mn-ea"/>
                <a:cs typeface="+mn-cs"/>
              </a:rPr>
              <a:t>1. </a:t>
            </a:r>
            <a:r>
              <a:rPr lang="en-IN" sz="1200" b="1" i="1" u="none" strike="noStrike">
                <a:solidFill>
                  <a:srgbClr val="002060"/>
                </a:solidFill>
                <a:effectLst/>
                <a:latin typeface="Aptos Display" panose="020B0004020202020204" pitchFamily="34" charset="0"/>
                <a:ea typeface="+mn-ea"/>
                <a:cs typeface="+mn-cs"/>
              </a:rPr>
              <a:t>63% </a:t>
            </a:r>
            <a:r>
              <a:rPr lang="en-IN" sz="1200" b="0" i="0" u="none" strike="noStrike">
                <a:solidFill>
                  <a:srgbClr val="002060"/>
                </a:solidFill>
                <a:effectLst/>
                <a:latin typeface="Aptos Display" panose="020B0004020202020204" pitchFamily="34" charset="0"/>
                <a:ea typeface="+mn-ea"/>
                <a:cs typeface="+mn-cs"/>
              </a:rPr>
              <a:t>Of Returns Happen In </a:t>
            </a:r>
            <a:r>
              <a:rPr lang="en-IN" sz="1200" b="1" i="1" u="none" strike="noStrike">
                <a:solidFill>
                  <a:srgbClr val="002060"/>
                </a:solidFill>
                <a:effectLst/>
                <a:latin typeface="Aptos Display" panose="020B0004020202020204" pitchFamily="34" charset="0"/>
                <a:ea typeface="+mn-ea"/>
                <a:cs typeface="+mn-cs"/>
              </a:rPr>
              <a:t>2005</a:t>
            </a:r>
            <a:r>
              <a:rPr lang="en-IN" sz="1200" b="1" i="0" u="none" strike="noStrike">
                <a:solidFill>
                  <a:srgbClr val="002060"/>
                </a:solidFill>
                <a:effectLst/>
                <a:latin typeface="Aptos Display" panose="020B0004020202020204" pitchFamily="34" charset="0"/>
                <a:ea typeface="+mn-ea"/>
                <a:cs typeface="+mn-cs"/>
              </a:rPr>
              <a:t> </a:t>
            </a:r>
          </a:p>
          <a:p>
            <a:pPr algn="l"/>
            <a:r>
              <a:rPr lang="en-IN" sz="1200" b="1">
                <a:solidFill>
                  <a:srgbClr val="002060"/>
                </a:solidFill>
                <a:latin typeface="Aptos Display" panose="020B0004020202020204" pitchFamily="34" charset="0"/>
              </a:rPr>
              <a:t> </a:t>
            </a:r>
            <a:br>
              <a:rPr lang="en-IN" sz="1200" b="1">
                <a:solidFill>
                  <a:srgbClr val="002060"/>
                </a:solidFill>
                <a:latin typeface="Aptos Display" panose="020B0004020202020204" pitchFamily="34" charset="0"/>
              </a:rPr>
            </a:br>
            <a:r>
              <a:rPr lang="en-IN" sz="1200" b="1">
                <a:solidFill>
                  <a:srgbClr val="002060"/>
                </a:solidFill>
                <a:latin typeface="Aptos Display" panose="020B0004020202020204" pitchFamily="34" charset="0"/>
              </a:rPr>
              <a:t>2. </a:t>
            </a:r>
            <a:r>
              <a:rPr lang="en-IN" sz="1200" b="0" i="0" u="none" strike="noStrike">
                <a:solidFill>
                  <a:srgbClr val="002060"/>
                </a:solidFill>
                <a:effectLst/>
                <a:latin typeface="Aptos Display" panose="020B0004020202020204" pitchFamily="34" charset="0"/>
                <a:ea typeface="+mn-ea"/>
                <a:cs typeface="+mn-cs"/>
              </a:rPr>
              <a:t>Returns Order Qty Have </a:t>
            </a:r>
            <a:r>
              <a:rPr lang="en-IN" sz="1200" b="1" i="0" u="none" strike="noStrike">
                <a:solidFill>
                  <a:srgbClr val="002060"/>
                </a:solidFill>
                <a:effectLst/>
                <a:latin typeface="Aptos Display" panose="020B0004020202020204" pitchFamily="34" charset="0"/>
                <a:ea typeface="+mn-ea"/>
                <a:cs typeface="+mn-cs"/>
              </a:rPr>
              <a:t>Increased</a:t>
            </a:r>
            <a:r>
              <a:rPr lang="en-IN" sz="1200" b="0" i="0" u="none" strike="noStrike">
                <a:solidFill>
                  <a:srgbClr val="002060"/>
                </a:solidFill>
                <a:effectLst/>
                <a:latin typeface="Aptos Display" panose="020B0004020202020204" pitchFamily="34" charset="0"/>
                <a:ea typeface="+mn-ea"/>
                <a:cs typeface="+mn-cs"/>
              </a:rPr>
              <a:t> Positively </a:t>
            </a:r>
            <a:r>
              <a:rPr lang="en-IN" sz="1200" b="1" i="0" u="none" strike="noStrike">
                <a:solidFill>
                  <a:srgbClr val="002060"/>
                </a:solidFill>
                <a:effectLst/>
                <a:latin typeface="Aptos Display" panose="020B0004020202020204" pitchFamily="34" charset="0"/>
                <a:ea typeface="+mn-ea"/>
                <a:cs typeface="+mn-cs"/>
              </a:rPr>
              <a:t>By CAGR </a:t>
            </a:r>
            <a:r>
              <a:rPr lang="en-IN" sz="1200" b="1" i="1" u="none" strike="noStrike">
                <a:solidFill>
                  <a:srgbClr val="002060"/>
                </a:solidFill>
                <a:effectLst/>
                <a:latin typeface="Aptos Display" panose="020B0004020202020204" pitchFamily="34" charset="0"/>
                <a:ea typeface="+mn-ea"/>
                <a:cs typeface="+mn-cs"/>
              </a:rPr>
              <a:t>141%</a:t>
            </a:r>
            <a:endParaRPr lang="en-IN" sz="1400" b="1" i="1">
              <a:solidFill>
                <a:srgbClr val="002060"/>
              </a:solidFill>
              <a:latin typeface="Aptos Display" panose="020B0004020202020204" pitchFamily="34" charset="0"/>
            </a:endParaRPr>
          </a:p>
        </xdr:txBody>
      </xdr:sp>
      <xdr:sp macro="" textlink="">
        <xdr:nvSpPr>
          <xdr:cNvPr id="107" name="L-Shape 106">
            <a:extLst>
              <a:ext uri="{FF2B5EF4-FFF2-40B4-BE49-F238E27FC236}">
                <a16:creationId xmlns:a16="http://schemas.microsoft.com/office/drawing/2014/main" id="{82CB9AFD-5E05-173F-FF4C-18777B6B2790}"/>
              </a:ext>
            </a:extLst>
          </xdr:cNvPr>
          <xdr:cNvSpPr/>
        </xdr:nvSpPr>
        <xdr:spPr>
          <a:xfrm rot="5400000">
            <a:off x="24292573" y="662933"/>
            <a:ext cx="236220" cy="335293"/>
          </a:xfrm>
          <a:prstGeom prst="corner">
            <a:avLst>
              <a:gd name="adj1" fmla="val 33871"/>
              <a:gd name="adj2" fmla="val 24494"/>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8" name="L-Shape 107">
            <a:extLst>
              <a:ext uri="{FF2B5EF4-FFF2-40B4-BE49-F238E27FC236}">
                <a16:creationId xmlns:a16="http://schemas.microsoft.com/office/drawing/2014/main" id="{CFF21C84-4814-66C3-5F1D-B0A55EF8612A}"/>
              </a:ext>
            </a:extLst>
          </xdr:cNvPr>
          <xdr:cNvSpPr/>
        </xdr:nvSpPr>
        <xdr:spPr>
          <a:xfrm rot="16200000">
            <a:off x="26342435" y="3421373"/>
            <a:ext cx="236220" cy="335293"/>
          </a:xfrm>
          <a:prstGeom prst="corner">
            <a:avLst>
              <a:gd name="adj1" fmla="val 33871"/>
              <a:gd name="adj2" fmla="val 24494"/>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62</xdr:col>
      <xdr:colOff>224118</xdr:colOff>
      <xdr:row>23</xdr:row>
      <xdr:rowOff>89148</xdr:rowOff>
    </xdr:from>
    <xdr:to>
      <xdr:col>72</xdr:col>
      <xdr:colOff>295835</xdr:colOff>
      <xdr:row>43</xdr:row>
      <xdr:rowOff>9665</xdr:rowOff>
    </xdr:to>
    <xdr:sp macro="" textlink="">
      <xdr:nvSpPr>
        <xdr:cNvPr id="112" name="Rectangle: Rounded Corners 111">
          <a:extLst>
            <a:ext uri="{FF2B5EF4-FFF2-40B4-BE49-F238E27FC236}">
              <a16:creationId xmlns:a16="http://schemas.microsoft.com/office/drawing/2014/main" id="{F61FEB06-2E4E-1336-C21F-942C7A5C7960}"/>
            </a:ext>
          </a:extLst>
        </xdr:cNvPr>
        <xdr:cNvSpPr/>
      </xdr:nvSpPr>
      <xdr:spPr>
        <a:xfrm>
          <a:off x="38019318" y="4257736"/>
          <a:ext cx="6167717" cy="3506400"/>
        </a:xfrm>
        <a:prstGeom prst="roundRect">
          <a:avLst>
            <a:gd name="adj" fmla="val 904"/>
          </a:avLst>
        </a:prstGeom>
        <a:solidFill>
          <a:srgbClr val="FEFCAA"/>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b="1">
            <a:solidFill>
              <a:srgbClr val="002060"/>
            </a:solidFill>
            <a:latin typeface="Verdana Pro Black" panose="020B0A04030504040204" pitchFamily="34" charset="0"/>
          </a:endParaRPr>
        </a:p>
      </xdr:txBody>
    </xdr:sp>
    <xdr:clientData/>
  </xdr:twoCellAnchor>
  <xdr:twoCellAnchor>
    <xdr:from>
      <xdr:col>65</xdr:col>
      <xdr:colOff>191175</xdr:colOff>
      <xdr:row>24</xdr:row>
      <xdr:rowOff>539</xdr:rowOff>
    </xdr:from>
    <xdr:to>
      <xdr:col>70</xdr:col>
      <xdr:colOff>286868</xdr:colOff>
      <xdr:row>42</xdr:row>
      <xdr:rowOff>111768</xdr:rowOff>
    </xdr:to>
    <xdr:grpSp>
      <xdr:nvGrpSpPr>
        <xdr:cNvPr id="113" name="Group 112">
          <a:extLst>
            <a:ext uri="{FF2B5EF4-FFF2-40B4-BE49-F238E27FC236}">
              <a16:creationId xmlns:a16="http://schemas.microsoft.com/office/drawing/2014/main" id="{C2F151F8-DF8B-09B5-D6C4-8C6CD6F592C2}"/>
            </a:ext>
          </a:extLst>
        </xdr:cNvPr>
        <xdr:cNvGrpSpPr/>
      </xdr:nvGrpSpPr>
      <xdr:grpSpPr>
        <a:xfrm>
          <a:off x="39543778" y="4541224"/>
          <a:ext cx="3122816" cy="3493256"/>
          <a:chOff x="30897237" y="421775"/>
          <a:chExt cx="3011807" cy="3199765"/>
        </a:xfrm>
      </xdr:grpSpPr>
      <xdr:sp macro="" textlink="">
        <xdr:nvSpPr>
          <xdr:cNvPr id="120" name="Rectangle: Rounded Corners 119">
            <a:extLst>
              <a:ext uri="{FF2B5EF4-FFF2-40B4-BE49-F238E27FC236}">
                <a16:creationId xmlns:a16="http://schemas.microsoft.com/office/drawing/2014/main" id="{08AA4806-3584-6755-2BF2-857D25F3E6B1}"/>
              </a:ext>
            </a:extLst>
          </xdr:cNvPr>
          <xdr:cNvSpPr/>
        </xdr:nvSpPr>
        <xdr:spPr>
          <a:xfrm>
            <a:off x="33510907" y="1495388"/>
            <a:ext cx="398137" cy="1920687"/>
          </a:xfrm>
          <a:prstGeom prst="roundRect">
            <a:avLst>
              <a:gd name="adj" fmla="val 30769"/>
            </a:avLst>
          </a:prstGeom>
          <a:solidFill>
            <a:schemeClr val="accent2">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1" name="Rectangle: Rounded Corners 120">
            <a:extLst>
              <a:ext uri="{FF2B5EF4-FFF2-40B4-BE49-F238E27FC236}">
                <a16:creationId xmlns:a16="http://schemas.microsoft.com/office/drawing/2014/main" id="{36E0D52A-6645-6CAA-F5DC-981ACF2D717E}"/>
              </a:ext>
            </a:extLst>
          </xdr:cNvPr>
          <xdr:cNvSpPr/>
        </xdr:nvSpPr>
        <xdr:spPr>
          <a:xfrm>
            <a:off x="33457565" y="1425959"/>
            <a:ext cx="398137" cy="1920687"/>
          </a:xfrm>
          <a:prstGeom prst="roundRect">
            <a:avLst>
              <a:gd name="adj" fmla="val 30769"/>
            </a:avLst>
          </a:prstGeom>
          <a:solidFill>
            <a:schemeClr val="accent4">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2" name="Rectangle: Rounded Corners 121">
            <a:extLst>
              <a:ext uri="{FF2B5EF4-FFF2-40B4-BE49-F238E27FC236}">
                <a16:creationId xmlns:a16="http://schemas.microsoft.com/office/drawing/2014/main" id="{BAFC892F-2EA1-356C-E224-6E179C0DF8CD}"/>
              </a:ext>
            </a:extLst>
          </xdr:cNvPr>
          <xdr:cNvSpPr/>
        </xdr:nvSpPr>
        <xdr:spPr>
          <a:xfrm>
            <a:off x="30897237" y="421775"/>
            <a:ext cx="2499366" cy="3107193"/>
          </a:xfrm>
          <a:prstGeom prst="roundRect">
            <a:avLst>
              <a:gd name="adj" fmla="val 0"/>
            </a:avLst>
          </a:prstGeom>
          <a:solidFill>
            <a:schemeClr val="accent2">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rgbClr val="002060"/>
              </a:solidFill>
              <a:latin typeface="Aptos Display" panose="020B0004020202020204" pitchFamily="34" charset="0"/>
            </a:endParaRPr>
          </a:p>
        </xdr:txBody>
      </xdr:sp>
      <xdr:sp macro="" textlink="">
        <xdr:nvSpPr>
          <xdr:cNvPr id="123" name="Rectangle: Rounded Corners 122">
            <a:extLst>
              <a:ext uri="{FF2B5EF4-FFF2-40B4-BE49-F238E27FC236}">
                <a16:creationId xmlns:a16="http://schemas.microsoft.com/office/drawing/2014/main" id="{E63E9657-2C1C-D872-9AFA-9903F5E2BF7D}"/>
              </a:ext>
            </a:extLst>
          </xdr:cNvPr>
          <xdr:cNvSpPr/>
        </xdr:nvSpPr>
        <xdr:spPr>
          <a:xfrm>
            <a:off x="31003921" y="514347"/>
            <a:ext cx="2499366" cy="3107193"/>
          </a:xfrm>
          <a:prstGeom prst="roundRect">
            <a:avLst>
              <a:gd name="adj" fmla="val 0"/>
            </a:avLst>
          </a:prstGeom>
          <a:solidFill>
            <a:schemeClr val="accent4">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400" b="1" i="0" u="sng" strike="noStrike">
              <a:solidFill>
                <a:srgbClr val="002060"/>
              </a:solidFill>
              <a:effectLst/>
              <a:latin typeface="Aptos Display" panose="020B0004020202020204" pitchFamily="34" charset="0"/>
              <a:ea typeface="+mn-ea"/>
              <a:cs typeface="+mn-cs"/>
            </a:endParaRPr>
          </a:p>
          <a:p>
            <a:pPr algn="ctr"/>
            <a:r>
              <a:rPr lang="en-IN" sz="1400" b="1" i="0" u="sng" strike="noStrike" baseline="0">
                <a:solidFill>
                  <a:srgbClr val="002060"/>
                </a:solidFill>
                <a:effectLst/>
                <a:latin typeface="Aptos Display" panose="020B0004020202020204" pitchFamily="34" charset="0"/>
                <a:ea typeface="+mn-ea"/>
                <a:cs typeface="+mn-cs"/>
              </a:rPr>
              <a:t>RETURNS BY CATEORY</a:t>
            </a:r>
            <a:r>
              <a:rPr lang="en-IN" sz="1400" b="1" i="0" u="sng" strike="noStrike">
                <a:solidFill>
                  <a:srgbClr val="002060"/>
                </a:solidFill>
                <a:effectLst/>
                <a:latin typeface="Aptos Display" panose="020B0004020202020204" pitchFamily="34" charset="0"/>
                <a:ea typeface="+mn-ea"/>
                <a:cs typeface="+mn-cs"/>
              </a:rPr>
              <a:t> </a:t>
            </a:r>
            <a:br>
              <a:rPr lang="en-IN" sz="1400" b="1" i="0" u="sng" strike="noStrike">
                <a:solidFill>
                  <a:srgbClr val="002060"/>
                </a:solidFill>
                <a:effectLst/>
                <a:latin typeface="Aptos Display" panose="020B0004020202020204" pitchFamily="34" charset="0"/>
                <a:ea typeface="+mn-ea"/>
                <a:cs typeface="+mn-cs"/>
              </a:rPr>
            </a:br>
            <a:r>
              <a:rPr lang="en-IN" sz="1400" b="1" i="0" u="sng" strike="noStrike">
                <a:solidFill>
                  <a:srgbClr val="002060"/>
                </a:solidFill>
                <a:effectLst/>
                <a:latin typeface="Aptos Display" panose="020B0004020202020204" pitchFamily="34" charset="0"/>
                <a:ea typeface="+mn-ea"/>
                <a:cs typeface="+mn-cs"/>
              </a:rPr>
              <a:t>INSIGHTS</a:t>
            </a:r>
          </a:p>
          <a:p>
            <a:pPr algn="l"/>
            <a:endParaRPr lang="en-IN" sz="1200" b="1" i="0" u="none" strike="noStrike">
              <a:solidFill>
                <a:srgbClr val="002060"/>
              </a:solidFill>
              <a:effectLst/>
              <a:latin typeface="Aptos Display" panose="020B0004020202020204" pitchFamily="34" charset="0"/>
              <a:ea typeface="+mn-ea"/>
              <a:cs typeface="+mn-cs"/>
            </a:endParaRPr>
          </a:p>
          <a:p>
            <a:pPr algn="l"/>
            <a:endParaRPr lang="en-IN" sz="1200" b="1" i="0" u="none" strike="noStrike">
              <a:solidFill>
                <a:srgbClr val="002060"/>
              </a:solidFill>
              <a:effectLst/>
              <a:latin typeface="Aptos Display" panose="020B0004020202020204" pitchFamily="34" charset="0"/>
              <a:ea typeface="+mn-ea"/>
              <a:cs typeface="+mn-cs"/>
            </a:endParaRPr>
          </a:p>
          <a:p>
            <a:pPr algn="l"/>
            <a:r>
              <a:rPr lang="en-IN" sz="1200" b="1" i="0" u="none" strike="noStrike">
                <a:solidFill>
                  <a:srgbClr val="002060"/>
                </a:solidFill>
                <a:effectLst/>
                <a:latin typeface="Aptos Display" panose="020B0004020202020204" pitchFamily="34" charset="0"/>
                <a:ea typeface="+mn-ea"/>
                <a:cs typeface="+mn-cs"/>
              </a:rPr>
              <a:t>1</a:t>
            </a:r>
            <a:r>
              <a:rPr lang="en-IN" sz="1200" b="0" i="0" u="none" strike="noStrike">
                <a:solidFill>
                  <a:srgbClr val="002060"/>
                </a:solidFill>
                <a:effectLst/>
                <a:latin typeface="Aptos Display" panose="020B0004020202020204" pitchFamily="34" charset="0"/>
                <a:ea typeface="+mn-ea"/>
                <a:cs typeface="+mn-cs"/>
              </a:rPr>
              <a:t>. </a:t>
            </a:r>
            <a:r>
              <a:rPr lang="en-IN" sz="1200" b="1" i="0" u="none" strike="noStrike">
                <a:solidFill>
                  <a:srgbClr val="002060"/>
                </a:solidFill>
                <a:effectLst/>
                <a:latin typeface="Aptos Display" panose="020B0004020202020204" pitchFamily="34" charset="0"/>
                <a:ea typeface="+mn-ea"/>
                <a:cs typeface="+mn-cs"/>
              </a:rPr>
              <a:t>Beverages</a:t>
            </a:r>
            <a:r>
              <a:rPr lang="en-IN" sz="1200" b="0" i="0" u="none" strike="noStrike">
                <a:solidFill>
                  <a:srgbClr val="002060"/>
                </a:solidFill>
                <a:effectLst/>
                <a:latin typeface="Aptos Display" panose="020B0004020202020204" pitchFamily="34" charset="0"/>
                <a:ea typeface="+mn-ea"/>
                <a:cs typeface="+mn-cs"/>
              </a:rPr>
              <a:t> Have </a:t>
            </a:r>
            <a:r>
              <a:rPr lang="en-IN" sz="1200" b="1" i="0" u="none" strike="noStrike">
                <a:solidFill>
                  <a:srgbClr val="002060"/>
                </a:solidFill>
                <a:effectLst/>
                <a:latin typeface="Aptos Display" panose="020B0004020202020204" pitchFamily="34" charset="0"/>
                <a:ea typeface="+mn-ea"/>
                <a:cs typeface="+mn-cs"/>
              </a:rPr>
              <a:t>Highest </a:t>
            </a:r>
            <a:r>
              <a:rPr lang="en-IN" sz="1200" b="1" i="1" u="none" strike="noStrike">
                <a:solidFill>
                  <a:srgbClr val="002060"/>
                </a:solidFill>
                <a:effectLst/>
                <a:latin typeface="Aptos Display" panose="020B0004020202020204" pitchFamily="34" charset="0"/>
                <a:ea typeface="+mn-ea"/>
                <a:cs typeface="+mn-cs"/>
              </a:rPr>
              <a:t>26.58%</a:t>
            </a:r>
            <a:r>
              <a:rPr lang="en-IN" sz="1200" b="1" i="0" u="none" strike="noStrike">
                <a:solidFill>
                  <a:srgbClr val="002060"/>
                </a:solidFill>
                <a:effectLst/>
                <a:latin typeface="Aptos Display" panose="020B0004020202020204" pitchFamily="34" charset="0"/>
                <a:ea typeface="+mn-ea"/>
                <a:cs typeface="+mn-cs"/>
              </a:rPr>
              <a:t> Returns</a:t>
            </a:r>
            <a:br>
              <a:rPr lang="en-IN" sz="1200" b="1">
                <a:solidFill>
                  <a:srgbClr val="002060"/>
                </a:solidFill>
                <a:latin typeface="Aptos Display" panose="020B0004020202020204" pitchFamily="34" charset="0"/>
              </a:rPr>
            </a:br>
            <a:endParaRPr lang="en-IN" sz="1200" b="1">
              <a:solidFill>
                <a:srgbClr val="002060"/>
              </a:solidFill>
              <a:latin typeface="Aptos Display" panose="020B0004020202020204" pitchFamily="34" charset="0"/>
            </a:endParaRPr>
          </a:p>
          <a:p>
            <a:pPr algn="l"/>
            <a:r>
              <a:rPr lang="en-IN" sz="1200" b="1">
                <a:solidFill>
                  <a:srgbClr val="002060"/>
                </a:solidFill>
                <a:latin typeface="Aptos Display" panose="020B0004020202020204" pitchFamily="34" charset="0"/>
              </a:rPr>
              <a:t>2. </a:t>
            </a:r>
            <a:r>
              <a:rPr lang="en-IN" sz="1200" b="1" i="1" u="none" strike="noStrike">
                <a:solidFill>
                  <a:srgbClr val="002060"/>
                </a:solidFill>
                <a:effectLst/>
                <a:latin typeface="Aptos Display" panose="020B0004020202020204" pitchFamily="34" charset="0"/>
                <a:ea typeface="+mn-ea"/>
                <a:cs typeface="+mn-cs"/>
              </a:rPr>
              <a:t>49.91%</a:t>
            </a:r>
            <a:r>
              <a:rPr lang="en-IN" sz="1200" b="0" i="0" u="none" strike="noStrike">
                <a:solidFill>
                  <a:srgbClr val="002060"/>
                </a:solidFill>
                <a:effectLst/>
                <a:latin typeface="Aptos Display" panose="020B0004020202020204" pitchFamily="34" charset="0"/>
                <a:ea typeface="+mn-ea"/>
                <a:cs typeface="+mn-cs"/>
              </a:rPr>
              <a:t> Returns Combined Beverages</a:t>
            </a:r>
            <a:r>
              <a:rPr lang="en-IN" sz="1200" b="0" i="0" u="none" strike="noStrike" baseline="0">
                <a:solidFill>
                  <a:srgbClr val="002060"/>
                </a:solidFill>
                <a:effectLst/>
                <a:latin typeface="Aptos Display" panose="020B0004020202020204" pitchFamily="34" charset="0"/>
                <a:ea typeface="+mn-ea"/>
                <a:cs typeface="+mn-cs"/>
              </a:rPr>
              <a:t>(1) and </a:t>
            </a:r>
            <a:r>
              <a:rPr lang="en-IN" sz="1200" b="0" i="0" u="none" strike="noStrike">
                <a:solidFill>
                  <a:srgbClr val="002060"/>
                </a:solidFill>
                <a:effectLst/>
                <a:latin typeface="Aptos Display" panose="020B0004020202020204" pitchFamily="34" charset="0"/>
                <a:ea typeface="+mn-ea"/>
                <a:cs typeface="+mn-cs"/>
              </a:rPr>
              <a:t>Dairy Products(2)</a:t>
            </a:r>
          </a:p>
          <a:p>
            <a:pPr algn="l"/>
            <a:endParaRPr lang="en-IN" sz="1400" b="1">
              <a:solidFill>
                <a:srgbClr val="002060"/>
              </a:solidFill>
              <a:latin typeface="Aptos Display" panose="020B0004020202020204" pitchFamily="34" charset="0"/>
            </a:endParaRPr>
          </a:p>
          <a:p>
            <a:pPr algn="l"/>
            <a:r>
              <a:rPr lang="en-IN" sz="1200" b="1">
                <a:solidFill>
                  <a:srgbClr val="002060"/>
                </a:solidFill>
                <a:latin typeface="Aptos Display" panose="020B0004020202020204" pitchFamily="34" charset="0"/>
              </a:rPr>
              <a:t>3.</a:t>
            </a:r>
            <a:r>
              <a:rPr lang="en-IN" sz="1400" b="1">
                <a:solidFill>
                  <a:srgbClr val="002060"/>
                </a:solidFill>
                <a:latin typeface="Aptos Display" panose="020B0004020202020204" pitchFamily="34" charset="0"/>
              </a:rPr>
              <a:t> </a:t>
            </a:r>
            <a:r>
              <a:rPr lang="en-IN" sz="1200" b="0" i="0" u="none" strike="noStrike">
                <a:solidFill>
                  <a:srgbClr val="002060"/>
                </a:solidFill>
                <a:effectLst/>
                <a:latin typeface="Aptos Display" panose="020B0004020202020204" pitchFamily="34" charset="0"/>
                <a:ea typeface="+mn-ea"/>
                <a:cs typeface="+mn-cs"/>
              </a:rPr>
              <a:t>Only </a:t>
            </a:r>
            <a:r>
              <a:rPr lang="en-IN" sz="1200" b="1" i="0" u="none" strike="noStrike">
                <a:solidFill>
                  <a:srgbClr val="002060"/>
                </a:solidFill>
                <a:effectLst/>
                <a:latin typeface="Aptos Display" panose="020B0004020202020204" pitchFamily="34" charset="0"/>
                <a:ea typeface="+mn-ea"/>
                <a:cs typeface="+mn-cs"/>
              </a:rPr>
              <a:t>Frozen Foods And Instant Foods </a:t>
            </a:r>
            <a:r>
              <a:rPr lang="en-IN" sz="1200" b="0" i="0" u="none" strike="noStrike">
                <a:solidFill>
                  <a:srgbClr val="002060"/>
                </a:solidFill>
                <a:effectLst/>
                <a:latin typeface="Aptos Display" panose="020B0004020202020204" pitchFamily="34" charset="0"/>
                <a:ea typeface="+mn-ea"/>
                <a:cs typeface="+mn-cs"/>
              </a:rPr>
              <a:t>Have</a:t>
            </a:r>
            <a:r>
              <a:rPr lang="en-IN" sz="1200" b="1" i="0" u="none" strike="noStrike">
                <a:solidFill>
                  <a:srgbClr val="002060"/>
                </a:solidFill>
                <a:effectLst/>
                <a:latin typeface="Aptos Display" panose="020B0004020202020204" pitchFamily="34" charset="0"/>
                <a:ea typeface="+mn-ea"/>
                <a:cs typeface="+mn-cs"/>
              </a:rPr>
              <a:t> </a:t>
            </a:r>
            <a:r>
              <a:rPr lang="en-IN" sz="1200" b="1" i="1" u="none" strike="noStrike">
                <a:solidFill>
                  <a:srgbClr val="002060"/>
                </a:solidFill>
                <a:effectLst/>
                <a:latin typeface="Aptos Display" panose="020B0004020202020204" pitchFamily="34" charset="0"/>
                <a:ea typeface="+mn-ea"/>
                <a:cs typeface="+mn-cs"/>
              </a:rPr>
              <a:t>&lt;5%</a:t>
            </a:r>
            <a:r>
              <a:rPr lang="en-IN" sz="1200" b="1" i="0" u="none" strike="noStrike">
                <a:solidFill>
                  <a:srgbClr val="002060"/>
                </a:solidFill>
                <a:effectLst/>
                <a:latin typeface="Aptos Display" panose="020B0004020202020204" pitchFamily="34" charset="0"/>
                <a:ea typeface="+mn-ea"/>
                <a:cs typeface="+mn-cs"/>
              </a:rPr>
              <a:t> Retuns</a:t>
            </a:r>
            <a:r>
              <a:rPr lang="en-IN" sz="1200" b="0" i="0" u="none" strike="noStrike">
                <a:solidFill>
                  <a:srgbClr val="002060"/>
                </a:solidFill>
                <a:effectLst/>
                <a:latin typeface="Aptos Display" panose="020B0004020202020204" pitchFamily="34" charset="0"/>
                <a:ea typeface="+mn-ea"/>
                <a:cs typeface="+mn-cs"/>
              </a:rPr>
              <a:t> Other Range Between </a:t>
            </a:r>
            <a:r>
              <a:rPr lang="en-IN" sz="1200" b="1" i="1" u="none" strike="noStrike">
                <a:solidFill>
                  <a:srgbClr val="002060"/>
                </a:solidFill>
                <a:effectLst/>
                <a:latin typeface="Aptos Display" panose="020B0004020202020204" pitchFamily="34" charset="0"/>
                <a:ea typeface="+mn-ea"/>
                <a:cs typeface="+mn-cs"/>
              </a:rPr>
              <a:t>10.02% To 17.46%</a:t>
            </a:r>
          </a:p>
        </xdr:txBody>
      </xdr:sp>
      <xdr:sp macro="" textlink="">
        <xdr:nvSpPr>
          <xdr:cNvPr id="124" name="L-Shape 123">
            <a:extLst>
              <a:ext uri="{FF2B5EF4-FFF2-40B4-BE49-F238E27FC236}">
                <a16:creationId xmlns:a16="http://schemas.microsoft.com/office/drawing/2014/main" id="{90034514-CD8C-5122-0777-0EFBE0881795}"/>
              </a:ext>
            </a:extLst>
          </xdr:cNvPr>
          <xdr:cNvSpPr/>
        </xdr:nvSpPr>
        <xdr:spPr>
          <a:xfrm rot="5400000">
            <a:off x="31105292" y="520366"/>
            <a:ext cx="233500" cy="337175"/>
          </a:xfrm>
          <a:prstGeom prst="corner">
            <a:avLst>
              <a:gd name="adj1" fmla="val 33871"/>
              <a:gd name="adj2" fmla="val 24494"/>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5" name="L-Shape 124">
            <a:extLst>
              <a:ext uri="{FF2B5EF4-FFF2-40B4-BE49-F238E27FC236}">
                <a16:creationId xmlns:a16="http://schemas.microsoft.com/office/drawing/2014/main" id="{BBFA490A-CE1D-AC4C-BB0D-3C954B9A850A}"/>
              </a:ext>
            </a:extLst>
          </xdr:cNvPr>
          <xdr:cNvSpPr/>
        </xdr:nvSpPr>
        <xdr:spPr>
          <a:xfrm rot="16200000">
            <a:off x="33161738" y="3271570"/>
            <a:ext cx="233501" cy="335293"/>
          </a:xfrm>
          <a:prstGeom prst="corner">
            <a:avLst>
              <a:gd name="adj1" fmla="val 33871"/>
              <a:gd name="adj2" fmla="val 24494"/>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28" name="Graphic 127" descr="Users with solid fill">
            <a:extLst>
              <a:ext uri="{FF2B5EF4-FFF2-40B4-BE49-F238E27FC236}">
                <a16:creationId xmlns:a16="http://schemas.microsoft.com/office/drawing/2014/main" id="{A865AF43-CB40-2499-40CB-C2C81FEFB2E2}"/>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33533663" y="2045250"/>
            <a:ext cx="291441" cy="415822"/>
          </a:xfrm>
          <a:prstGeom prst="rect">
            <a:avLst/>
          </a:prstGeom>
        </xdr:spPr>
      </xdr:pic>
      <xdr:pic>
        <xdr:nvPicPr>
          <xdr:cNvPr id="130" name="Graphic 129" descr="Downward trend graph with solid fill">
            <a:extLst>
              <a:ext uri="{FF2B5EF4-FFF2-40B4-BE49-F238E27FC236}">
                <a16:creationId xmlns:a16="http://schemas.microsoft.com/office/drawing/2014/main" id="{669621DE-084C-4E06-FFD2-74494154D43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3503183" y="2704976"/>
            <a:ext cx="352401" cy="387788"/>
          </a:xfrm>
          <a:prstGeom prst="rect">
            <a:avLst/>
          </a:prstGeom>
          <a:effectLst>
            <a:innerShdw blurRad="63500" dist="50800" dir="8100000">
              <a:prstClr val="black">
                <a:alpha val="50000"/>
              </a:prstClr>
            </a:innerShdw>
          </a:effectLst>
        </xdr:spPr>
      </xdr:pic>
    </xdr:grpSp>
    <xdr:clientData/>
  </xdr:twoCellAnchor>
  <xdr:twoCellAnchor>
    <xdr:from>
      <xdr:col>72</xdr:col>
      <xdr:colOff>436725</xdr:colOff>
      <xdr:row>23</xdr:row>
      <xdr:rowOff>71718</xdr:rowOff>
    </xdr:from>
    <xdr:to>
      <xdr:col>80</xdr:col>
      <xdr:colOff>233082</xdr:colOff>
      <xdr:row>43</xdr:row>
      <xdr:rowOff>0</xdr:rowOff>
    </xdr:to>
    <xdr:sp macro="" textlink="">
      <xdr:nvSpPr>
        <xdr:cNvPr id="132" name="Rectangle: Rounded Corners 131">
          <a:extLst>
            <a:ext uri="{FF2B5EF4-FFF2-40B4-BE49-F238E27FC236}">
              <a16:creationId xmlns:a16="http://schemas.microsoft.com/office/drawing/2014/main" id="{0B5486C5-FAE2-9426-D0C0-6BDAC033C2C9}"/>
            </a:ext>
          </a:extLst>
        </xdr:cNvPr>
        <xdr:cNvSpPr/>
      </xdr:nvSpPr>
      <xdr:spPr>
        <a:xfrm>
          <a:off x="44327925" y="4240306"/>
          <a:ext cx="4673157" cy="3514165"/>
        </a:xfrm>
        <a:prstGeom prst="roundRect">
          <a:avLst>
            <a:gd name="adj" fmla="val 904"/>
          </a:avLst>
        </a:prstGeom>
        <a:solidFill>
          <a:srgbClr val="FEFCAA"/>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b="1">
            <a:solidFill>
              <a:srgbClr val="002060"/>
            </a:solidFill>
            <a:latin typeface="Verdana Pro Black" panose="020B0A04030504040204" pitchFamily="34" charset="0"/>
          </a:endParaRPr>
        </a:p>
      </xdr:txBody>
    </xdr:sp>
    <xdr:clientData/>
  </xdr:twoCellAnchor>
  <xdr:twoCellAnchor>
    <xdr:from>
      <xdr:col>73</xdr:col>
      <xdr:colOff>196922</xdr:colOff>
      <xdr:row>23</xdr:row>
      <xdr:rowOff>174293</xdr:rowOff>
    </xdr:from>
    <xdr:to>
      <xdr:col>78</xdr:col>
      <xdr:colOff>349632</xdr:colOff>
      <xdr:row>42</xdr:row>
      <xdr:rowOff>91821</xdr:rowOff>
    </xdr:to>
    <xdr:grpSp>
      <xdr:nvGrpSpPr>
        <xdr:cNvPr id="134" name="Group 133">
          <a:extLst>
            <a:ext uri="{FF2B5EF4-FFF2-40B4-BE49-F238E27FC236}">
              <a16:creationId xmlns:a16="http://schemas.microsoft.com/office/drawing/2014/main" id="{45F8FB13-D7E5-CC06-80B9-A100B9FF68F0}"/>
            </a:ext>
          </a:extLst>
        </xdr:cNvPr>
        <xdr:cNvGrpSpPr/>
      </xdr:nvGrpSpPr>
      <xdr:grpSpPr>
        <a:xfrm>
          <a:off x="44392922" y="4527088"/>
          <a:ext cx="3179833" cy="3487445"/>
          <a:chOff x="31798260" y="2994660"/>
          <a:chExt cx="3002400" cy="3208020"/>
        </a:xfrm>
      </xdr:grpSpPr>
      <xdr:sp macro="" textlink="">
        <xdr:nvSpPr>
          <xdr:cNvPr id="135" name="Rectangle: Rounded Corners 134">
            <a:extLst>
              <a:ext uri="{FF2B5EF4-FFF2-40B4-BE49-F238E27FC236}">
                <a16:creationId xmlns:a16="http://schemas.microsoft.com/office/drawing/2014/main" id="{8F45E1CD-73A4-3725-F9A7-BB476AEDC748}"/>
              </a:ext>
            </a:extLst>
          </xdr:cNvPr>
          <xdr:cNvSpPr/>
        </xdr:nvSpPr>
        <xdr:spPr>
          <a:xfrm>
            <a:off x="34404404" y="4042000"/>
            <a:ext cx="396256" cy="1008027"/>
          </a:xfrm>
          <a:prstGeom prst="roundRect">
            <a:avLst>
              <a:gd name="adj" fmla="val 30769"/>
            </a:avLst>
          </a:prstGeom>
          <a:solidFill>
            <a:schemeClr val="accent2">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6" name="Rectangle: Rounded Corners 135">
            <a:extLst>
              <a:ext uri="{FF2B5EF4-FFF2-40B4-BE49-F238E27FC236}">
                <a16:creationId xmlns:a16="http://schemas.microsoft.com/office/drawing/2014/main" id="{6B0158F3-3D64-7CD9-5378-27537631F9C2}"/>
              </a:ext>
            </a:extLst>
          </xdr:cNvPr>
          <xdr:cNvSpPr/>
        </xdr:nvSpPr>
        <xdr:spPr>
          <a:xfrm>
            <a:off x="34351062" y="3975253"/>
            <a:ext cx="396256" cy="1008027"/>
          </a:xfrm>
          <a:prstGeom prst="roundRect">
            <a:avLst>
              <a:gd name="adj" fmla="val 30769"/>
            </a:avLst>
          </a:prstGeom>
          <a:solidFill>
            <a:schemeClr val="accent4">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7" name="Rectangle: Rounded Corners 136">
            <a:extLst>
              <a:ext uri="{FF2B5EF4-FFF2-40B4-BE49-F238E27FC236}">
                <a16:creationId xmlns:a16="http://schemas.microsoft.com/office/drawing/2014/main" id="{C3100AA5-9810-DBA5-00D9-09A1D571ACB8}"/>
              </a:ext>
            </a:extLst>
          </xdr:cNvPr>
          <xdr:cNvSpPr/>
        </xdr:nvSpPr>
        <xdr:spPr>
          <a:xfrm>
            <a:off x="31798260" y="2994660"/>
            <a:ext cx="2491840" cy="3116580"/>
          </a:xfrm>
          <a:prstGeom prst="roundRect">
            <a:avLst>
              <a:gd name="adj" fmla="val 0"/>
            </a:avLst>
          </a:prstGeom>
          <a:solidFill>
            <a:schemeClr val="accent2">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rgbClr val="002060"/>
              </a:solidFill>
              <a:latin typeface="Aptos Display" panose="020B0004020202020204" pitchFamily="34" charset="0"/>
            </a:endParaRPr>
          </a:p>
        </xdr:txBody>
      </xdr:sp>
      <xdr:sp macro="" textlink="">
        <xdr:nvSpPr>
          <xdr:cNvPr id="138" name="Rectangle: Rounded Corners 137">
            <a:extLst>
              <a:ext uri="{FF2B5EF4-FFF2-40B4-BE49-F238E27FC236}">
                <a16:creationId xmlns:a16="http://schemas.microsoft.com/office/drawing/2014/main" id="{5F35B83F-DC72-6082-759B-40FE0964D041}"/>
              </a:ext>
            </a:extLst>
          </xdr:cNvPr>
          <xdr:cNvSpPr/>
        </xdr:nvSpPr>
        <xdr:spPr>
          <a:xfrm>
            <a:off x="31904944" y="3086100"/>
            <a:ext cx="2491840" cy="3116580"/>
          </a:xfrm>
          <a:prstGeom prst="roundRect">
            <a:avLst>
              <a:gd name="adj" fmla="val 0"/>
            </a:avLst>
          </a:prstGeom>
          <a:solidFill>
            <a:schemeClr val="accent4">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400" b="1" i="0" u="sng" strike="noStrike">
              <a:solidFill>
                <a:srgbClr val="002060"/>
              </a:solidFill>
              <a:effectLst/>
              <a:latin typeface="Aptos Display" panose="020B0004020202020204" pitchFamily="34" charset="0"/>
              <a:ea typeface="+mn-ea"/>
              <a:cs typeface="+mn-cs"/>
            </a:endParaRPr>
          </a:p>
          <a:p>
            <a:pPr algn="ctr"/>
            <a:r>
              <a:rPr lang="en-IN" sz="1400" b="1" i="0" u="sng" strike="noStrike" baseline="0">
                <a:solidFill>
                  <a:srgbClr val="002060"/>
                </a:solidFill>
                <a:effectLst/>
                <a:latin typeface="Aptos Display" panose="020B0004020202020204" pitchFamily="34" charset="0"/>
                <a:ea typeface="+mn-ea"/>
                <a:cs typeface="+mn-cs"/>
              </a:rPr>
              <a:t>RETURNS BY PRODUCT</a:t>
            </a:r>
            <a:r>
              <a:rPr lang="en-IN" sz="1400" b="1" i="0" u="sng" strike="noStrike">
                <a:solidFill>
                  <a:srgbClr val="002060"/>
                </a:solidFill>
                <a:effectLst/>
                <a:latin typeface="Aptos Display" panose="020B0004020202020204" pitchFamily="34" charset="0"/>
                <a:ea typeface="+mn-ea"/>
                <a:cs typeface="+mn-cs"/>
              </a:rPr>
              <a:t> </a:t>
            </a:r>
            <a:br>
              <a:rPr lang="en-IN" sz="1400" b="1" i="0" u="sng" strike="noStrike">
                <a:solidFill>
                  <a:srgbClr val="002060"/>
                </a:solidFill>
                <a:effectLst/>
                <a:latin typeface="Aptos Display" panose="020B0004020202020204" pitchFamily="34" charset="0"/>
                <a:ea typeface="+mn-ea"/>
                <a:cs typeface="+mn-cs"/>
              </a:rPr>
            </a:br>
            <a:r>
              <a:rPr lang="en-IN" sz="1400" b="1" i="0" u="sng" strike="noStrike">
                <a:solidFill>
                  <a:srgbClr val="002060"/>
                </a:solidFill>
                <a:effectLst/>
                <a:latin typeface="Aptos Display" panose="020B0004020202020204" pitchFamily="34" charset="0"/>
                <a:ea typeface="+mn-ea"/>
                <a:cs typeface="+mn-cs"/>
              </a:rPr>
              <a:t>INSIGHTS</a:t>
            </a:r>
          </a:p>
          <a:p>
            <a:pPr algn="l"/>
            <a:endParaRPr lang="en-IN" sz="1200" b="1" i="0" u="none" strike="noStrike">
              <a:solidFill>
                <a:srgbClr val="002060"/>
              </a:solidFill>
              <a:effectLst/>
              <a:latin typeface="Aptos Display" panose="020B0004020202020204" pitchFamily="34" charset="0"/>
              <a:ea typeface="+mn-ea"/>
              <a:cs typeface="+mn-cs"/>
            </a:endParaRPr>
          </a:p>
          <a:p>
            <a:pPr algn="l"/>
            <a:endParaRPr lang="en-IN" sz="1200" b="1" i="0" u="none" strike="noStrike">
              <a:solidFill>
                <a:srgbClr val="002060"/>
              </a:solidFill>
              <a:effectLst/>
              <a:latin typeface="Aptos Display" panose="020B0004020202020204" pitchFamily="34" charset="0"/>
              <a:ea typeface="+mn-ea"/>
              <a:cs typeface="+mn-cs"/>
            </a:endParaRPr>
          </a:p>
          <a:p>
            <a:pPr algn="l"/>
            <a:r>
              <a:rPr lang="en-IN" sz="1200" b="1" i="0" u="none" strike="noStrike">
                <a:solidFill>
                  <a:srgbClr val="002060"/>
                </a:solidFill>
                <a:effectLst/>
                <a:latin typeface="Aptos Display" panose="020B0004020202020204" pitchFamily="34" charset="0"/>
                <a:ea typeface="+mn-ea"/>
                <a:cs typeface="+mn-cs"/>
              </a:rPr>
              <a:t>1. Top </a:t>
            </a:r>
            <a:r>
              <a:rPr lang="en-IN" sz="1200" b="1" i="1" u="none" strike="noStrike">
                <a:solidFill>
                  <a:srgbClr val="002060"/>
                </a:solidFill>
                <a:effectLst/>
                <a:latin typeface="Aptos Display" panose="020B0004020202020204" pitchFamily="34" charset="0"/>
                <a:ea typeface="+mn-ea"/>
                <a:cs typeface="+mn-cs"/>
              </a:rPr>
              <a:t>10</a:t>
            </a:r>
            <a:r>
              <a:rPr lang="en-IN" sz="1200" b="1" i="0" u="none" strike="noStrike">
                <a:solidFill>
                  <a:srgbClr val="002060"/>
                </a:solidFill>
                <a:effectLst/>
                <a:latin typeface="Aptos Display" panose="020B0004020202020204" pitchFamily="34" charset="0"/>
                <a:ea typeface="+mn-ea"/>
                <a:cs typeface="+mn-cs"/>
              </a:rPr>
              <a:t> Product Consists Of </a:t>
            </a:r>
            <a:r>
              <a:rPr lang="en-IN" sz="1200" b="1" i="1" u="none" strike="noStrike">
                <a:solidFill>
                  <a:srgbClr val="002060"/>
                </a:solidFill>
                <a:effectLst/>
                <a:latin typeface="Aptos Display" panose="020B0004020202020204" pitchFamily="34" charset="0"/>
                <a:ea typeface="+mn-ea"/>
                <a:cs typeface="+mn-cs"/>
              </a:rPr>
              <a:t>68.29%</a:t>
            </a:r>
            <a:r>
              <a:rPr lang="en-IN" sz="1200" b="1" i="0" u="none" strike="noStrike">
                <a:solidFill>
                  <a:srgbClr val="002060"/>
                </a:solidFill>
                <a:effectLst/>
                <a:latin typeface="Aptos Display" panose="020B0004020202020204" pitchFamily="34" charset="0"/>
                <a:ea typeface="+mn-ea"/>
                <a:cs typeface="+mn-cs"/>
              </a:rPr>
              <a:t> </a:t>
            </a:r>
            <a:r>
              <a:rPr lang="en-IN" sz="1200" b="0" i="0" u="none" strike="noStrike">
                <a:solidFill>
                  <a:srgbClr val="002060"/>
                </a:solidFill>
                <a:effectLst/>
                <a:latin typeface="Aptos Display" panose="020B0004020202020204" pitchFamily="34" charset="0"/>
                <a:ea typeface="+mn-ea"/>
                <a:cs typeface="+mn-cs"/>
              </a:rPr>
              <a:t>Returns Products</a:t>
            </a:r>
          </a:p>
          <a:p>
            <a:pPr algn="l"/>
            <a:endParaRPr lang="en-IN" sz="1200" b="0">
              <a:solidFill>
                <a:srgbClr val="002060"/>
              </a:solidFill>
              <a:latin typeface="Aptos Display" panose="020B0004020202020204" pitchFamily="34" charset="0"/>
            </a:endParaRPr>
          </a:p>
          <a:p>
            <a:pPr algn="l"/>
            <a:r>
              <a:rPr lang="en-IN" sz="1200" b="1">
                <a:solidFill>
                  <a:srgbClr val="002060"/>
                </a:solidFill>
                <a:latin typeface="Aptos Display" panose="020B0004020202020204" pitchFamily="34" charset="0"/>
              </a:rPr>
              <a:t>2. </a:t>
            </a:r>
            <a:r>
              <a:rPr lang="en-IN" sz="1200" b="1" i="0" u="none" strike="noStrike">
                <a:solidFill>
                  <a:srgbClr val="002060"/>
                </a:solidFill>
                <a:effectLst/>
                <a:latin typeface="Aptos Display" panose="020B0004020202020204" pitchFamily="34" charset="0"/>
                <a:ea typeface="+mn-ea"/>
                <a:cs typeface="+mn-cs"/>
              </a:rPr>
              <a:t>Milko Gold </a:t>
            </a:r>
            <a:r>
              <a:rPr lang="en-IN" sz="1200" b="0" i="0" u="none" strike="noStrike">
                <a:solidFill>
                  <a:srgbClr val="002060"/>
                </a:solidFill>
                <a:effectLst/>
                <a:latin typeface="Aptos Display" panose="020B0004020202020204" pitchFamily="34" charset="0"/>
                <a:ea typeface="+mn-ea"/>
                <a:cs typeface="+mn-cs"/>
              </a:rPr>
              <a:t>Have </a:t>
            </a:r>
            <a:r>
              <a:rPr lang="en-IN" sz="1200" b="1" i="1" u="none" strike="noStrike">
                <a:solidFill>
                  <a:srgbClr val="002060"/>
                </a:solidFill>
                <a:effectLst/>
                <a:latin typeface="Aptos Display" panose="020B0004020202020204" pitchFamily="34" charset="0"/>
                <a:ea typeface="+mn-ea"/>
                <a:cs typeface="+mn-cs"/>
              </a:rPr>
              <a:t>12.15%</a:t>
            </a:r>
            <a:r>
              <a:rPr lang="en-IN" sz="1200" b="0" i="0" u="none" strike="noStrike">
                <a:solidFill>
                  <a:srgbClr val="002060"/>
                </a:solidFill>
                <a:effectLst/>
                <a:latin typeface="Aptos Display" panose="020B0004020202020204" pitchFamily="34" charset="0"/>
                <a:ea typeface="+mn-ea"/>
                <a:cs typeface="+mn-cs"/>
              </a:rPr>
              <a:t> Return Rate</a:t>
            </a:r>
          </a:p>
        </xdr:txBody>
      </xdr:sp>
      <xdr:sp macro="" textlink="">
        <xdr:nvSpPr>
          <xdr:cNvPr id="139" name="L-Shape 138">
            <a:extLst>
              <a:ext uri="{FF2B5EF4-FFF2-40B4-BE49-F238E27FC236}">
                <a16:creationId xmlns:a16="http://schemas.microsoft.com/office/drawing/2014/main" id="{6192F89B-CC91-F06E-5E04-5C14D67C5E2C}"/>
              </a:ext>
            </a:extLst>
          </xdr:cNvPr>
          <xdr:cNvSpPr/>
        </xdr:nvSpPr>
        <xdr:spPr>
          <a:xfrm rot="5400000">
            <a:off x="32004013" y="3093713"/>
            <a:ext cx="236220" cy="335293"/>
          </a:xfrm>
          <a:prstGeom prst="corner">
            <a:avLst>
              <a:gd name="adj1" fmla="val 33871"/>
              <a:gd name="adj2" fmla="val 24494"/>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0" name="L-Shape 139">
            <a:extLst>
              <a:ext uri="{FF2B5EF4-FFF2-40B4-BE49-F238E27FC236}">
                <a16:creationId xmlns:a16="http://schemas.microsoft.com/office/drawing/2014/main" id="{72CD4CD5-2A81-7F41-B3E0-38EDF9102630}"/>
              </a:ext>
            </a:extLst>
          </xdr:cNvPr>
          <xdr:cNvSpPr/>
        </xdr:nvSpPr>
        <xdr:spPr>
          <a:xfrm rot="16200000">
            <a:off x="34053875" y="5852153"/>
            <a:ext cx="236220" cy="335293"/>
          </a:xfrm>
          <a:prstGeom prst="corner">
            <a:avLst>
              <a:gd name="adj1" fmla="val 33871"/>
              <a:gd name="adj2" fmla="val 24494"/>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42" name="Graphic 141" descr="Downward trend graph with solid fill">
            <a:extLst>
              <a:ext uri="{FF2B5EF4-FFF2-40B4-BE49-F238E27FC236}">
                <a16:creationId xmlns:a16="http://schemas.microsoft.com/office/drawing/2014/main" id="{B626E745-281D-2E6D-0A64-339EFD07B9BE}"/>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4396680" y="4507697"/>
            <a:ext cx="350520" cy="388620"/>
          </a:xfrm>
          <a:prstGeom prst="rect">
            <a:avLst/>
          </a:prstGeom>
          <a:effectLst>
            <a:innerShdw blurRad="63500" dist="50800" dir="8100000">
              <a:prstClr val="black">
                <a:alpha val="50000"/>
              </a:prstClr>
            </a:innerShdw>
          </a:effectLst>
        </xdr:spPr>
      </xdr:pic>
      <xdr:pic>
        <xdr:nvPicPr>
          <xdr:cNvPr id="144" name="Graphic 143" descr="Pie chart with solid fill">
            <a:extLst>
              <a:ext uri="{FF2B5EF4-FFF2-40B4-BE49-F238E27FC236}">
                <a16:creationId xmlns:a16="http://schemas.microsoft.com/office/drawing/2014/main" id="{669BB496-373F-318C-5708-2948E0C2F6C7}"/>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4409520" y="4034271"/>
            <a:ext cx="330060" cy="330060"/>
          </a:xfrm>
          <a:prstGeom prst="rect">
            <a:avLst/>
          </a:prstGeom>
        </xdr:spPr>
      </xdr:pic>
    </xdr:grpSp>
    <xdr:clientData/>
  </xdr:twoCellAnchor>
  <xdr:twoCellAnchor>
    <xdr:from>
      <xdr:col>68</xdr:col>
      <xdr:colOff>508432</xdr:colOff>
      <xdr:row>11</xdr:row>
      <xdr:rowOff>26395</xdr:rowOff>
    </xdr:from>
    <xdr:to>
      <xdr:col>69</xdr:col>
      <xdr:colOff>70876</xdr:colOff>
      <xdr:row>12</xdr:row>
      <xdr:rowOff>124595</xdr:rowOff>
    </xdr:to>
    <xdr:sp macro="" textlink="">
      <xdr:nvSpPr>
        <xdr:cNvPr id="206" name="Arrow: Down 205">
          <a:extLst>
            <a:ext uri="{FF2B5EF4-FFF2-40B4-BE49-F238E27FC236}">
              <a16:creationId xmlns:a16="http://schemas.microsoft.com/office/drawing/2014/main" id="{E6212868-2672-46C5-9C0F-F47E53B6D8E0}"/>
            </a:ext>
          </a:extLst>
        </xdr:cNvPr>
        <xdr:cNvSpPr/>
      </xdr:nvSpPr>
      <xdr:spPr>
        <a:xfrm rot="10800000">
          <a:off x="41961232" y="2043454"/>
          <a:ext cx="172044" cy="277494"/>
        </a:xfrm>
        <a:prstGeom prst="downArrow">
          <a:avLst/>
        </a:prstGeom>
        <a:solidFill>
          <a:srgbClr val="FF0000"/>
        </a:solidFill>
        <a:ln w="3175">
          <a:solidFill>
            <a:srgbClr val="002060"/>
          </a:solidFill>
        </a:ln>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76</xdr:col>
      <xdr:colOff>481538</xdr:colOff>
      <xdr:row>9</xdr:row>
      <xdr:rowOff>169829</xdr:rowOff>
    </xdr:from>
    <xdr:to>
      <xdr:col>77</xdr:col>
      <xdr:colOff>43982</xdr:colOff>
      <xdr:row>11</xdr:row>
      <xdr:rowOff>88735</xdr:rowOff>
    </xdr:to>
    <xdr:sp macro="" textlink="">
      <xdr:nvSpPr>
        <xdr:cNvPr id="209" name="Arrow: Down 208">
          <a:extLst>
            <a:ext uri="{FF2B5EF4-FFF2-40B4-BE49-F238E27FC236}">
              <a16:creationId xmlns:a16="http://schemas.microsoft.com/office/drawing/2014/main" id="{4D5BC2B5-C51C-4CA9-8F7C-AD7F02F42F4D}"/>
            </a:ext>
          </a:extLst>
        </xdr:cNvPr>
        <xdr:cNvSpPr/>
      </xdr:nvSpPr>
      <xdr:spPr>
        <a:xfrm rot="10800000">
          <a:off x="46811138" y="1828300"/>
          <a:ext cx="172044" cy="277494"/>
        </a:xfrm>
        <a:prstGeom prst="downArrow">
          <a:avLst/>
        </a:prstGeom>
        <a:solidFill>
          <a:srgbClr val="FF0000"/>
        </a:solidFill>
        <a:ln w="3175">
          <a:solidFill>
            <a:srgbClr val="002060"/>
          </a:solidFill>
        </a:ln>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76</xdr:col>
      <xdr:colOff>490503</xdr:colOff>
      <xdr:row>12</xdr:row>
      <xdr:rowOff>17429</xdr:rowOff>
    </xdr:from>
    <xdr:to>
      <xdr:col>77</xdr:col>
      <xdr:colOff>52947</xdr:colOff>
      <xdr:row>13</xdr:row>
      <xdr:rowOff>115629</xdr:rowOff>
    </xdr:to>
    <xdr:sp macro="" textlink="">
      <xdr:nvSpPr>
        <xdr:cNvPr id="210" name="Arrow: Down 209">
          <a:extLst>
            <a:ext uri="{FF2B5EF4-FFF2-40B4-BE49-F238E27FC236}">
              <a16:creationId xmlns:a16="http://schemas.microsoft.com/office/drawing/2014/main" id="{2A839316-6144-4E6E-823D-1042338547D8}"/>
            </a:ext>
          </a:extLst>
        </xdr:cNvPr>
        <xdr:cNvSpPr/>
      </xdr:nvSpPr>
      <xdr:spPr>
        <a:xfrm rot="10800000">
          <a:off x="46820103" y="2213782"/>
          <a:ext cx="172044" cy="277494"/>
        </a:xfrm>
        <a:prstGeom prst="downArrow">
          <a:avLst/>
        </a:prstGeom>
        <a:solidFill>
          <a:srgbClr val="FF0000"/>
        </a:solidFill>
        <a:ln w="3175">
          <a:solidFill>
            <a:srgbClr val="002060"/>
          </a:solidFill>
        </a:ln>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69</xdr:col>
      <xdr:colOff>582706</xdr:colOff>
      <xdr:row>30</xdr:row>
      <xdr:rowOff>143436</xdr:rowOff>
    </xdr:from>
    <xdr:to>
      <xdr:col>70</xdr:col>
      <xdr:colOff>100269</xdr:colOff>
      <xdr:row>31</xdr:row>
      <xdr:rowOff>90996</xdr:rowOff>
    </xdr:to>
    <xdr:sp macro="" textlink="">
      <xdr:nvSpPr>
        <xdr:cNvPr id="211" name="Oval 210">
          <a:extLst>
            <a:ext uri="{FF2B5EF4-FFF2-40B4-BE49-F238E27FC236}">
              <a16:creationId xmlns:a16="http://schemas.microsoft.com/office/drawing/2014/main" id="{DAE0E751-64B6-4A4F-8C8E-7BC0FB846616}"/>
            </a:ext>
          </a:extLst>
        </xdr:cNvPr>
        <xdr:cNvSpPr/>
      </xdr:nvSpPr>
      <xdr:spPr>
        <a:xfrm>
          <a:off x="42645106" y="5567083"/>
          <a:ext cx="127163" cy="126854"/>
        </a:xfrm>
        <a:prstGeom prst="ellipse">
          <a:avLst/>
        </a:prstGeom>
        <a:solidFill>
          <a:srgbClr val="FF000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82</xdr:col>
      <xdr:colOff>220132</xdr:colOff>
      <xdr:row>0</xdr:row>
      <xdr:rowOff>118532</xdr:rowOff>
    </xdr:from>
    <xdr:to>
      <xdr:col>99</xdr:col>
      <xdr:colOff>286871</xdr:colOff>
      <xdr:row>2</xdr:row>
      <xdr:rowOff>110067</xdr:rowOff>
    </xdr:to>
    <xdr:sp macro="" textlink="">
      <xdr:nvSpPr>
        <xdr:cNvPr id="213" name="Rectangle: Rounded Corners 212">
          <a:extLst>
            <a:ext uri="{FF2B5EF4-FFF2-40B4-BE49-F238E27FC236}">
              <a16:creationId xmlns:a16="http://schemas.microsoft.com/office/drawing/2014/main" id="{D27B0DF7-3CFF-4B09-A824-EAB32ED8E924}"/>
            </a:ext>
          </a:extLst>
        </xdr:cNvPr>
        <xdr:cNvSpPr/>
      </xdr:nvSpPr>
      <xdr:spPr>
        <a:xfrm>
          <a:off x="50207332" y="118532"/>
          <a:ext cx="10429939" cy="394947"/>
        </a:xfrm>
        <a:prstGeom prst="roundRect">
          <a:avLst>
            <a:gd name="adj" fmla="val 12500"/>
          </a:avLst>
        </a:prstGeom>
        <a:solidFill>
          <a:srgbClr val="FEFCAA"/>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rgbClr val="002060"/>
              </a:solidFill>
              <a:latin typeface="Verdana Pro Black" panose="020B0A04030504040204" pitchFamily="34" charset="0"/>
            </a:rPr>
            <a:t>NOTES</a:t>
          </a:r>
          <a:endParaRPr lang="en-IN" sz="1400" b="1">
            <a:solidFill>
              <a:srgbClr val="002060"/>
            </a:solidFill>
            <a:latin typeface="Verdana Pro Black" panose="020B0A04030504040204" pitchFamily="34" charset="0"/>
          </a:endParaRPr>
        </a:p>
      </xdr:txBody>
    </xdr:sp>
    <xdr:clientData/>
  </xdr:twoCellAnchor>
  <xdr:twoCellAnchor>
    <xdr:from>
      <xdr:col>82</xdr:col>
      <xdr:colOff>221562</xdr:colOff>
      <xdr:row>3</xdr:row>
      <xdr:rowOff>8465</xdr:rowOff>
    </xdr:from>
    <xdr:to>
      <xdr:col>90</xdr:col>
      <xdr:colOff>546847</xdr:colOff>
      <xdr:row>22</xdr:row>
      <xdr:rowOff>107576</xdr:rowOff>
    </xdr:to>
    <xdr:grpSp>
      <xdr:nvGrpSpPr>
        <xdr:cNvPr id="214" name="Group 213">
          <a:extLst>
            <a:ext uri="{FF2B5EF4-FFF2-40B4-BE49-F238E27FC236}">
              <a16:creationId xmlns:a16="http://schemas.microsoft.com/office/drawing/2014/main" id="{B809E3B6-9908-4F39-B304-0637989F7B9A}"/>
            </a:ext>
          </a:extLst>
        </xdr:cNvPr>
        <xdr:cNvGrpSpPr/>
      </xdr:nvGrpSpPr>
      <xdr:grpSpPr>
        <a:xfrm>
          <a:off x="49866384" y="603451"/>
          <a:ext cx="5168682" cy="3669029"/>
          <a:chOff x="20338362" y="591171"/>
          <a:chExt cx="5202085" cy="3505699"/>
        </a:xfrm>
      </xdr:grpSpPr>
      <xdr:sp macro="" textlink="">
        <xdr:nvSpPr>
          <xdr:cNvPr id="215" name="Rectangle: Rounded Corners 214">
            <a:extLst>
              <a:ext uri="{FF2B5EF4-FFF2-40B4-BE49-F238E27FC236}">
                <a16:creationId xmlns:a16="http://schemas.microsoft.com/office/drawing/2014/main" id="{A5307EF9-B67F-FD65-3360-BF20D4F35C30}"/>
              </a:ext>
            </a:extLst>
          </xdr:cNvPr>
          <xdr:cNvSpPr/>
        </xdr:nvSpPr>
        <xdr:spPr>
          <a:xfrm>
            <a:off x="20338362" y="591171"/>
            <a:ext cx="5202085" cy="3505699"/>
          </a:xfrm>
          <a:prstGeom prst="roundRect">
            <a:avLst>
              <a:gd name="adj" fmla="val 904"/>
            </a:avLst>
          </a:prstGeom>
          <a:solidFill>
            <a:srgbClr val="FEFCAA"/>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b="1">
              <a:solidFill>
                <a:srgbClr val="002060"/>
              </a:solidFill>
              <a:latin typeface="Verdana Pro Black" panose="020B0A04030504040204" pitchFamily="34" charset="0"/>
            </a:endParaRPr>
          </a:p>
        </xdr:txBody>
      </xdr:sp>
      <xdr:grpSp>
        <xdr:nvGrpSpPr>
          <xdr:cNvPr id="216" name="Group 215">
            <a:extLst>
              <a:ext uri="{FF2B5EF4-FFF2-40B4-BE49-F238E27FC236}">
                <a16:creationId xmlns:a16="http://schemas.microsoft.com/office/drawing/2014/main" id="{A4061E14-FBA4-1DE1-BB02-8FD0B54492E1}"/>
              </a:ext>
            </a:extLst>
          </xdr:cNvPr>
          <xdr:cNvGrpSpPr/>
        </xdr:nvGrpSpPr>
        <xdr:grpSpPr>
          <a:xfrm>
            <a:off x="21678861" y="681837"/>
            <a:ext cx="2947185" cy="3337855"/>
            <a:chOff x="23461980" y="2910840"/>
            <a:chExt cx="3002280" cy="3208020"/>
          </a:xfrm>
        </xdr:grpSpPr>
        <xdr:sp macro="" textlink="">
          <xdr:nvSpPr>
            <xdr:cNvPr id="217" name="Rectangle: Rounded Corners 216">
              <a:extLst>
                <a:ext uri="{FF2B5EF4-FFF2-40B4-BE49-F238E27FC236}">
                  <a16:creationId xmlns:a16="http://schemas.microsoft.com/office/drawing/2014/main" id="{DFD2B5F4-2DC8-0F39-E745-851BF9A0748C}"/>
                </a:ext>
              </a:extLst>
            </xdr:cNvPr>
            <xdr:cNvSpPr/>
          </xdr:nvSpPr>
          <xdr:spPr>
            <a:xfrm>
              <a:off x="26068020" y="3799392"/>
              <a:ext cx="396240" cy="842766"/>
            </a:xfrm>
            <a:prstGeom prst="roundRect">
              <a:avLst>
                <a:gd name="adj" fmla="val 30769"/>
              </a:avLst>
            </a:prstGeom>
            <a:solidFill>
              <a:schemeClr val="accent2">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8" name="Rectangle: Rounded Corners 217">
              <a:extLst>
                <a:ext uri="{FF2B5EF4-FFF2-40B4-BE49-F238E27FC236}">
                  <a16:creationId xmlns:a16="http://schemas.microsoft.com/office/drawing/2014/main" id="{C2AC7990-C20B-B281-3CF6-933C2C8C964E}"/>
                </a:ext>
              </a:extLst>
            </xdr:cNvPr>
            <xdr:cNvSpPr/>
          </xdr:nvSpPr>
          <xdr:spPr>
            <a:xfrm>
              <a:off x="26014680" y="3730813"/>
              <a:ext cx="396240" cy="842766"/>
            </a:xfrm>
            <a:prstGeom prst="roundRect">
              <a:avLst>
                <a:gd name="adj" fmla="val 30769"/>
              </a:avLst>
            </a:prstGeom>
            <a:solidFill>
              <a:schemeClr val="accent4">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9" name="Rectangle: Rounded Corners 218">
              <a:extLst>
                <a:ext uri="{FF2B5EF4-FFF2-40B4-BE49-F238E27FC236}">
                  <a16:creationId xmlns:a16="http://schemas.microsoft.com/office/drawing/2014/main" id="{A5EBA30D-D248-7097-54A8-AA743EAAABF5}"/>
                </a:ext>
              </a:extLst>
            </xdr:cNvPr>
            <xdr:cNvSpPr/>
          </xdr:nvSpPr>
          <xdr:spPr>
            <a:xfrm>
              <a:off x="23461980" y="2910840"/>
              <a:ext cx="2491740" cy="3116580"/>
            </a:xfrm>
            <a:prstGeom prst="roundRect">
              <a:avLst>
                <a:gd name="adj" fmla="val 0"/>
              </a:avLst>
            </a:prstGeom>
            <a:solidFill>
              <a:schemeClr val="accent2">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rgbClr val="002060"/>
                </a:solidFill>
                <a:latin typeface="Aptos Display" panose="020B0004020202020204" pitchFamily="34" charset="0"/>
              </a:endParaRPr>
            </a:p>
          </xdr:txBody>
        </xdr:sp>
        <xdr:sp macro="" textlink="">
          <xdr:nvSpPr>
            <xdr:cNvPr id="220" name="Rectangle: Rounded Corners 219">
              <a:extLst>
                <a:ext uri="{FF2B5EF4-FFF2-40B4-BE49-F238E27FC236}">
                  <a16:creationId xmlns:a16="http://schemas.microsoft.com/office/drawing/2014/main" id="{7B01AC16-6BD6-0DB9-F911-936EF9699192}"/>
                </a:ext>
              </a:extLst>
            </xdr:cNvPr>
            <xdr:cNvSpPr/>
          </xdr:nvSpPr>
          <xdr:spPr>
            <a:xfrm>
              <a:off x="23568660" y="3002280"/>
              <a:ext cx="2491740" cy="3116580"/>
            </a:xfrm>
            <a:prstGeom prst="roundRect">
              <a:avLst>
                <a:gd name="adj" fmla="val 0"/>
              </a:avLst>
            </a:prstGeom>
            <a:solidFill>
              <a:schemeClr val="accent4">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400" b="1" i="0" u="sng" strike="noStrike">
                <a:solidFill>
                  <a:srgbClr val="002060"/>
                </a:solidFill>
                <a:effectLst/>
                <a:latin typeface="Aptos Display" panose="020B0004020202020204" pitchFamily="34" charset="0"/>
                <a:ea typeface="+mn-ea"/>
                <a:cs typeface="+mn-cs"/>
              </a:endParaRPr>
            </a:p>
            <a:p>
              <a:pPr algn="ctr"/>
              <a:r>
                <a:rPr lang="en-IN" sz="1400" b="1" i="0" u="sng" strike="noStrike">
                  <a:solidFill>
                    <a:srgbClr val="002060"/>
                  </a:solidFill>
                  <a:effectLst/>
                  <a:latin typeface="Aptos Display" panose="020B0004020202020204" pitchFamily="34" charset="0"/>
                  <a:ea typeface="+mn-ea"/>
                  <a:cs typeface="+mn-cs"/>
                </a:rPr>
                <a:t>MARETING</a:t>
              </a:r>
              <a:r>
                <a:rPr lang="en-IN" sz="1400" b="1" i="0" u="sng" strike="noStrike" baseline="0">
                  <a:solidFill>
                    <a:srgbClr val="002060"/>
                  </a:solidFill>
                  <a:effectLst/>
                  <a:latin typeface="Aptos Display" panose="020B0004020202020204" pitchFamily="34" charset="0"/>
                  <a:ea typeface="+mn-ea"/>
                  <a:cs typeface="+mn-cs"/>
                </a:rPr>
                <a:t> SPEND </a:t>
              </a:r>
            </a:p>
            <a:p>
              <a:pPr algn="ctr"/>
              <a:r>
                <a:rPr lang="en-IN" sz="1400" b="1" i="0" u="sng" strike="noStrike">
                  <a:solidFill>
                    <a:srgbClr val="002060"/>
                  </a:solidFill>
                  <a:effectLst/>
                  <a:latin typeface="Aptos Display" panose="020B0004020202020204" pitchFamily="34" charset="0"/>
                  <a:ea typeface="+mn-ea"/>
                  <a:cs typeface="+mn-cs"/>
                </a:rPr>
                <a:t>INSIGHTS</a:t>
              </a:r>
            </a:p>
            <a:p>
              <a:pPr algn="l"/>
              <a:endParaRPr lang="en-IN" sz="1200" b="1" i="0" u="none" strike="noStrike">
                <a:solidFill>
                  <a:srgbClr val="002060"/>
                </a:solidFill>
                <a:effectLst/>
                <a:latin typeface="Aptos Display" panose="020B0004020202020204" pitchFamily="34" charset="0"/>
                <a:ea typeface="+mn-ea"/>
                <a:cs typeface="+mn-cs"/>
              </a:endParaRPr>
            </a:p>
            <a:p>
              <a:pPr algn="l"/>
              <a:endParaRPr lang="en-IN" sz="1200" b="1" i="0" u="none" strike="noStrike">
                <a:solidFill>
                  <a:srgbClr val="002060"/>
                </a:solidFill>
                <a:effectLst/>
                <a:latin typeface="Aptos Display" panose="020B0004020202020204" pitchFamily="34" charset="0"/>
                <a:ea typeface="+mn-ea"/>
                <a:cs typeface="+mn-cs"/>
              </a:endParaRPr>
            </a:p>
            <a:p>
              <a:pPr algn="l"/>
              <a:r>
                <a:rPr lang="en-IN" sz="1200" b="1" i="0" u="none" strike="noStrike">
                  <a:solidFill>
                    <a:srgbClr val="002060"/>
                  </a:solidFill>
                  <a:effectLst/>
                  <a:latin typeface="Aptos Display" panose="020B0004020202020204" pitchFamily="34" charset="0"/>
                  <a:ea typeface="+mn-ea"/>
                  <a:cs typeface="+mn-cs"/>
                </a:rPr>
                <a:t>1. </a:t>
              </a:r>
              <a:r>
                <a:rPr lang="en-IN" sz="1200" b="0" i="0" u="none" strike="noStrike">
                  <a:solidFill>
                    <a:srgbClr val="002060"/>
                  </a:solidFill>
                  <a:effectLst/>
                  <a:latin typeface="Aptos Display" panose="020B0004020202020204" pitchFamily="34" charset="0"/>
                  <a:ea typeface="+mn-ea"/>
                  <a:cs typeface="+mn-cs"/>
                </a:rPr>
                <a:t>Marketing Spending Have Been </a:t>
              </a:r>
              <a:r>
                <a:rPr lang="en-IN" sz="1200" b="1" i="0" u="none" strike="noStrike">
                  <a:solidFill>
                    <a:srgbClr val="002060"/>
                  </a:solidFill>
                  <a:effectLst/>
                  <a:latin typeface="Aptos Display" panose="020B0004020202020204" pitchFamily="34" charset="0"/>
                  <a:ea typeface="+mn-ea"/>
                  <a:cs typeface="+mn-cs"/>
                </a:rPr>
                <a:t>Dropped By </a:t>
              </a:r>
              <a:r>
                <a:rPr lang="en-IN" sz="1200" b="1" i="1" u="none" strike="noStrike">
                  <a:solidFill>
                    <a:srgbClr val="002060"/>
                  </a:solidFill>
                  <a:effectLst/>
                  <a:latin typeface="Aptos Display" panose="020B0004020202020204" pitchFamily="34" charset="0"/>
                  <a:ea typeface="+mn-ea"/>
                  <a:cs typeface="+mn-cs"/>
                </a:rPr>
                <a:t>37%</a:t>
              </a:r>
              <a:r>
                <a:rPr lang="en-IN" sz="1200" b="1" i="0" u="none" strike="noStrike">
                  <a:solidFill>
                    <a:srgbClr val="002060"/>
                  </a:solidFill>
                  <a:effectLst/>
                  <a:latin typeface="Aptos Display" panose="020B0004020202020204" pitchFamily="34" charset="0"/>
                  <a:ea typeface="+mn-ea"/>
                  <a:cs typeface="+mn-cs"/>
                </a:rPr>
                <a:t> CAGR </a:t>
              </a:r>
              <a:r>
                <a:rPr lang="en-IN" sz="1200" b="0" i="0" u="none" strike="noStrike">
                  <a:solidFill>
                    <a:srgbClr val="002060"/>
                  </a:solidFill>
                  <a:effectLst/>
                  <a:latin typeface="Aptos Display" panose="020B0004020202020204" pitchFamily="34" charset="0"/>
                  <a:ea typeface="+mn-ea"/>
                  <a:cs typeface="+mn-cs"/>
                </a:rPr>
                <a:t>Till 2005 And It </a:t>
              </a:r>
              <a:r>
                <a:rPr lang="en-IN" sz="1200" b="1" i="0" u="none" strike="noStrike">
                  <a:solidFill>
                    <a:srgbClr val="002060"/>
                  </a:solidFill>
                  <a:effectLst/>
                  <a:latin typeface="Aptos Display" panose="020B0004020202020204" pitchFamily="34" charset="0"/>
                  <a:ea typeface="+mn-ea"/>
                  <a:cs typeface="+mn-cs"/>
                </a:rPr>
                <a:t>Was Negative Drop Throughout That Years</a:t>
              </a:r>
              <a:endParaRPr lang="en-IN" sz="1400" b="1">
                <a:solidFill>
                  <a:srgbClr val="002060"/>
                </a:solidFill>
                <a:latin typeface="Aptos Display" panose="020B0004020202020204" pitchFamily="34" charset="0"/>
              </a:endParaRPr>
            </a:p>
          </xdr:txBody>
        </xdr:sp>
        <xdr:sp macro="" textlink="">
          <xdr:nvSpPr>
            <xdr:cNvPr id="221" name="L-Shape 220">
              <a:extLst>
                <a:ext uri="{FF2B5EF4-FFF2-40B4-BE49-F238E27FC236}">
                  <a16:creationId xmlns:a16="http://schemas.microsoft.com/office/drawing/2014/main" id="{08C59E39-9978-01AF-9E22-06629DC350B0}"/>
                </a:ext>
              </a:extLst>
            </xdr:cNvPr>
            <xdr:cNvSpPr/>
          </xdr:nvSpPr>
          <xdr:spPr>
            <a:xfrm rot="5400000">
              <a:off x="23667720" y="3009900"/>
              <a:ext cx="236220" cy="335280"/>
            </a:xfrm>
            <a:prstGeom prst="corner">
              <a:avLst>
                <a:gd name="adj1" fmla="val 33871"/>
                <a:gd name="adj2" fmla="val 24494"/>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3" name="L-Shape 222">
              <a:extLst>
                <a:ext uri="{FF2B5EF4-FFF2-40B4-BE49-F238E27FC236}">
                  <a16:creationId xmlns:a16="http://schemas.microsoft.com/office/drawing/2014/main" id="{4B43F97E-0C12-98ED-3323-3FE9FA1C5063}"/>
                </a:ext>
              </a:extLst>
            </xdr:cNvPr>
            <xdr:cNvSpPr/>
          </xdr:nvSpPr>
          <xdr:spPr>
            <a:xfrm rot="16200000">
              <a:off x="25717500" y="5768340"/>
              <a:ext cx="236220" cy="335280"/>
            </a:xfrm>
            <a:prstGeom prst="corner">
              <a:avLst>
                <a:gd name="adj1" fmla="val 33871"/>
                <a:gd name="adj2" fmla="val 24494"/>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clientData/>
  </xdr:twoCellAnchor>
  <xdr:twoCellAnchor>
    <xdr:from>
      <xdr:col>91</xdr:col>
      <xdr:colOff>89646</xdr:colOff>
      <xdr:row>3</xdr:row>
      <xdr:rowOff>8466</xdr:rowOff>
    </xdr:from>
    <xdr:to>
      <xdr:col>99</xdr:col>
      <xdr:colOff>268941</xdr:colOff>
      <xdr:row>22</xdr:row>
      <xdr:rowOff>108278</xdr:rowOff>
    </xdr:to>
    <xdr:sp macro="" textlink="">
      <xdr:nvSpPr>
        <xdr:cNvPr id="224" name="Rectangle: Rounded Corners 223">
          <a:extLst>
            <a:ext uri="{FF2B5EF4-FFF2-40B4-BE49-F238E27FC236}">
              <a16:creationId xmlns:a16="http://schemas.microsoft.com/office/drawing/2014/main" id="{0D248015-C75D-45D6-A2A8-E483DB88EADD}"/>
            </a:ext>
          </a:extLst>
        </xdr:cNvPr>
        <xdr:cNvSpPr/>
      </xdr:nvSpPr>
      <xdr:spPr>
        <a:xfrm>
          <a:off x="55563246" y="591172"/>
          <a:ext cx="5056095" cy="3506400"/>
        </a:xfrm>
        <a:prstGeom prst="roundRect">
          <a:avLst>
            <a:gd name="adj" fmla="val 904"/>
          </a:avLst>
        </a:prstGeom>
        <a:solidFill>
          <a:srgbClr val="FEFCAA"/>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b="1">
            <a:solidFill>
              <a:srgbClr val="002060"/>
            </a:solidFill>
            <a:latin typeface="Verdana Pro Black" panose="020B0A04030504040204" pitchFamily="34" charset="0"/>
          </a:endParaRPr>
        </a:p>
      </xdr:txBody>
    </xdr:sp>
    <xdr:clientData/>
  </xdr:twoCellAnchor>
  <xdr:twoCellAnchor>
    <xdr:from>
      <xdr:col>92</xdr:col>
      <xdr:colOff>177486</xdr:colOff>
      <xdr:row>3</xdr:row>
      <xdr:rowOff>99151</xdr:rowOff>
    </xdr:from>
    <xdr:to>
      <xdr:col>97</xdr:col>
      <xdr:colOff>367554</xdr:colOff>
      <xdr:row>22</xdr:row>
      <xdr:rowOff>31086</xdr:rowOff>
    </xdr:to>
    <xdr:grpSp>
      <xdr:nvGrpSpPr>
        <xdr:cNvPr id="225" name="Group 224">
          <a:extLst>
            <a:ext uri="{FF2B5EF4-FFF2-40B4-BE49-F238E27FC236}">
              <a16:creationId xmlns:a16="http://schemas.microsoft.com/office/drawing/2014/main" id="{44FFDA39-2824-40E7-89AF-CA9BBABA2C0D}"/>
            </a:ext>
          </a:extLst>
        </xdr:cNvPr>
        <xdr:cNvGrpSpPr/>
      </xdr:nvGrpSpPr>
      <xdr:grpSpPr>
        <a:xfrm>
          <a:off x="55876554" y="694137"/>
          <a:ext cx="3217192" cy="3501853"/>
          <a:chOff x="24086820" y="563880"/>
          <a:chExt cx="3002400" cy="3208020"/>
        </a:xfrm>
      </xdr:grpSpPr>
      <xdr:sp macro="" textlink="">
        <xdr:nvSpPr>
          <xdr:cNvPr id="226" name="Rectangle: Rounded Corners 225">
            <a:extLst>
              <a:ext uri="{FF2B5EF4-FFF2-40B4-BE49-F238E27FC236}">
                <a16:creationId xmlns:a16="http://schemas.microsoft.com/office/drawing/2014/main" id="{30AADE48-0177-32B7-4BEF-9D01157E45FE}"/>
              </a:ext>
            </a:extLst>
          </xdr:cNvPr>
          <xdr:cNvSpPr/>
        </xdr:nvSpPr>
        <xdr:spPr>
          <a:xfrm>
            <a:off x="26692964" y="1605352"/>
            <a:ext cx="396256" cy="1921320"/>
          </a:xfrm>
          <a:prstGeom prst="roundRect">
            <a:avLst>
              <a:gd name="adj" fmla="val 30769"/>
            </a:avLst>
          </a:prstGeom>
          <a:solidFill>
            <a:schemeClr val="accent2">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7" name="Rectangle: Rounded Corners 226">
            <a:extLst>
              <a:ext uri="{FF2B5EF4-FFF2-40B4-BE49-F238E27FC236}">
                <a16:creationId xmlns:a16="http://schemas.microsoft.com/office/drawing/2014/main" id="{1E171CC5-0F84-0BD1-87AE-D692C0951800}"/>
              </a:ext>
            </a:extLst>
          </xdr:cNvPr>
          <xdr:cNvSpPr/>
        </xdr:nvSpPr>
        <xdr:spPr>
          <a:xfrm>
            <a:off x="26639622" y="1536774"/>
            <a:ext cx="396256" cy="1921320"/>
          </a:xfrm>
          <a:prstGeom prst="roundRect">
            <a:avLst>
              <a:gd name="adj" fmla="val 30769"/>
            </a:avLst>
          </a:prstGeom>
          <a:solidFill>
            <a:schemeClr val="accent4">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8" name="Rectangle: Rounded Corners 227">
            <a:extLst>
              <a:ext uri="{FF2B5EF4-FFF2-40B4-BE49-F238E27FC236}">
                <a16:creationId xmlns:a16="http://schemas.microsoft.com/office/drawing/2014/main" id="{F16CC99F-8C3D-FA45-E4D6-CB5A0FD9A200}"/>
              </a:ext>
            </a:extLst>
          </xdr:cNvPr>
          <xdr:cNvSpPr/>
        </xdr:nvSpPr>
        <xdr:spPr>
          <a:xfrm>
            <a:off x="24086820" y="563880"/>
            <a:ext cx="2491840" cy="3116580"/>
          </a:xfrm>
          <a:prstGeom prst="roundRect">
            <a:avLst>
              <a:gd name="adj" fmla="val 0"/>
            </a:avLst>
          </a:prstGeom>
          <a:solidFill>
            <a:schemeClr val="accent2">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rgbClr val="002060"/>
              </a:solidFill>
              <a:latin typeface="Aptos Display" panose="020B0004020202020204" pitchFamily="34" charset="0"/>
            </a:endParaRPr>
          </a:p>
        </xdr:txBody>
      </xdr:sp>
      <xdr:sp macro="" textlink="">
        <xdr:nvSpPr>
          <xdr:cNvPr id="229" name="Rectangle: Rounded Corners 228">
            <a:extLst>
              <a:ext uri="{FF2B5EF4-FFF2-40B4-BE49-F238E27FC236}">
                <a16:creationId xmlns:a16="http://schemas.microsoft.com/office/drawing/2014/main" id="{E4A3C16B-F2C2-2E31-5C03-20A2E1AC3F27}"/>
              </a:ext>
            </a:extLst>
          </xdr:cNvPr>
          <xdr:cNvSpPr/>
        </xdr:nvSpPr>
        <xdr:spPr>
          <a:xfrm>
            <a:off x="24193504" y="655320"/>
            <a:ext cx="2491840" cy="3116580"/>
          </a:xfrm>
          <a:prstGeom prst="roundRect">
            <a:avLst>
              <a:gd name="adj" fmla="val 0"/>
            </a:avLst>
          </a:prstGeom>
          <a:solidFill>
            <a:schemeClr val="accent4">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400" b="1" i="0" u="sng" strike="noStrike">
              <a:solidFill>
                <a:srgbClr val="002060"/>
              </a:solidFill>
              <a:effectLst/>
              <a:latin typeface="Aptos Display" panose="020B0004020202020204" pitchFamily="34" charset="0"/>
              <a:ea typeface="+mn-ea"/>
              <a:cs typeface="+mn-cs"/>
            </a:endParaRPr>
          </a:p>
          <a:p>
            <a:pPr algn="ctr"/>
            <a:r>
              <a:rPr lang="en-IN" sz="1400" b="1" i="0" u="sng" strike="noStrike">
                <a:solidFill>
                  <a:srgbClr val="002060"/>
                </a:solidFill>
                <a:effectLst/>
                <a:latin typeface="Aptos Display" panose="020B0004020202020204" pitchFamily="34" charset="0"/>
                <a:ea typeface="+mn-ea"/>
                <a:cs typeface="+mn-cs"/>
              </a:rPr>
              <a:t>MARKETING SPEND BY CATGORY</a:t>
            </a:r>
            <a:r>
              <a:rPr lang="en-IN" sz="1400" b="1" i="0" u="sng" strike="noStrike" baseline="0">
                <a:solidFill>
                  <a:srgbClr val="002060"/>
                </a:solidFill>
                <a:effectLst/>
                <a:latin typeface="Aptos Display" panose="020B0004020202020204" pitchFamily="34" charset="0"/>
                <a:ea typeface="+mn-ea"/>
                <a:cs typeface="+mn-cs"/>
              </a:rPr>
              <a:t> </a:t>
            </a:r>
            <a:r>
              <a:rPr lang="en-IN" sz="1400" b="1" i="0" u="sng" strike="noStrike">
                <a:solidFill>
                  <a:srgbClr val="002060"/>
                </a:solidFill>
                <a:effectLst/>
                <a:latin typeface="Aptos Display" panose="020B0004020202020204" pitchFamily="34" charset="0"/>
                <a:ea typeface="+mn-ea"/>
                <a:cs typeface="+mn-cs"/>
              </a:rPr>
              <a:t>INSIGHTS</a:t>
            </a:r>
          </a:p>
          <a:p>
            <a:pPr algn="l"/>
            <a:endParaRPr lang="en-IN" sz="1200" b="1" i="0" u="none" strike="noStrike">
              <a:solidFill>
                <a:srgbClr val="002060"/>
              </a:solidFill>
              <a:effectLst/>
              <a:latin typeface="Aptos Display" panose="020B0004020202020204" pitchFamily="34" charset="0"/>
              <a:ea typeface="+mn-ea"/>
              <a:cs typeface="+mn-cs"/>
            </a:endParaRPr>
          </a:p>
          <a:p>
            <a:pPr algn="l"/>
            <a:endParaRPr lang="en-IN" sz="1200" b="1" i="0" u="none" strike="noStrike">
              <a:solidFill>
                <a:srgbClr val="002060"/>
              </a:solidFill>
              <a:effectLst/>
              <a:latin typeface="Aptos Display" panose="020B0004020202020204" pitchFamily="34" charset="0"/>
              <a:ea typeface="+mn-ea"/>
              <a:cs typeface="+mn-cs"/>
            </a:endParaRPr>
          </a:p>
          <a:p>
            <a:pPr algn="l"/>
            <a:r>
              <a:rPr lang="en-IN" sz="1200" b="1" i="0" u="none" strike="noStrike">
                <a:solidFill>
                  <a:srgbClr val="002060"/>
                </a:solidFill>
                <a:effectLst/>
                <a:latin typeface="Aptos Display" panose="020B0004020202020204" pitchFamily="34" charset="0"/>
                <a:ea typeface="+mn-ea"/>
                <a:cs typeface="+mn-cs"/>
              </a:rPr>
              <a:t>1. Beverages</a:t>
            </a:r>
            <a:r>
              <a:rPr lang="en-IN" sz="1200" b="0" i="0" u="none" strike="noStrike">
                <a:solidFill>
                  <a:srgbClr val="002060"/>
                </a:solidFill>
                <a:effectLst/>
                <a:latin typeface="Aptos Display" panose="020B0004020202020204" pitchFamily="34" charset="0"/>
                <a:ea typeface="+mn-ea"/>
                <a:cs typeface="+mn-cs"/>
              </a:rPr>
              <a:t> Having Almost </a:t>
            </a:r>
            <a:r>
              <a:rPr lang="en-IN" sz="1200" b="1" i="0" u="none" strike="noStrike">
                <a:solidFill>
                  <a:srgbClr val="002060"/>
                </a:solidFill>
                <a:effectLst/>
                <a:latin typeface="Aptos Display" panose="020B0004020202020204" pitchFamily="34" charset="0"/>
                <a:ea typeface="+mn-ea"/>
                <a:cs typeface="+mn-cs"/>
              </a:rPr>
              <a:t>Half Of Marketing Budget</a:t>
            </a:r>
          </a:p>
          <a:p>
            <a:pPr algn="l"/>
            <a:r>
              <a:rPr lang="en-IN" sz="1200" b="1">
                <a:solidFill>
                  <a:srgbClr val="002060"/>
                </a:solidFill>
                <a:latin typeface="Aptos Display" panose="020B0004020202020204" pitchFamily="34" charset="0"/>
              </a:rPr>
              <a:t> </a:t>
            </a:r>
            <a:br>
              <a:rPr lang="en-IN" sz="1200" b="1">
                <a:solidFill>
                  <a:srgbClr val="002060"/>
                </a:solidFill>
                <a:latin typeface="Aptos Display" panose="020B0004020202020204" pitchFamily="34" charset="0"/>
              </a:rPr>
            </a:br>
            <a:r>
              <a:rPr lang="en-IN" sz="1200" b="1">
                <a:solidFill>
                  <a:srgbClr val="002060"/>
                </a:solidFill>
                <a:latin typeface="Aptos Display" panose="020B0004020202020204" pitchFamily="34" charset="0"/>
              </a:rPr>
              <a:t>2. </a:t>
            </a:r>
            <a:r>
              <a:rPr lang="en-IN" sz="1200" b="0" i="0" u="none" strike="noStrike">
                <a:solidFill>
                  <a:srgbClr val="002060"/>
                </a:solidFill>
                <a:effectLst/>
                <a:latin typeface="Aptos Display" panose="020B0004020202020204" pitchFamily="34" charset="0"/>
                <a:ea typeface="+mn-ea"/>
                <a:cs typeface="+mn-cs"/>
              </a:rPr>
              <a:t>Combined </a:t>
            </a:r>
            <a:r>
              <a:rPr lang="en-IN" sz="1200" b="1" i="0" u="none" strike="noStrike">
                <a:solidFill>
                  <a:srgbClr val="002060"/>
                </a:solidFill>
                <a:effectLst/>
                <a:latin typeface="Aptos Display" panose="020B0004020202020204" pitchFamily="34" charset="0"/>
                <a:ea typeface="+mn-ea"/>
                <a:cs typeface="+mn-cs"/>
              </a:rPr>
              <a:t>Beverages</a:t>
            </a:r>
            <a:r>
              <a:rPr lang="en-IN" sz="1200" b="1" i="0" u="none" strike="noStrike" baseline="0">
                <a:solidFill>
                  <a:srgbClr val="002060"/>
                </a:solidFill>
                <a:effectLst/>
                <a:latin typeface="Aptos Display" panose="020B0004020202020204" pitchFamily="34" charset="0"/>
                <a:ea typeface="+mn-ea"/>
                <a:cs typeface="+mn-cs"/>
              </a:rPr>
              <a:t> and </a:t>
            </a:r>
            <a:r>
              <a:rPr lang="en-IN" sz="1200" b="1" i="0" u="none" strike="noStrike">
                <a:solidFill>
                  <a:srgbClr val="002060"/>
                </a:solidFill>
                <a:effectLst/>
                <a:latin typeface="Aptos Display" panose="020B0004020202020204" pitchFamily="34" charset="0"/>
                <a:ea typeface="+mn-ea"/>
                <a:cs typeface="+mn-cs"/>
              </a:rPr>
              <a:t>Infant Nutrition</a:t>
            </a:r>
            <a:r>
              <a:rPr lang="en-IN" sz="1200" b="0" i="0" u="none" strike="noStrike">
                <a:solidFill>
                  <a:srgbClr val="002060"/>
                </a:solidFill>
                <a:effectLst/>
                <a:latin typeface="Aptos Display" panose="020B0004020202020204" pitchFamily="34" charset="0"/>
                <a:ea typeface="+mn-ea"/>
                <a:cs typeface="+mn-cs"/>
              </a:rPr>
              <a:t> It Is </a:t>
            </a:r>
            <a:r>
              <a:rPr lang="en-IN" sz="1200" b="1" i="1" u="none" strike="noStrike">
                <a:solidFill>
                  <a:srgbClr val="002060"/>
                </a:solidFill>
                <a:effectLst/>
                <a:latin typeface="Aptos Display" panose="020B0004020202020204" pitchFamily="34" charset="0"/>
                <a:ea typeface="+mn-ea"/>
                <a:cs typeface="+mn-cs"/>
              </a:rPr>
              <a:t>72.72% </a:t>
            </a:r>
            <a:r>
              <a:rPr lang="en-IN" sz="1200" b="0" i="1" u="none" strike="noStrike">
                <a:solidFill>
                  <a:srgbClr val="002060"/>
                </a:solidFill>
                <a:effectLst/>
                <a:latin typeface="Aptos Display" panose="020B0004020202020204" pitchFamily="34" charset="0"/>
                <a:ea typeface="+mn-ea"/>
                <a:cs typeface="+mn-cs"/>
              </a:rPr>
              <a:t>Others Having </a:t>
            </a:r>
            <a:r>
              <a:rPr lang="en-IN" sz="1200" b="1" i="1" u="none" strike="noStrike">
                <a:solidFill>
                  <a:srgbClr val="002060"/>
                </a:solidFill>
                <a:effectLst/>
                <a:latin typeface="Aptos Display" panose="020B0004020202020204" pitchFamily="34" charset="0"/>
                <a:ea typeface="+mn-ea"/>
                <a:cs typeface="+mn-cs"/>
              </a:rPr>
              <a:t>27.28%</a:t>
            </a:r>
          </a:p>
          <a:p>
            <a:pPr algn="l"/>
            <a:endParaRPr lang="en-IN" sz="1200" b="1" i="1" u="none" strike="noStrike">
              <a:solidFill>
                <a:srgbClr val="002060"/>
              </a:solidFill>
              <a:effectLst/>
              <a:latin typeface="Aptos Display" panose="020B0004020202020204" pitchFamily="34" charset="0"/>
              <a:ea typeface="+mn-ea"/>
              <a:cs typeface="+mn-cs"/>
            </a:endParaRPr>
          </a:p>
          <a:p>
            <a:pPr algn="l"/>
            <a:r>
              <a:rPr lang="en-IN" sz="1200" b="1" i="1" u="none" strike="noStrike">
                <a:solidFill>
                  <a:srgbClr val="002060"/>
                </a:solidFill>
                <a:effectLst/>
                <a:latin typeface="Aptos Display" panose="020B0004020202020204" pitchFamily="34" charset="0"/>
                <a:ea typeface="+mn-ea"/>
                <a:cs typeface="+mn-cs"/>
              </a:rPr>
              <a:t>3. </a:t>
            </a:r>
            <a:r>
              <a:rPr lang="en-IN" sz="1200" b="0" i="1" u="none" strike="noStrike">
                <a:solidFill>
                  <a:srgbClr val="002060"/>
                </a:solidFill>
                <a:effectLst/>
                <a:latin typeface="Aptos Display" panose="020B0004020202020204" pitchFamily="34" charset="0"/>
                <a:ea typeface="+mn-ea"/>
                <a:cs typeface="+mn-cs"/>
              </a:rPr>
              <a:t>With Frozen Foods, Water &amp; Juices, Snacks Have </a:t>
            </a:r>
            <a:r>
              <a:rPr lang="en-IN" sz="1200" b="1" i="0" u="none" strike="noStrike">
                <a:solidFill>
                  <a:srgbClr val="002060"/>
                </a:solidFill>
                <a:effectLst/>
                <a:latin typeface="Aptos Display" panose="020B0004020202020204" pitchFamily="34" charset="0"/>
                <a:ea typeface="+mn-ea"/>
                <a:cs typeface="+mn-cs"/>
              </a:rPr>
              <a:t>Less Than </a:t>
            </a:r>
            <a:r>
              <a:rPr lang="en-IN" sz="1200" b="1" i="1" u="none" strike="noStrike">
                <a:solidFill>
                  <a:srgbClr val="002060"/>
                </a:solidFill>
                <a:effectLst/>
                <a:latin typeface="Aptos Display" panose="020B0004020202020204" pitchFamily="34" charset="0"/>
                <a:ea typeface="+mn-ea"/>
                <a:cs typeface="+mn-cs"/>
              </a:rPr>
              <a:t>5%</a:t>
            </a:r>
            <a:r>
              <a:rPr lang="en-IN" sz="1200" b="1" i="0" u="none" strike="noStrike">
                <a:solidFill>
                  <a:srgbClr val="002060"/>
                </a:solidFill>
                <a:effectLst/>
                <a:latin typeface="Aptos Display" panose="020B0004020202020204" pitchFamily="34" charset="0"/>
                <a:ea typeface="+mn-ea"/>
                <a:cs typeface="+mn-cs"/>
              </a:rPr>
              <a:t> Of Marketing Spent</a:t>
            </a:r>
            <a:endParaRPr lang="en-IN" sz="1400" b="1" i="0">
              <a:solidFill>
                <a:srgbClr val="002060"/>
              </a:solidFill>
              <a:latin typeface="Aptos Display" panose="020B0004020202020204" pitchFamily="34" charset="0"/>
            </a:endParaRPr>
          </a:p>
        </xdr:txBody>
      </xdr:sp>
      <xdr:sp macro="" textlink="">
        <xdr:nvSpPr>
          <xdr:cNvPr id="230" name="L-Shape 229">
            <a:extLst>
              <a:ext uri="{FF2B5EF4-FFF2-40B4-BE49-F238E27FC236}">
                <a16:creationId xmlns:a16="http://schemas.microsoft.com/office/drawing/2014/main" id="{A4F91ABE-D7EA-93BB-B5D0-9C5A5FC5A9ED}"/>
              </a:ext>
            </a:extLst>
          </xdr:cNvPr>
          <xdr:cNvSpPr/>
        </xdr:nvSpPr>
        <xdr:spPr>
          <a:xfrm rot="5400000">
            <a:off x="24292573" y="662933"/>
            <a:ext cx="236220" cy="335293"/>
          </a:xfrm>
          <a:prstGeom prst="corner">
            <a:avLst>
              <a:gd name="adj1" fmla="val 33871"/>
              <a:gd name="adj2" fmla="val 24494"/>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1" name="L-Shape 230">
            <a:extLst>
              <a:ext uri="{FF2B5EF4-FFF2-40B4-BE49-F238E27FC236}">
                <a16:creationId xmlns:a16="http://schemas.microsoft.com/office/drawing/2014/main" id="{CF1FCF2F-C249-1756-94E6-55B43A580A7B}"/>
              </a:ext>
            </a:extLst>
          </xdr:cNvPr>
          <xdr:cNvSpPr/>
        </xdr:nvSpPr>
        <xdr:spPr>
          <a:xfrm rot="16200000">
            <a:off x="26342435" y="3421373"/>
            <a:ext cx="236220" cy="335293"/>
          </a:xfrm>
          <a:prstGeom prst="corner">
            <a:avLst>
              <a:gd name="adj1" fmla="val 33871"/>
              <a:gd name="adj2" fmla="val 24494"/>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86</xdr:col>
      <xdr:colOff>259977</xdr:colOff>
      <xdr:row>23</xdr:row>
      <xdr:rowOff>80183</xdr:rowOff>
    </xdr:from>
    <xdr:to>
      <xdr:col>96</xdr:col>
      <xdr:colOff>331694</xdr:colOff>
      <xdr:row>43</xdr:row>
      <xdr:rowOff>700</xdr:rowOff>
    </xdr:to>
    <xdr:grpSp>
      <xdr:nvGrpSpPr>
        <xdr:cNvPr id="273" name="Group 272">
          <a:extLst>
            <a:ext uri="{FF2B5EF4-FFF2-40B4-BE49-F238E27FC236}">
              <a16:creationId xmlns:a16="http://schemas.microsoft.com/office/drawing/2014/main" id="{1AE275E4-EC05-3A22-4037-4E596202C609}"/>
            </a:ext>
          </a:extLst>
        </xdr:cNvPr>
        <xdr:cNvGrpSpPr/>
      </xdr:nvGrpSpPr>
      <xdr:grpSpPr>
        <a:xfrm>
          <a:off x="52326498" y="4432978"/>
          <a:ext cx="6125963" cy="3678325"/>
          <a:chOff x="50211318" y="4257736"/>
          <a:chExt cx="6167717" cy="3506400"/>
        </a:xfrm>
      </xdr:grpSpPr>
      <xdr:sp macro="" textlink="">
        <xdr:nvSpPr>
          <xdr:cNvPr id="232" name="Rectangle: Rounded Corners 231">
            <a:extLst>
              <a:ext uri="{FF2B5EF4-FFF2-40B4-BE49-F238E27FC236}">
                <a16:creationId xmlns:a16="http://schemas.microsoft.com/office/drawing/2014/main" id="{F8C0DB18-6436-4017-98EB-F4277BA15025}"/>
              </a:ext>
            </a:extLst>
          </xdr:cNvPr>
          <xdr:cNvSpPr/>
        </xdr:nvSpPr>
        <xdr:spPr>
          <a:xfrm>
            <a:off x="50211318" y="4257736"/>
            <a:ext cx="6167717" cy="3506400"/>
          </a:xfrm>
          <a:prstGeom prst="roundRect">
            <a:avLst>
              <a:gd name="adj" fmla="val 904"/>
            </a:avLst>
          </a:prstGeom>
          <a:solidFill>
            <a:srgbClr val="FEFCAA"/>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b="1">
              <a:solidFill>
                <a:srgbClr val="002060"/>
              </a:solidFill>
              <a:latin typeface="Verdana Pro Black" panose="020B0A04030504040204" pitchFamily="34" charset="0"/>
            </a:endParaRPr>
          </a:p>
        </xdr:txBody>
      </xdr:sp>
      <xdr:grpSp>
        <xdr:nvGrpSpPr>
          <xdr:cNvPr id="233" name="Group 232">
            <a:extLst>
              <a:ext uri="{FF2B5EF4-FFF2-40B4-BE49-F238E27FC236}">
                <a16:creationId xmlns:a16="http://schemas.microsoft.com/office/drawing/2014/main" id="{9BC70369-F7A5-4A70-B57D-A66AE2580BB2}"/>
              </a:ext>
            </a:extLst>
          </xdr:cNvPr>
          <xdr:cNvGrpSpPr/>
        </xdr:nvGrpSpPr>
        <xdr:grpSpPr>
          <a:xfrm>
            <a:off x="52007175" y="4348421"/>
            <a:ext cx="3143693" cy="3338523"/>
            <a:chOff x="30897237" y="421775"/>
            <a:chExt cx="3011807" cy="3199765"/>
          </a:xfrm>
        </xdr:grpSpPr>
        <xdr:sp macro="" textlink="">
          <xdr:nvSpPr>
            <xdr:cNvPr id="234" name="Rectangle: Rounded Corners 233">
              <a:extLst>
                <a:ext uri="{FF2B5EF4-FFF2-40B4-BE49-F238E27FC236}">
                  <a16:creationId xmlns:a16="http://schemas.microsoft.com/office/drawing/2014/main" id="{65C093B8-279A-AE93-7308-83BC6B9670D8}"/>
                </a:ext>
              </a:extLst>
            </xdr:cNvPr>
            <xdr:cNvSpPr/>
          </xdr:nvSpPr>
          <xdr:spPr>
            <a:xfrm>
              <a:off x="33510907" y="1495388"/>
              <a:ext cx="398137" cy="979385"/>
            </a:xfrm>
            <a:prstGeom prst="roundRect">
              <a:avLst>
                <a:gd name="adj" fmla="val 30769"/>
              </a:avLst>
            </a:prstGeom>
            <a:solidFill>
              <a:schemeClr val="accent2">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5" name="Rectangle: Rounded Corners 234">
              <a:extLst>
                <a:ext uri="{FF2B5EF4-FFF2-40B4-BE49-F238E27FC236}">
                  <a16:creationId xmlns:a16="http://schemas.microsoft.com/office/drawing/2014/main" id="{380DC04B-8B74-EE17-64FC-AE20D6BA589E}"/>
                </a:ext>
              </a:extLst>
            </xdr:cNvPr>
            <xdr:cNvSpPr/>
          </xdr:nvSpPr>
          <xdr:spPr>
            <a:xfrm>
              <a:off x="33457565" y="1425959"/>
              <a:ext cx="398137" cy="979385"/>
            </a:xfrm>
            <a:prstGeom prst="roundRect">
              <a:avLst>
                <a:gd name="adj" fmla="val 30769"/>
              </a:avLst>
            </a:prstGeom>
            <a:solidFill>
              <a:schemeClr val="accent4">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9" name="Rectangle: Rounded Corners 238">
              <a:extLst>
                <a:ext uri="{FF2B5EF4-FFF2-40B4-BE49-F238E27FC236}">
                  <a16:creationId xmlns:a16="http://schemas.microsoft.com/office/drawing/2014/main" id="{465F37CE-3EF7-AC0D-42D3-CFA6F07E0581}"/>
                </a:ext>
              </a:extLst>
            </xdr:cNvPr>
            <xdr:cNvSpPr/>
          </xdr:nvSpPr>
          <xdr:spPr>
            <a:xfrm>
              <a:off x="30897237" y="421775"/>
              <a:ext cx="2499366" cy="3107193"/>
            </a:xfrm>
            <a:prstGeom prst="roundRect">
              <a:avLst>
                <a:gd name="adj" fmla="val 0"/>
              </a:avLst>
            </a:prstGeom>
            <a:solidFill>
              <a:schemeClr val="accent2">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rgbClr val="002060"/>
                </a:solidFill>
                <a:latin typeface="Aptos Display" panose="020B0004020202020204" pitchFamily="34" charset="0"/>
              </a:endParaRPr>
            </a:p>
          </xdr:txBody>
        </xdr:sp>
        <xdr:sp macro="" textlink="">
          <xdr:nvSpPr>
            <xdr:cNvPr id="246" name="Rectangle: Rounded Corners 245">
              <a:extLst>
                <a:ext uri="{FF2B5EF4-FFF2-40B4-BE49-F238E27FC236}">
                  <a16:creationId xmlns:a16="http://schemas.microsoft.com/office/drawing/2014/main" id="{5B1DDDF8-E1B3-AEE2-04F4-66E827530EB5}"/>
                </a:ext>
              </a:extLst>
            </xdr:cNvPr>
            <xdr:cNvSpPr/>
          </xdr:nvSpPr>
          <xdr:spPr>
            <a:xfrm>
              <a:off x="31003921" y="514347"/>
              <a:ext cx="2499366" cy="3107193"/>
            </a:xfrm>
            <a:prstGeom prst="roundRect">
              <a:avLst>
                <a:gd name="adj" fmla="val 0"/>
              </a:avLst>
            </a:prstGeom>
            <a:solidFill>
              <a:schemeClr val="accent4">
                <a:lumMod val="60000"/>
                <a:lumOff val="4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400" b="1" i="0" u="sng" strike="noStrike">
                <a:solidFill>
                  <a:srgbClr val="002060"/>
                </a:solidFill>
                <a:effectLst/>
                <a:latin typeface="Aptos Display" panose="020B0004020202020204" pitchFamily="34" charset="0"/>
                <a:ea typeface="+mn-ea"/>
                <a:cs typeface="+mn-cs"/>
              </a:endParaRPr>
            </a:p>
            <a:p>
              <a:pPr algn="ctr"/>
              <a:r>
                <a:rPr lang="en-IN" sz="1400" b="1" i="0" u="sng" strike="noStrike" baseline="0">
                  <a:solidFill>
                    <a:srgbClr val="002060"/>
                  </a:solidFill>
                  <a:effectLst/>
                  <a:latin typeface="Aptos Display" panose="020B0004020202020204" pitchFamily="34" charset="0"/>
                  <a:ea typeface="+mn-ea"/>
                  <a:cs typeface="+mn-cs"/>
                </a:rPr>
                <a:t>MARKETING SPEND BY PRODUCTS </a:t>
              </a:r>
              <a:r>
                <a:rPr lang="en-IN" sz="1400" b="1" i="0" u="sng" strike="noStrike">
                  <a:solidFill>
                    <a:srgbClr val="002060"/>
                  </a:solidFill>
                  <a:effectLst/>
                  <a:latin typeface="Aptos Display" panose="020B0004020202020204" pitchFamily="34" charset="0"/>
                  <a:ea typeface="+mn-ea"/>
                  <a:cs typeface="+mn-cs"/>
                </a:rPr>
                <a:t>INSIGHTS</a:t>
              </a:r>
            </a:p>
            <a:p>
              <a:pPr algn="l"/>
              <a:endParaRPr lang="en-IN" sz="1200" b="1" i="0" u="none" strike="noStrike">
                <a:solidFill>
                  <a:srgbClr val="002060"/>
                </a:solidFill>
                <a:effectLst/>
                <a:latin typeface="Aptos Display" panose="020B0004020202020204" pitchFamily="34" charset="0"/>
                <a:ea typeface="+mn-ea"/>
                <a:cs typeface="+mn-cs"/>
              </a:endParaRPr>
            </a:p>
            <a:p>
              <a:pPr algn="l"/>
              <a:endParaRPr lang="en-IN" sz="1200" b="1" i="0" u="none" strike="noStrike">
                <a:solidFill>
                  <a:srgbClr val="002060"/>
                </a:solidFill>
                <a:effectLst/>
                <a:latin typeface="Aptos Display" panose="020B0004020202020204" pitchFamily="34" charset="0"/>
                <a:ea typeface="+mn-ea"/>
                <a:cs typeface="+mn-cs"/>
              </a:endParaRPr>
            </a:p>
            <a:p>
              <a:pPr algn="l"/>
              <a:r>
                <a:rPr lang="en-IN" sz="1200" b="1" i="0" u="none" strike="noStrike">
                  <a:solidFill>
                    <a:srgbClr val="002060"/>
                  </a:solidFill>
                  <a:effectLst/>
                  <a:latin typeface="Aptos Display" panose="020B0004020202020204" pitchFamily="34" charset="0"/>
                  <a:ea typeface="+mn-ea"/>
                  <a:cs typeface="+mn-cs"/>
                </a:rPr>
                <a:t>1</a:t>
              </a:r>
              <a:r>
                <a:rPr lang="en-IN" sz="1200" b="0" i="0" u="none" strike="noStrike">
                  <a:solidFill>
                    <a:srgbClr val="002060"/>
                  </a:solidFill>
                  <a:effectLst/>
                  <a:latin typeface="Aptos Display" panose="020B0004020202020204" pitchFamily="34" charset="0"/>
                  <a:ea typeface="+mn-ea"/>
                  <a:cs typeface="+mn-cs"/>
                </a:rPr>
                <a:t>. </a:t>
              </a:r>
              <a:r>
                <a:rPr lang="en-IN" sz="1200" b="1" i="0" u="none" strike="noStrike">
                  <a:solidFill>
                    <a:srgbClr val="002060"/>
                  </a:solidFill>
                  <a:effectLst/>
                  <a:latin typeface="Aptos Display" panose="020B0004020202020204" pitchFamily="34" charset="0"/>
                  <a:ea typeface="+mn-ea"/>
                  <a:cs typeface="+mn-cs"/>
                </a:rPr>
                <a:t>Top </a:t>
              </a:r>
              <a:r>
                <a:rPr lang="en-IN" sz="1200" b="1" i="1" u="none" strike="noStrike">
                  <a:solidFill>
                    <a:srgbClr val="002060"/>
                  </a:solidFill>
                  <a:effectLst/>
                  <a:latin typeface="Aptos Display" panose="020B0004020202020204" pitchFamily="34" charset="0"/>
                  <a:ea typeface="+mn-ea"/>
                  <a:cs typeface="+mn-cs"/>
                </a:rPr>
                <a:t>10</a:t>
              </a:r>
              <a:r>
                <a:rPr lang="en-IN" sz="1200" b="1" i="0" u="none" strike="noStrike">
                  <a:solidFill>
                    <a:srgbClr val="002060"/>
                  </a:solidFill>
                  <a:effectLst/>
                  <a:latin typeface="Aptos Display" panose="020B0004020202020204" pitchFamily="34" charset="0"/>
                  <a:ea typeface="+mn-ea"/>
                  <a:cs typeface="+mn-cs"/>
                </a:rPr>
                <a:t> </a:t>
              </a:r>
              <a:r>
                <a:rPr lang="en-IN" sz="1200" b="0" i="0" u="none" strike="noStrike">
                  <a:solidFill>
                    <a:srgbClr val="002060"/>
                  </a:solidFill>
                  <a:effectLst/>
                  <a:latin typeface="Aptos Display" panose="020B0004020202020204" pitchFamily="34" charset="0"/>
                  <a:ea typeface="+mn-ea"/>
                  <a:cs typeface="+mn-cs"/>
                </a:rPr>
                <a:t>Product Have </a:t>
              </a:r>
              <a:r>
                <a:rPr lang="en-IN" sz="1200" b="1" i="1" u="none" strike="noStrike">
                  <a:solidFill>
                    <a:srgbClr val="002060"/>
                  </a:solidFill>
                  <a:effectLst/>
                  <a:latin typeface="Aptos Display" panose="020B0004020202020204" pitchFamily="34" charset="0"/>
                  <a:ea typeface="+mn-ea"/>
                  <a:cs typeface="+mn-cs"/>
                </a:rPr>
                <a:t>80%</a:t>
              </a:r>
              <a:r>
                <a:rPr lang="en-IN" sz="1200" b="1" i="0" u="none" strike="noStrike">
                  <a:solidFill>
                    <a:srgbClr val="002060"/>
                  </a:solidFill>
                  <a:effectLst/>
                  <a:latin typeface="Aptos Display" panose="020B0004020202020204" pitchFamily="34" charset="0"/>
                  <a:ea typeface="+mn-ea"/>
                  <a:cs typeface="+mn-cs"/>
                </a:rPr>
                <a:t> Of Marketing Budget</a:t>
              </a:r>
              <a:br>
                <a:rPr lang="en-IN" sz="1200" b="1">
                  <a:solidFill>
                    <a:srgbClr val="002060"/>
                  </a:solidFill>
                  <a:latin typeface="Aptos Display" panose="020B0004020202020204" pitchFamily="34" charset="0"/>
                </a:rPr>
              </a:br>
              <a:endParaRPr lang="en-IN" sz="1200" b="1">
                <a:solidFill>
                  <a:srgbClr val="002060"/>
                </a:solidFill>
                <a:latin typeface="Aptos Display" panose="020B0004020202020204" pitchFamily="34" charset="0"/>
              </a:endParaRPr>
            </a:p>
            <a:p>
              <a:pPr algn="l"/>
              <a:r>
                <a:rPr lang="en-IN" sz="1200" b="1">
                  <a:solidFill>
                    <a:srgbClr val="002060"/>
                  </a:solidFill>
                  <a:latin typeface="Aptos Display" panose="020B0004020202020204" pitchFamily="34" charset="0"/>
                </a:rPr>
                <a:t>2. Top </a:t>
              </a:r>
              <a:r>
                <a:rPr lang="en-IN" sz="1200" b="1" i="1">
                  <a:solidFill>
                    <a:srgbClr val="002060"/>
                  </a:solidFill>
                  <a:latin typeface="Aptos Display" panose="020B0004020202020204" pitchFamily="34" charset="0"/>
                </a:rPr>
                <a:t>3</a:t>
              </a:r>
              <a:r>
                <a:rPr lang="en-IN" sz="1200" b="1">
                  <a:solidFill>
                    <a:srgbClr val="002060"/>
                  </a:solidFill>
                  <a:latin typeface="Aptos Display" panose="020B0004020202020204" pitchFamily="34" charset="0"/>
                </a:rPr>
                <a:t> </a:t>
              </a:r>
              <a:r>
                <a:rPr lang="en-IN" sz="1200" b="0" i="0">
                  <a:solidFill>
                    <a:srgbClr val="002060"/>
                  </a:solidFill>
                  <a:latin typeface="Aptos Display" panose="020B0004020202020204" pitchFamily="34" charset="0"/>
                </a:rPr>
                <a:t>Have </a:t>
              </a:r>
              <a:r>
                <a:rPr lang="en-IN" sz="1200" b="1" i="1">
                  <a:solidFill>
                    <a:srgbClr val="002060"/>
                  </a:solidFill>
                  <a:latin typeface="Aptos Display" panose="020B0004020202020204" pitchFamily="34" charset="0"/>
                </a:rPr>
                <a:t>40.17% </a:t>
              </a:r>
              <a:r>
                <a:rPr lang="en-IN" sz="1200" b="1">
                  <a:solidFill>
                    <a:srgbClr val="002060"/>
                  </a:solidFill>
                  <a:latin typeface="Aptos Display" panose="020B0004020202020204" pitchFamily="34" charset="0"/>
                </a:rPr>
                <a:t>Of Marketing Budget</a:t>
              </a:r>
              <a:endParaRPr lang="en-IN" sz="1200" b="1" i="1" u="none" strike="noStrike">
                <a:solidFill>
                  <a:srgbClr val="002060"/>
                </a:solidFill>
                <a:effectLst/>
                <a:latin typeface="Aptos Display" panose="020B0004020202020204" pitchFamily="34" charset="0"/>
                <a:ea typeface="+mn-ea"/>
                <a:cs typeface="+mn-cs"/>
              </a:endParaRPr>
            </a:p>
          </xdr:txBody>
        </xdr:sp>
        <xdr:sp macro="" textlink="">
          <xdr:nvSpPr>
            <xdr:cNvPr id="247" name="L-Shape 246">
              <a:extLst>
                <a:ext uri="{FF2B5EF4-FFF2-40B4-BE49-F238E27FC236}">
                  <a16:creationId xmlns:a16="http://schemas.microsoft.com/office/drawing/2014/main" id="{1A30BA24-5F9B-BAC8-D345-347AD5202876}"/>
                </a:ext>
              </a:extLst>
            </xdr:cNvPr>
            <xdr:cNvSpPr/>
          </xdr:nvSpPr>
          <xdr:spPr>
            <a:xfrm rot="5400000">
              <a:off x="31105292" y="520366"/>
              <a:ext cx="233500" cy="337175"/>
            </a:xfrm>
            <a:prstGeom prst="corner">
              <a:avLst>
                <a:gd name="adj1" fmla="val 33871"/>
                <a:gd name="adj2" fmla="val 24494"/>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0" name="L-Shape 249">
              <a:extLst>
                <a:ext uri="{FF2B5EF4-FFF2-40B4-BE49-F238E27FC236}">
                  <a16:creationId xmlns:a16="http://schemas.microsoft.com/office/drawing/2014/main" id="{6D45BDA0-6B69-E7BC-2518-79A03D07C7A5}"/>
                </a:ext>
              </a:extLst>
            </xdr:cNvPr>
            <xdr:cNvSpPr/>
          </xdr:nvSpPr>
          <xdr:spPr>
            <a:xfrm rot="16200000">
              <a:off x="33161738" y="3271570"/>
              <a:ext cx="233501" cy="335293"/>
            </a:xfrm>
            <a:prstGeom prst="corner">
              <a:avLst>
                <a:gd name="adj1" fmla="val 33871"/>
                <a:gd name="adj2" fmla="val 24494"/>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52" name="Graphic 251" descr="Users with solid fill">
              <a:extLst>
                <a:ext uri="{FF2B5EF4-FFF2-40B4-BE49-F238E27FC236}">
                  <a16:creationId xmlns:a16="http://schemas.microsoft.com/office/drawing/2014/main" id="{CEE65969-376A-B30F-3B0A-05E44A448874}"/>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33542251" y="1503947"/>
              <a:ext cx="291441" cy="415822"/>
            </a:xfrm>
            <a:prstGeom prst="rect">
              <a:avLst/>
            </a:prstGeom>
          </xdr:spPr>
        </xdr:pic>
      </xdr:grpSp>
    </xdr:grpSp>
    <xdr:clientData/>
  </xdr:twoCellAnchor>
  <xdr:twoCellAnchor>
    <xdr:from>
      <xdr:col>97</xdr:col>
      <xdr:colOff>33306</xdr:colOff>
      <xdr:row>13</xdr:row>
      <xdr:rowOff>89146</xdr:rowOff>
    </xdr:from>
    <xdr:to>
      <xdr:col>97</xdr:col>
      <xdr:colOff>205350</xdr:colOff>
      <xdr:row>15</xdr:row>
      <xdr:rowOff>8052</xdr:rowOff>
    </xdr:to>
    <xdr:sp macro="" textlink="">
      <xdr:nvSpPr>
        <xdr:cNvPr id="266" name="Arrow: Down 265">
          <a:extLst>
            <a:ext uri="{FF2B5EF4-FFF2-40B4-BE49-F238E27FC236}">
              <a16:creationId xmlns:a16="http://schemas.microsoft.com/office/drawing/2014/main" id="{EC1CC4BE-5943-4599-937D-5E430E898302}"/>
            </a:ext>
          </a:extLst>
        </xdr:cNvPr>
        <xdr:cNvSpPr/>
      </xdr:nvSpPr>
      <xdr:spPr>
        <a:xfrm rot="10800000">
          <a:off x="59164506" y="2464793"/>
          <a:ext cx="172044" cy="277494"/>
        </a:xfrm>
        <a:prstGeom prst="downArrow">
          <a:avLst/>
        </a:prstGeom>
        <a:solidFill>
          <a:srgbClr val="FF0000"/>
        </a:solidFill>
        <a:ln w="3175">
          <a:solidFill>
            <a:srgbClr val="002060"/>
          </a:solidFill>
        </a:ln>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94</xdr:col>
      <xdr:colOff>26893</xdr:colOff>
      <xdr:row>33</xdr:row>
      <xdr:rowOff>152402</xdr:rowOff>
    </xdr:from>
    <xdr:to>
      <xdr:col>94</xdr:col>
      <xdr:colOff>154056</xdr:colOff>
      <xdr:row>34</xdr:row>
      <xdr:rowOff>99961</xdr:rowOff>
    </xdr:to>
    <xdr:sp macro="" textlink="">
      <xdr:nvSpPr>
        <xdr:cNvPr id="267" name="Oval 266">
          <a:extLst>
            <a:ext uri="{FF2B5EF4-FFF2-40B4-BE49-F238E27FC236}">
              <a16:creationId xmlns:a16="http://schemas.microsoft.com/office/drawing/2014/main" id="{60B1DC7F-39F0-43C1-B25A-C1A2364ED9AA}"/>
            </a:ext>
          </a:extLst>
        </xdr:cNvPr>
        <xdr:cNvSpPr/>
      </xdr:nvSpPr>
      <xdr:spPr>
        <a:xfrm>
          <a:off x="57329293" y="6113931"/>
          <a:ext cx="127163" cy="126854"/>
        </a:xfrm>
        <a:prstGeom prst="ellipse">
          <a:avLst/>
        </a:prstGeom>
        <a:solidFill>
          <a:srgbClr val="FF000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88</xdr:col>
      <xdr:colOff>438969</xdr:colOff>
      <xdr:row>9</xdr:row>
      <xdr:rowOff>3962</xdr:rowOff>
    </xdr:from>
    <xdr:to>
      <xdr:col>89</xdr:col>
      <xdr:colOff>203041</xdr:colOff>
      <xdr:row>11</xdr:row>
      <xdr:rowOff>48058</xdr:rowOff>
    </xdr:to>
    <xdr:pic>
      <xdr:nvPicPr>
        <xdr:cNvPr id="268" name="Graphic 267" descr="Downward trend graph with solid fill">
          <a:extLst>
            <a:ext uri="{FF2B5EF4-FFF2-40B4-BE49-F238E27FC236}">
              <a16:creationId xmlns:a16="http://schemas.microsoft.com/office/drawing/2014/main" id="{57FB8567-51A7-4EB6-969F-30E214F71C99}"/>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54083769" y="1662433"/>
          <a:ext cx="373672" cy="402684"/>
        </a:xfrm>
        <a:prstGeom prst="rect">
          <a:avLst/>
        </a:prstGeom>
        <a:effectLst>
          <a:innerShdw blurRad="63500" dist="50800" dir="8100000">
            <a:prstClr val="black">
              <a:alpha val="50000"/>
            </a:prstClr>
          </a:innerShdw>
        </a:effectLst>
      </xdr:spPr>
    </xdr:pic>
    <xdr:clientData/>
  </xdr:twoCellAnchor>
  <xdr:twoCellAnchor>
    <xdr:from>
      <xdr:col>97</xdr:col>
      <xdr:colOff>24340</xdr:colOff>
      <xdr:row>17</xdr:row>
      <xdr:rowOff>133970</xdr:rowOff>
    </xdr:from>
    <xdr:to>
      <xdr:col>97</xdr:col>
      <xdr:colOff>196384</xdr:colOff>
      <xdr:row>19</xdr:row>
      <xdr:rowOff>52876</xdr:rowOff>
    </xdr:to>
    <xdr:sp macro="" textlink="">
      <xdr:nvSpPr>
        <xdr:cNvPr id="269" name="Arrow: Down 268">
          <a:extLst>
            <a:ext uri="{FF2B5EF4-FFF2-40B4-BE49-F238E27FC236}">
              <a16:creationId xmlns:a16="http://schemas.microsoft.com/office/drawing/2014/main" id="{CB8916B1-D2AA-48BD-ABAD-F069FC728398}"/>
            </a:ext>
          </a:extLst>
        </xdr:cNvPr>
        <xdr:cNvSpPr/>
      </xdr:nvSpPr>
      <xdr:spPr>
        <a:xfrm>
          <a:off x="59155540" y="3226794"/>
          <a:ext cx="172044" cy="277494"/>
        </a:xfrm>
        <a:prstGeom prst="downArrow">
          <a:avLst/>
        </a:prstGeom>
        <a:solidFill>
          <a:srgbClr val="FF0000"/>
        </a:solidFill>
        <a:ln w="3175">
          <a:solidFill>
            <a:srgbClr val="002060"/>
          </a:solidFill>
        </a:ln>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97</xdr:col>
      <xdr:colOff>53792</xdr:colOff>
      <xdr:row>10</xdr:row>
      <xdr:rowOff>107577</xdr:rowOff>
    </xdr:from>
    <xdr:to>
      <xdr:col>97</xdr:col>
      <xdr:colOff>180955</xdr:colOff>
      <xdr:row>11</xdr:row>
      <xdr:rowOff>55137</xdr:rowOff>
    </xdr:to>
    <xdr:sp macro="" textlink="">
      <xdr:nvSpPr>
        <xdr:cNvPr id="272" name="Oval 271">
          <a:extLst>
            <a:ext uri="{FF2B5EF4-FFF2-40B4-BE49-F238E27FC236}">
              <a16:creationId xmlns:a16="http://schemas.microsoft.com/office/drawing/2014/main" id="{B1A2CF10-B01E-4159-AF0D-C721D4BB26CE}"/>
            </a:ext>
          </a:extLst>
        </xdr:cNvPr>
        <xdr:cNvSpPr/>
      </xdr:nvSpPr>
      <xdr:spPr>
        <a:xfrm>
          <a:off x="59184992" y="1945342"/>
          <a:ext cx="127163" cy="126854"/>
        </a:xfrm>
        <a:prstGeom prst="ellipse">
          <a:avLst/>
        </a:prstGeom>
        <a:solidFill>
          <a:srgbClr val="FF000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21</xdr:col>
      <xdr:colOff>371475</xdr:colOff>
      <xdr:row>1</xdr:row>
      <xdr:rowOff>257175</xdr:rowOff>
    </xdr:from>
    <xdr:to>
      <xdr:col>29</xdr:col>
      <xdr:colOff>180975</xdr:colOff>
      <xdr:row>15</xdr:row>
      <xdr:rowOff>80963</xdr:rowOff>
    </xdr:to>
    <xdr:graphicFrame macro="">
      <xdr:nvGraphicFramePr>
        <xdr:cNvPr id="21" name="Chart 20">
          <a:extLst>
            <a:ext uri="{FF2B5EF4-FFF2-40B4-BE49-F238E27FC236}">
              <a16:creationId xmlns:a16="http://schemas.microsoft.com/office/drawing/2014/main" id="{60918FEB-6325-4296-8085-80953A9FC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57150</xdr:colOff>
      <xdr:row>2</xdr:row>
      <xdr:rowOff>123825</xdr:rowOff>
    </xdr:from>
    <xdr:to>
      <xdr:col>23</xdr:col>
      <xdr:colOff>392250</xdr:colOff>
      <xdr:row>4</xdr:row>
      <xdr:rowOff>180975</xdr:rowOff>
    </xdr:to>
    <xdr:grpSp>
      <xdr:nvGrpSpPr>
        <xdr:cNvPr id="20" name="Group 19">
          <a:extLst>
            <a:ext uri="{FF2B5EF4-FFF2-40B4-BE49-F238E27FC236}">
              <a16:creationId xmlns:a16="http://schemas.microsoft.com/office/drawing/2014/main" id="{13500DF8-F8E7-A18E-661E-81AC09D96738}"/>
            </a:ext>
          </a:extLst>
        </xdr:cNvPr>
        <xdr:cNvGrpSpPr/>
      </xdr:nvGrpSpPr>
      <xdr:grpSpPr>
        <a:xfrm>
          <a:off x="18611391" y="527777"/>
          <a:ext cx="3722787" cy="461102"/>
          <a:chOff x="18611391" y="527777"/>
          <a:chExt cx="3722787" cy="461102"/>
        </a:xfrm>
      </xdr:grpSpPr>
      <xdr:sp macro="" textlink="">
        <xdr:nvSpPr>
          <xdr:cNvPr id="22" name="TextBox 21">
            <a:extLst>
              <a:ext uri="{FF2B5EF4-FFF2-40B4-BE49-F238E27FC236}">
                <a16:creationId xmlns:a16="http://schemas.microsoft.com/office/drawing/2014/main" id="{F8756675-5F7F-4ED9-B0AB-90DF835AC098}"/>
              </a:ext>
            </a:extLst>
          </xdr:cNvPr>
          <xdr:cNvSpPr txBox="1"/>
        </xdr:nvSpPr>
        <xdr:spPr>
          <a:xfrm>
            <a:off x="18611391" y="527777"/>
            <a:ext cx="3711537" cy="4611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00B0F0"/>
                </a:solidFill>
                <a:latin typeface="Aptos Display" panose="020B0004020202020204" pitchFamily="34" charset="0"/>
              </a:rPr>
              <a:t>Sales Correlation</a:t>
            </a:r>
            <a:r>
              <a:rPr lang="en-IN" sz="1800" b="1" baseline="0">
                <a:solidFill>
                  <a:srgbClr val="00B0F0"/>
                </a:solidFill>
                <a:latin typeface="Aptos Display" panose="020B0004020202020204" pitchFamily="34" charset="0"/>
              </a:rPr>
              <a:t> vs O</a:t>
            </a:r>
            <a:r>
              <a:rPr lang="en-IN" sz="1800" b="1">
                <a:solidFill>
                  <a:srgbClr val="00B0F0"/>
                </a:solidFill>
                <a:latin typeface="Aptos Display" panose="020B0004020202020204" pitchFamily="34" charset="0"/>
              </a:rPr>
              <a:t>ther</a:t>
            </a:r>
            <a:r>
              <a:rPr lang="en-IN" sz="1800" b="1" baseline="0">
                <a:solidFill>
                  <a:srgbClr val="00B0F0"/>
                </a:solidFill>
                <a:latin typeface="Aptos Display" panose="020B0004020202020204" pitchFamily="34" charset="0"/>
              </a:rPr>
              <a:t> Variables</a:t>
            </a:r>
          </a:p>
          <a:p>
            <a:pPr algn="ctr"/>
            <a:endParaRPr lang="en-IN" sz="1800" b="1">
              <a:solidFill>
                <a:srgbClr val="00B0F0"/>
              </a:solidFill>
              <a:latin typeface="Aptos Display" panose="020B0004020202020204" pitchFamily="34" charset="0"/>
            </a:endParaRPr>
          </a:p>
        </xdr:txBody>
      </xdr:sp>
      <xdr:sp macro="" textlink="">
        <xdr:nvSpPr>
          <xdr:cNvPr id="23" name="Rectangle: Rounded Corners 22">
            <a:extLst>
              <a:ext uri="{FF2B5EF4-FFF2-40B4-BE49-F238E27FC236}">
                <a16:creationId xmlns:a16="http://schemas.microsoft.com/office/drawing/2014/main" id="{DDBFC73D-5874-674E-6A83-90C8D8A23810}"/>
              </a:ext>
            </a:extLst>
          </xdr:cNvPr>
          <xdr:cNvSpPr/>
        </xdr:nvSpPr>
        <xdr:spPr>
          <a:xfrm>
            <a:off x="18620916" y="893628"/>
            <a:ext cx="3713262" cy="45719"/>
          </a:xfrm>
          <a:prstGeom prst="roundRect">
            <a:avLst>
              <a:gd name="adj" fmla="val 50000"/>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19</xdr:col>
      <xdr:colOff>0</xdr:colOff>
      <xdr:row>18</xdr:row>
      <xdr:rowOff>38100</xdr:rowOff>
    </xdr:from>
    <xdr:to>
      <xdr:col>30</xdr:col>
      <xdr:colOff>171008</xdr:colOff>
      <xdr:row>35</xdr:row>
      <xdr:rowOff>87497</xdr:rowOff>
    </xdr:to>
    <xdr:grpSp>
      <xdr:nvGrpSpPr>
        <xdr:cNvPr id="29" name="Group 28">
          <a:extLst>
            <a:ext uri="{FF2B5EF4-FFF2-40B4-BE49-F238E27FC236}">
              <a16:creationId xmlns:a16="http://schemas.microsoft.com/office/drawing/2014/main" id="{BC34E4F0-3632-4E75-DED2-67A5991FD142}"/>
            </a:ext>
          </a:extLst>
        </xdr:cNvPr>
        <xdr:cNvGrpSpPr/>
      </xdr:nvGrpSpPr>
      <xdr:grpSpPr>
        <a:xfrm>
          <a:off x="18554241" y="3673666"/>
          <a:ext cx="8525466" cy="3556433"/>
          <a:chOff x="18602325" y="3419475"/>
          <a:chExt cx="8553008" cy="3554597"/>
        </a:xfrm>
      </xdr:grpSpPr>
      <xdr:graphicFrame macro="">
        <xdr:nvGraphicFramePr>
          <xdr:cNvPr id="25" name="Chart 24">
            <a:extLst>
              <a:ext uri="{FF2B5EF4-FFF2-40B4-BE49-F238E27FC236}">
                <a16:creationId xmlns:a16="http://schemas.microsoft.com/office/drawing/2014/main" id="{39121E73-F958-4B2D-AA28-D50006A9917A}"/>
              </a:ext>
            </a:extLst>
          </xdr:cNvPr>
          <xdr:cNvGraphicFramePr>
            <a:graphicFrameLocks/>
          </xdr:cNvGraphicFramePr>
        </xdr:nvGraphicFramePr>
        <xdr:xfrm>
          <a:off x="18602325" y="3419475"/>
          <a:ext cx="8553008" cy="3554597"/>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6" name="Rectangle: Rounded Corners 25">
            <a:extLst>
              <a:ext uri="{FF2B5EF4-FFF2-40B4-BE49-F238E27FC236}">
                <a16:creationId xmlns:a16="http://schemas.microsoft.com/office/drawing/2014/main" id="{C8D76A06-8CBB-412C-A711-7C706105BEAF}"/>
              </a:ext>
            </a:extLst>
          </xdr:cNvPr>
          <xdr:cNvSpPr/>
        </xdr:nvSpPr>
        <xdr:spPr>
          <a:xfrm>
            <a:off x="18669000" y="3733799"/>
            <a:ext cx="2700000" cy="45719"/>
          </a:xfrm>
          <a:prstGeom prst="roundRect">
            <a:avLst>
              <a:gd name="adj" fmla="val 50000"/>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18</xdr:col>
      <xdr:colOff>495300</xdr:colOff>
      <xdr:row>15</xdr:row>
      <xdr:rowOff>180974</xdr:rowOff>
    </xdr:from>
    <xdr:to>
      <xdr:col>30</xdr:col>
      <xdr:colOff>503700</xdr:colOff>
      <xdr:row>16</xdr:row>
      <xdr:rowOff>16949</xdr:rowOff>
    </xdr:to>
    <xdr:sp macro="" textlink="">
      <xdr:nvSpPr>
        <xdr:cNvPr id="28" name="Rectangle: Rounded Corners 27">
          <a:extLst>
            <a:ext uri="{FF2B5EF4-FFF2-40B4-BE49-F238E27FC236}">
              <a16:creationId xmlns:a16="http://schemas.microsoft.com/office/drawing/2014/main" id="{9120D279-31CC-4A9E-9EDA-FB7A8D8F0927}"/>
            </a:ext>
          </a:extLst>
        </xdr:cNvPr>
        <xdr:cNvSpPr/>
      </xdr:nvSpPr>
      <xdr:spPr>
        <a:xfrm>
          <a:off x="18488025" y="3200399"/>
          <a:ext cx="9000000" cy="36000"/>
        </a:xfrm>
        <a:prstGeom prst="roundRect">
          <a:avLst>
            <a:gd name="adj" fmla="val 50000"/>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183614</xdr:colOff>
      <xdr:row>3</xdr:row>
      <xdr:rowOff>18366</xdr:rowOff>
    </xdr:from>
    <xdr:to>
      <xdr:col>33</xdr:col>
      <xdr:colOff>376409</xdr:colOff>
      <xdr:row>13</xdr:row>
      <xdr:rowOff>36722</xdr:rowOff>
    </xdr:to>
    <xdr:graphicFrame macro="">
      <xdr:nvGraphicFramePr>
        <xdr:cNvPr id="2" name="Chart 1">
          <a:extLst>
            <a:ext uri="{FF2B5EF4-FFF2-40B4-BE49-F238E27FC236}">
              <a16:creationId xmlns:a16="http://schemas.microsoft.com/office/drawing/2014/main" id="{ED7FD5D3-EA2D-4679-B153-8A1B85AFB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183613</xdr:colOff>
      <xdr:row>13</xdr:row>
      <xdr:rowOff>179026</xdr:rowOff>
    </xdr:from>
    <xdr:to>
      <xdr:col>35</xdr:col>
      <xdr:colOff>504940</xdr:colOff>
      <xdr:row>23</xdr:row>
      <xdr:rowOff>134221</xdr:rowOff>
    </xdr:to>
    <xdr:graphicFrame macro="">
      <xdr:nvGraphicFramePr>
        <xdr:cNvPr id="3" name="Chart 2">
          <a:extLst>
            <a:ext uri="{FF2B5EF4-FFF2-40B4-BE49-F238E27FC236}">
              <a16:creationId xmlns:a16="http://schemas.microsoft.com/office/drawing/2014/main" id="{00E986D6-CEFD-4841-9854-1931C88EB7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183614</xdr:colOff>
      <xdr:row>24</xdr:row>
      <xdr:rowOff>73448</xdr:rowOff>
    </xdr:from>
    <xdr:to>
      <xdr:col>33</xdr:col>
      <xdr:colOff>376410</xdr:colOff>
      <xdr:row>34</xdr:row>
      <xdr:rowOff>102089</xdr:rowOff>
    </xdr:to>
    <xdr:graphicFrame macro="">
      <xdr:nvGraphicFramePr>
        <xdr:cNvPr id="4" name="Chart 3">
          <a:extLst>
            <a:ext uri="{FF2B5EF4-FFF2-40B4-BE49-F238E27FC236}">
              <a16:creationId xmlns:a16="http://schemas.microsoft.com/office/drawing/2014/main" id="{56254186-059E-4E3A-B2B2-553AA35FE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302964</xdr:colOff>
      <xdr:row>18</xdr:row>
      <xdr:rowOff>174433</xdr:rowOff>
    </xdr:from>
    <xdr:to>
      <xdr:col>34</xdr:col>
      <xdr:colOff>220337</xdr:colOff>
      <xdr:row>19</xdr:row>
      <xdr:rowOff>137710</xdr:rowOff>
    </xdr:to>
    <xdr:sp macro="" textlink="">
      <xdr:nvSpPr>
        <xdr:cNvPr id="5" name="TextBox 4">
          <a:extLst>
            <a:ext uri="{FF2B5EF4-FFF2-40B4-BE49-F238E27FC236}">
              <a16:creationId xmlns:a16="http://schemas.microsoft.com/office/drawing/2014/main" id="{159E16A2-25F0-4E1E-8DA4-498396F9C96F}"/>
            </a:ext>
          </a:extLst>
        </xdr:cNvPr>
        <xdr:cNvSpPr txBox="1"/>
      </xdr:nvSpPr>
      <xdr:spPr>
        <a:xfrm>
          <a:off x="60196164" y="3778693"/>
          <a:ext cx="526973" cy="1690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latin typeface="Aptos Display" panose="020B0004020202020204" pitchFamily="34" charset="0"/>
            </a:rPr>
            <a:t>Sales</a:t>
          </a:r>
        </a:p>
      </xdr:txBody>
    </xdr:sp>
    <xdr:clientData/>
  </xdr:twoCellAnchor>
  <xdr:twoCellAnchor>
    <xdr:from>
      <xdr:col>33</xdr:col>
      <xdr:colOff>299294</xdr:colOff>
      <xdr:row>19</xdr:row>
      <xdr:rowOff>189123</xdr:rowOff>
    </xdr:from>
    <xdr:to>
      <xdr:col>35</xdr:col>
      <xdr:colOff>128532</xdr:colOff>
      <xdr:row>20</xdr:row>
      <xdr:rowOff>174434</xdr:rowOff>
    </xdr:to>
    <xdr:sp macro="" textlink="">
      <xdr:nvSpPr>
        <xdr:cNvPr id="6" name="TextBox 5">
          <a:extLst>
            <a:ext uri="{FF2B5EF4-FFF2-40B4-BE49-F238E27FC236}">
              <a16:creationId xmlns:a16="http://schemas.microsoft.com/office/drawing/2014/main" id="{FD75C6F2-E0CA-4A5C-8883-0FC02A94FC5A}"/>
            </a:ext>
          </a:extLst>
        </xdr:cNvPr>
        <xdr:cNvSpPr txBox="1"/>
      </xdr:nvSpPr>
      <xdr:spPr>
        <a:xfrm>
          <a:off x="60192494" y="3999123"/>
          <a:ext cx="1048438" cy="1910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latin typeface="Aptos Display" panose="020B0004020202020204" pitchFamily="34" charset="0"/>
            </a:rPr>
            <a:t>Predicted Sales</a:t>
          </a:r>
        </a:p>
      </xdr:txBody>
    </xdr:sp>
    <xdr:clientData/>
  </xdr:twoCellAnchor>
  <xdr:twoCellAnchor>
    <xdr:from>
      <xdr:col>1</xdr:col>
      <xdr:colOff>257060</xdr:colOff>
      <xdr:row>8</xdr:row>
      <xdr:rowOff>55084</xdr:rowOff>
    </xdr:from>
    <xdr:to>
      <xdr:col>5</xdr:col>
      <xdr:colOff>1523841</xdr:colOff>
      <xdr:row>24</xdr:row>
      <xdr:rowOff>0</xdr:rowOff>
    </xdr:to>
    <xdr:graphicFrame macro="">
      <xdr:nvGraphicFramePr>
        <xdr:cNvPr id="7" name="Chart 6">
          <a:extLst>
            <a:ext uri="{FF2B5EF4-FFF2-40B4-BE49-F238E27FC236}">
              <a16:creationId xmlns:a16="http://schemas.microsoft.com/office/drawing/2014/main" id="{28C3ACD5-1A05-4ACF-B6C2-AEF1EF846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310192</xdr:colOff>
      <xdr:row>26</xdr:row>
      <xdr:rowOff>51413</xdr:rowOff>
    </xdr:from>
    <xdr:to>
      <xdr:col>9</xdr:col>
      <xdr:colOff>201542</xdr:colOff>
      <xdr:row>26</xdr:row>
      <xdr:rowOff>89363</xdr:rowOff>
    </xdr:to>
    <xdr:sp macro="" textlink="">
      <xdr:nvSpPr>
        <xdr:cNvPr id="8" name="Rectangle: Rounded Corners 7">
          <a:extLst>
            <a:ext uri="{FF2B5EF4-FFF2-40B4-BE49-F238E27FC236}">
              <a16:creationId xmlns:a16="http://schemas.microsoft.com/office/drawing/2014/main" id="{B61749BE-C44B-4A23-AA31-24A921C60136}"/>
            </a:ext>
          </a:extLst>
        </xdr:cNvPr>
        <xdr:cNvSpPr/>
      </xdr:nvSpPr>
      <xdr:spPr>
        <a:xfrm>
          <a:off x="28306072" y="5415893"/>
          <a:ext cx="10437430" cy="37950"/>
        </a:xfrm>
        <a:prstGeom prst="roundRect">
          <a:avLst>
            <a:gd name="adj" fmla="val 50000"/>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25931</xdr:colOff>
      <xdr:row>2</xdr:row>
      <xdr:rowOff>123825</xdr:rowOff>
    </xdr:from>
    <xdr:to>
      <xdr:col>7</xdr:col>
      <xdr:colOff>1176046</xdr:colOff>
      <xdr:row>4</xdr:row>
      <xdr:rowOff>180975</xdr:rowOff>
    </xdr:to>
    <xdr:sp macro="" textlink="">
      <xdr:nvSpPr>
        <xdr:cNvPr id="9" name="TextBox 8">
          <a:extLst>
            <a:ext uri="{FF2B5EF4-FFF2-40B4-BE49-F238E27FC236}">
              <a16:creationId xmlns:a16="http://schemas.microsoft.com/office/drawing/2014/main" id="{D75FD74E-6821-4AC8-95E2-B077832FD3A9}"/>
            </a:ext>
          </a:extLst>
        </xdr:cNvPr>
        <xdr:cNvSpPr txBox="1"/>
      </xdr:nvSpPr>
      <xdr:spPr>
        <a:xfrm>
          <a:off x="31496531" y="527685"/>
          <a:ext cx="3710435" cy="4533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00B0F0"/>
              </a:solidFill>
              <a:latin typeface="Aptos Display" panose="020B0004020202020204" pitchFamily="34" charset="0"/>
            </a:rPr>
            <a:t>Simple</a:t>
          </a:r>
          <a:r>
            <a:rPr lang="en-IN" sz="1800" b="1" baseline="0">
              <a:solidFill>
                <a:srgbClr val="00B0F0"/>
              </a:solidFill>
              <a:latin typeface="Aptos Display" panose="020B0004020202020204" pitchFamily="34" charset="0"/>
            </a:rPr>
            <a:t> Linear Regression</a:t>
          </a:r>
        </a:p>
        <a:p>
          <a:pPr algn="ctr"/>
          <a:endParaRPr lang="en-IN" sz="1800" b="1">
            <a:solidFill>
              <a:srgbClr val="00B0F0"/>
            </a:solidFill>
            <a:latin typeface="Aptos Display" panose="020B0004020202020204" pitchFamily="34" charset="0"/>
          </a:endParaRPr>
        </a:p>
      </xdr:txBody>
    </xdr:sp>
    <xdr:clientData/>
  </xdr:twoCellAnchor>
  <xdr:twoCellAnchor>
    <xdr:from>
      <xdr:col>1</xdr:col>
      <xdr:colOff>310192</xdr:colOff>
      <xdr:row>7</xdr:row>
      <xdr:rowOff>3099</xdr:rowOff>
    </xdr:from>
    <xdr:to>
      <xdr:col>9</xdr:col>
      <xdr:colOff>201542</xdr:colOff>
      <xdr:row>7</xdr:row>
      <xdr:rowOff>48818</xdr:rowOff>
    </xdr:to>
    <xdr:sp macro="" textlink="">
      <xdr:nvSpPr>
        <xdr:cNvPr id="10" name="Rectangle: Rounded Corners 9">
          <a:extLst>
            <a:ext uri="{FF2B5EF4-FFF2-40B4-BE49-F238E27FC236}">
              <a16:creationId xmlns:a16="http://schemas.microsoft.com/office/drawing/2014/main" id="{10C24104-40C6-4F66-8D31-5144B8CADB94}"/>
            </a:ext>
          </a:extLst>
        </xdr:cNvPr>
        <xdr:cNvSpPr/>
      </xdr:nvSpPr>
      <xdr:spPr>
        <a:xfrm>
          <a:off x="28306072" y="1397559"/>
          <a:ext cx="10437430" cy="45719"/>
        </a:xfrm>
        <a:prstGeom prst="roundRect">
          <a:avLst>
            <a:gd name="adj" fmla="val 50000"/>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247877</xdr:colOff>
      <xdr:row>4</xdr:row>
      <xdr:rowOff>129914</xdr:rowOff>
    </xdr:from>
    <xdr:to>
      <xdr:col>7</xdr:col>
      <xdr:colOff>926455</xdr:colOff>
      <xdr:row>4</xdr:row>
      <xdr:rowOff>177074</xdr:rowOff>
    </xdr:to>
    <xdr:sp macro="" textlink="">
      <xdr:nvSpPr>
        <xdr:cNvPr id="11" name="Rectangle: Rounded Corners 10">
          <a:extLst>
            <a:ext uri="{FF2B5EF4-FFF2-40B4-BE49-F238E27FC236}">
              <a16:creationId xmlns:a16="http://schemas.microsoft.com/office/drawing/2014/main" id="{07EA9451-7D59-4BD3-A4D1-AE9EAD02A065}"/>
            </a:ext>
          </a:extLst>
        </xdr:cNvPr>
        <xdr:cNvSpPr/>
      </xdr:nvSpPr>
      <xdr:spPr>
        <a:xfrm>
          <a:off x="31718477" y="930014"/>
          <a:ext cx="3238898" cy="47160"/>
        </a:xfrm>
        <a:prstGeom prst="roundRect">
          <a:avLst>
            <a:gd name="adj" fmla="val 50000"/>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99060</xdr:colOff>
      <xdr:row>3</xdr:row>
      <xdr:rowOff>0</xdr:rowOff>
    </xdr:from>
    <xdr:to>
      <xdr:col>10</xdr:col>
      <xdr:colOff>670560</xdr:colOff>
      <xdr:row>20</xdr:row>
      <xdr:rowOff>19050</xdr:rowOff>
    </xdr:to>
    <xdr:graphicFrame macro="">
      <xdr:nvGraphicFramePr>
        <xdr:cNvPr id="2" name="Chart 1">
          <a:extLst>
            <a:ext uri="{FF2B5EF4-FFF2-40B4-BE49-F238E27FC236}">
              <a16:creationId xmlns:a16="http://schemas.microsoft.com/office/drawing/2014/main" id="{83C52DA0-B9DF-C501-203B-9877DFB592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114300</xdr:colOff>
      <xdr:row>3</xdr:row>
      <xdr:rowOff>0</xdr:rowOff>
    </xdr:from>
    <xdr:to>
      <xdr:col>23</xdr:col>
      <xdr:colOff>342900</xdr:colOff>
      <xdr:row>18</xdr:row>
      <xdr:rowOff>0</xdr:rowOff>
    </xdr:to>
    <xdr:graphicFrame macro="">
      <xdr:nvGraphicFramePr>
        <xdr:cNvPr id="6" name="Chart 5">
          <a:extLst>
            <a:ext uri="{FF2B5EF4-FFF2-40B4-BE49-F238E27FC236}">
              <a16:creationId xmlns:a16="http://schemas.microsoft.com/office/drawing/2014/main" id="{E7FCA737-F17F-FAFB-E554-87144FE24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152400</xdr:colOff>
      <xdr:row>3</xdr:row>
      <xdr:rowOff>0</xdr:rowOff>
    </xdr:from>
    <xdr:to>
      <xdr:col>33</xdr:col>
      <xdr:colOff>266700</xdr:colOff>
      <xdr:row>18</xdr:row>
      <xdr:rowOff>0</xdr:rowOff>
    </xdr:to>
    <xdr:graphicFrame macro="">
      <xdr:nvGraphicFramePr>
        <xdr:cNvPr id="23" name="Chart 22">
          <a:extLst>
            <a:ext uri="{FF2B5EF4-FFF2-40B4-BE49-F238E27FC236}">
              <a16:creationId xmlns:a16="http://schemas.microsoft.com/office/drawing/2014/main" id="{98F2423D-8E30-63DC-7515-5760B0756B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137160</xdr:colOff>
      <xdr:row>21</xdr:row>
      <xdr:rowOff>45720</xdr:rowOff>
    </xdr:from>
    <xdr:to>
      <xdr:col>23</xdr:col>
      <xdr:colOff>365760</xdr:colOff>
      <xdr:row>36</xdr:row>
      <xdr:rowOff>76200</xdr:rowOff>
    </xdr:to>
    <xdr:graphicFrame macro="">
      <xdr:nvGraphicFramePr>
        <xdr:cNvPr id="27" name="Chart 26">
          <a:extLst>
            <a:ext uri="{FF2B5EF4-FFF2-40B4-BE49-F238E27FC236}">
              <a16:creationId xmlns:a16="http://schemas.microsoft.com/office/drawing/2014/main" id="{69582D1D-DEE1-680B-B303-F540186708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38</xdr:col>
      <xdr:colOff>274320</xdr:colOff>
      <xdr:row>2</xdr:row>
      <xdr:rowOff>45720</xdr:rowOff>
    </xdr:from>
    <xdr:to>
      <xdr:col>40</xdr:col>
      <xdr:colOff>2842260</xdr:colOff>
      <xdr:row>17</xdr:row>
      <xdr:rowOff>45720</xdr:rowOff>
    </xdr:to>
    <xdr:graphicFrame macro="">
      <xdr:nvGraphicFramePr>
        <xdr:cNvPr id="33" name="Chart 32">
          <a:extLst>
            <a:ext uri="{FF2B5EF4-FFF2-40B4-BE49-F238E27FC236}">
              <a16:creationId xmlns:a16="http://schemas.microsoft.com/office/drawing/2014/main" id="{C3CEA751-8879-F9DD-D294-108E15886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44</xdr:col>
      <xdr:colOff>91440</xdr:colOff>
      <xdr:row>2</xdr:row>
      <xdr:rowOff>22860</xdr:rowOff>
    </xdr:from>
    <xdr:to>
      <xdr:col>45</xdr:col>
      <xdr:colOff>2133600</xdr:colOff>
      <xdr:row>17</xdr:row>
      <xdr:rowOff>38100</xdr:rowOff>
    </xdr:to>
    <xdr:graphicFrame macro="">
      <xdr:nvGraphicFramePr>
        <xdr:cNvPr id="34" name="Chart 33">
          <a:extLst>
            <a:ext uri="{FF2B5EF4-FFF2-40B4-BE49-F238E27FC236}">
              <a16:creationId xmlns:a16="http://schemas.microsoft.com/office/drawing/2014/main" id="{E450AC7A-5370-70BE-1EDE-929F34D370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52</xdr:col>
      <xdr:colOff>250029</xdr:colOff>
      <xdr:row>31</xdr:row>
      <xdr:rowOff>166685</xdr:rowOff>
    </xdr:from>
    <xdr:to>
      <xdr:col>54</xdr:col>
      <xdr:colOff>35342</xdr:colOff>
      <xdr:row>31</xdr:row>
      <xdr:rowOff>166685</xdr:rowOff>
    </xdr:to>
    <xdr:cxnSp macro="">
      <xdr:nvCxnSpPr>
        <xdr:cNvPr id="37" name="Straight Connector 36">
          <a:extLst>
            <a:ext uri="{FF2B5EF4-FFF2-40B4-BE49-F238E27FC236}">
              <a16:creationId xmlns:a16="http://schemas.microsoft.com/office/drawing/2014/main" id="{3845B4CF-E198-2671-3E8C-0FBE556E51F2}"/>
            </a:ext>
          </a:extLst>
        </xdr:cNvPr>
        <xdr:cNvCxnSpPr/>
      </xdr:nvCxnSpPr>
      <xdr:spPr>
        <a:xfrm>
          <a:off x="3190873" y="5595935"/>
          <a:ext cx="1476000" cy="0"/>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60</xdr:col>
      <xdr:colOff>1369218</xdr:colOff>
      <xdr:row>13</xdr:row>
      <xdr:rowOff>154781</xdr:rowOff>
    </xdr:from>
    <xdr:to>
      <xdr:col>63</xdr:col>
      <xdr:colOff>84678</xdr:colOff>
      <xdr:row>17</xdr:row>
      <xdr:rowOff>30480</xdr:rowOff>
    </xdr:to>
    <xdr:grpSp>
      <xdr:nvGrpSpPr>
        <xdr:cNvPr id="19" name="Group 18">
          <a:extLst>
            <a:ext uri="{FF2B5EF4-FFF2-40B4-BE49-F238E27FC236}">
              <a16:creationId xmlns:a16="http://schemas.microsoft.com/office/drawing/2014/main" id="{D1806D0C-D25D-A1E8-40A2-FDE3E06FF79C}"/>
            </a:ext>
          </a:extLst>
        </xdr:cNvPr>
        <xdr:cNvGrpSpPr/>
      </xdr:nvGrpSpPr>
      <xdr:grpSpPr>
        <a:xfrm>
          <a:off x="56629458" y="2547461"/>
          <a:ext cx="1512000" cy="607219"/>
          <a:chOff x="14605158" y="2646521"/>
          <a:chExt cx="1512000" cy="607219"/>
        </a:xfrm>
      </xdr:grpSpPr>
      <xdr:sp macro="" textlink="">
        <xdr:nvSpPr>
          <xdr:cNvPr id="38" name="Rectangle: Rounded Corners 37">
            <a:extLst>
              <a:ext uri="{FF2B5EF4-FFF2-40B4-BE49-F238E27FC236}">
                <a16:creationId xmlns:a16="http://schemas.microsoft.com/office/drawing/2014/main" id="{A44895A0-AAFC-2874-7521-EF342D317E89}"/>
              </a:ext>
            </a:extLst>
          </xdr:cNvPr>
          <xdr:cNvSpPr/>
        </xdr:nvSpPr>
        <xdr:spPr>
          <a:xfrm>
            <a:off x="14605158" y="2646521"/>
            <a:ext cx="1512000" cy="607219"/>
          </a:xfrm>
          <a:prstGeom prst="roundRect">
            <a:avLst>
              <a:gd name="adj" fmla="val 484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BG$13">
        <xdr:nvSpPr>
          <xdr:cNvPr id="12" name="Rectangle: Rounded Corners 11">
            <a:extLst>
              <a:ext uri="{FF2B5EF4-FFF2-40B4-BE49-F238E27FC236}">
                <a16:creationId xmlns:a16="http://schemas.microsoft.com/office/drawing/2014/main" id="{07C2874D-CAC9-72D3-2C96-8D144BE60895}"/>
              </a:ext>
            </a:extLst>
          </xdr:cNvPr>
          <xdr:cNvSpPr/>
        </xdr:nvSpPr>
        <xdr:spPr>
          <a:xfrm>
            <a:off x="14973116" y="2978701"/>
            <a:ext cx="783941" cy="191219"/>
          </a:xfrm>
          <a:prstGeom prst="roundRect">
            <a:avLst>
              <a:gd name="adj" fmla="val 909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C58FCB0-D056-40AC-BACD-A50BE7CDE47B}" type="TxLink">
              <a:rPr lang="en-US" sz="1400" b="1" i="0" u="none" strike="noStrike">
                <a:solidFill>
                  <a:srgbClr val="000000"/>
                </a:solidFill>
                <a:latin typeface="Aptos Display" panose="020B0004020202020204" pitchFamily="34" charset="0"/>
                <a:ea typeface="Calibri"/>
                <a:cs typeface="Calibri"/>
              </a:rPr>
              <a:pPr algn="ctr"/>
              <a:t>7.36%</a:t>
            </a:fld>
            <a:endParaRPr lang="en-IN" sz="4000" b="1">
              <a:latin typeface="Aptos Display" panose="020B0004020202020204" pitchFamily="34" charset="0"/>
            </a:endParaRPr>
          </a:p>
        </xdr:txBody>
      </xdr:sp>
      <xdr:sp macro="" textlink="">
        <xdr:nvSpPr>
          <xdr:cNvPr id="39" name="Rectangle: Rounded Corners 38">
            <a:extLst>
              <a:ext uri="{FF2B5EF4-FFF2-40B4-BE49-F238E27FC236}">
                <a16:creationId xmlns:a16="http://schemas.microsoft.com/office/drawing/2014/main" id="{A33775AE-6A54-4F66-8268-DC5BA0E22667}"/>
              </a:ext>
            </a:extLst>
          </xdr:cNvPr>
          <xdr:cNvSpPr/>
        </xdr:nvSpPr>
        <xdr:spPr>
          <a:xfrm>
            <a:off x="14694116" y="2727960"/>
            <a:ext cx="1321647" cy="154528"/>
          </a:xfrm>
          <a:prstGeom prst="roundRect">
            <a:avLst>
              <a:gd name="adj" fmla="val 909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000000"/>
                </a:solidFill>
                <a:latin typeface="Aptos Display" panose="020B0004020202020204" pitchFamily="34" charset="0"/>
                <a:ea typeface="Calibri"/>
                <a:cs typeface="Calibri"/>
              </a:rPr>
              <a:t>TOTAL</a:t>
            </a:r>
            <a:r>
              <a:rPr lang="en-US" sz="1200" b="1" i="0" u="none" strike="noStrike" baseline="0">
                <a:solidFill>
                  <a:srgbClr val="000000"/>
                </a:solidFill>
                <a:latin typeface="Aptos Display" panose="020B0004020202020204" pitchFamily="34" charset="0"/>
                <a:ea typeface="Calibri"/>
                <a:cs typeface="Calibri"/>
              </a:rPr>
              <a:t> RETURNS</a:t>
            </a:r>
            <a:endParaRPr lang="en-US" sz="1800" b="1" i="0" u="none" strike="noStrike">
              <a:solidFill>
                <a:srgbClr val="000000"/>
              </a:solidFill>
              <a:latin typeface="Aptos Display" panose="020B0004020202020204" pitchFamily="34" charset="0"/>
              <a:ea typeface="Calibri"/>
              <a:cs typeface="Calibri"/>
            </a:endParaRPr>
          </a:p>
        </xdr:txBody>
      </xdr:sp>
      <xdr:cxnSp macro="">
        <xdr:nvCxnSpPr>
          <xdr:cNvPr id="41" name="Straight Connector 40">
            <a:extLst>
              <a:ext uri="{FF2B5EF4-FFF2-40B4-BE49-F238E27FC236}">
                <a16:creationId xmlns:a16="http://schemas.microsoft.com/office/drawing/2014/main" id="{14C90C54-F66F-9BBB-AF80-F30F3FF6F9F6}"/>
              </a:ext>
            </a:extLst>
          </xdr:cNvPr>
          <xdr:cNvCxnSpPr/>
        </xdr:nvCxnSpPr>
        <xdr:spPr>
          <a:xfrm>
            <a:off x="14681777" y="2928208"/>
            <a:ext cx="1368000" cy="0"/>
          </a:xfrm>
          <a:prstGeom prst="line">
            <a:avLst/>
          </a:prstGeom>
        </xdr:spPr>
        <xdr:style>
          <a:lnRef idx="2">
            <a:schemeClr val="dk1"/>
          </a:lnRef>
          <a:fillRef idx="0">
            <a:schemeClr val="dk1"/>
          </a:fillRef>
          <a:effectRef idx="1">
            <a:schemeClr val="dk1"/>
          </a:effectRef>
          <a:fontRef idx="minor">
            <a:schemeClr val="tx1"/>
          </a:fontRef>
        </xdr:style>
      </xdr:cxnSp>
    </xdr:grpSp>
    <xdr:clientData/>
  </xdr:twoCellAnchor>
  <xdr:twoCellAnchor>
    <xdr:from>
      <xdr:col>38</xdr:col>
      <xdr:colOff>784860</xdr:colOff>
      <xdr:row>25</xdr:row>
      <xdr:rowOff>45720</xdr:rowOff>
    </xdr:from>
    <xdr:to>
      <xdr:col>41</xdr:col>
      <xdr:colOff>395885</xdr:colOff>
      <xdr:row>40</xdr:row>
      <xdr:rowOff>67627</xdr:rowOff>
    </xdr:to>
    <xdr:graphicFrame macro="">
      <xdr:nvGraphicFramePr>
        <xdr:cNvPr id="13" name="Chart 12">
          <a:extLst>
            <a:ext uri="{FF2B5EF4-FFF2-40B4-BE49-F238E27FC236}">
              <a16:creationId xmlns:a16="http://schemas.microsoft.com/office/drawing/2014/main" id="{6F721150-5EA4-4ACC-A41F-976D87A6D0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60</xdr:col>
      <xdr:colOff>533400</xdr:colOff>
      <xdr:row>7</xdr:row>
      <xdr:rowOff>181451</xdr:rowOff>
    </xdr:from>
    <xdr:to>
      <xdr:col>63</xdr:col>
      <xdr:colOff>121920</xdr:colOff>
      <xdr:row>12</xdr:row>
      <xdr:rowOff>144780</xdr:rowOff>
    </xdr:to>
    <xdr:grpSp>
      <xdr:nvGrpSpPr>
        <xdr:cNvPr id="49" name="Group 48">
          <a:extLst>
            <a:ext uri="{FF2B5EF4-FFF2-40B4-BE49-F238E27FC236}">
              <a16:creationId xmlns:a16="http://schemas.microsoft.com/office/drawing/2014/main" id="{C46149F3-DE8E-A07E-B13E-818147C57834}"/>
            </a:ext>
          </a:extLst>
        </xdr:cNvPr>
        <xdr:cNvGrpSpPr/>
      </xdr:nvGrpSpPr>
      <xdr:grpSpPr>
        <a:xfrm>
          <a:off x="55793640" y="1476851"/>
          <a:ext cx="2385060" cy="877729"/>
          <a:chOff x="14455140" y="3107531"/>
          <a:chExt cx="2385060" cy="877729"/>
        </a:xfrm>
      </xdr:grpSpPr>
      <xdr:sp macro="" textlink="">
        <xdr:nvSpPr>
          <xdr:cNvPr id="24" name="Rectangle: Rounded Corners 23">
            <a:extLst>
              <a:ext uri="{FF2B5EF4-FFF2-40B4-BE49-F238E27FC236}">
                <a16:creationId xmlns:a16="http://schemas.microsoft.com/office/drawing/2014/main" id="{BD8A2E47-FC31-E232-B788-F5F15CE6DAB3}"/>
              </a:ext>
            </a:extLst>
          </xdr:cNvPr>
          <xdr:cNvSpPr/>
        </xdr:nvSpPr>
        <xdr:spPr>
          <a:xfrm>
            <a:off x="14455140" y="3107531"/>
            <a:ext cx="2385060" cy="877729"/>
          </a:xfrm>
          <a:prstGeom prst="roundRect">
            <a:avLst>
              <a:gd name="adj" fmla="val 484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BG$15">
        <xdr:nvSpPr>
          <xdr:cNvPr id="25" name="Rectangle: Rounded Corners 24">
            <a:extLst>
              <a:ext uri="{FF2B5EF4-FFF2-40B4-BE49-F238E27FC236}">
                <a16:creationId xmlns:a16="http://schemas.microsoft.com/office/drawing/2014/main" id="{63732185-D147-A091-98CF-3EA76CA05B53}"/>
              </a:ext>
            </a:extLst>
          </xdr:cNvPr>
          <xdr:cNvSpPr/>
        </xdr:nvSpPr>
        <xdr:spPr>
          <a:xfrm>
            <a:off x="15072175" y="3706411"/>
            <a:ext cx="1080000" cy="191219"/>
          </a:xfrm>
          <a:prstGeom prst="roundRect">
            <a:avLst>
              <a:gd name="adj" fmla="val 909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FDBC97F-07F4-406B-9CDD-DAABFF11021A}" type="TxLink">
              <a:rPr lang="en-US" sz="1400" b="1" i="0" u="none" strike="noStrike">
                <a:solidFill>
                  <a:srgbClr val="000000"/>
                </a:solidFill>
                <a:latin typeface="Aptos Display" panose="020B0004020202020204" pitchFamily="34" charset="0"/>
                <a:ea typeface="Calibri"/>
                <a:cs typeface="Calibri"/>
              </a:rPr>
              <a:pPr algn="ctr"/>
              <a:t> $39,899 </a:t>
            </a:fld>
            <a:endParaRPr lang="en-IN" sz="4800" b="1">
              <a:latin typeface="Aptos Display" panose="020B0004020202020204" pitchFamily="34" charset="0"/>
            </a:endParaRPr>
          </a:p>
        </xdr:txBody>
      </xdr:sp>
      <xdr:sp macro="" textlink="">
        <xdr:nvSpPr>
          <xdr:cNvPr id="36" name="Rectangle: Rounded Corners 35">
            <a:extLst>
              <a:ext uri="{FF2B5EF4-FFF2-40B4-BE49-F238E27FC236}">
                <a16:creationId xmlns:a16="http://schemas.microsoft.com/office/drawing/2014/main" id="{8D784887-613D-BC42-8437-D40ABE987DB1}"/>
              </a:ext>
            </a:extLst>
          </xdr:cNvPr>
          <xdr:cNvSpPr/>
        </xdr:nvSpPr>
        <xdr:spPr>
          <a:xfrm>
            <a:off x="14572195" y="3143250"/>
            <a:ext cx="2123225" cy="514350"/>
          </a:xfrm>
          <a:prstGeom prst="roundRect">
            <a:avLst>
              <a:gd name="adj" fmla="val 909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000000"/>
                </a:solidFill>
                <a:latin typeface="Aptos Display" panose="020B0004020202020204" pitchFamily="34" charset="0"/>
                <a:ea typeface="Calibri"/>
                <a:cs typeface="Calibri"/>
              </a:rPr>
              <a:t>AVG</a:t>
            </a:r>
            <a:r>
              <a:rPr lang="en-US" sz="1200" b="1" i="0" u="none" strike="noStrike" baseline="0">
                <a:solidFill>
                  <a:srgbClr val="000000"/>
                </a:solidFill>
                <a:latin typeface="Aptos Display" panose="020B0004020202020204" pitchFamily="34" charset="0"/>
                <a:ea typeface="Calibri"/>
                <a:cs typeface="Calibri"/>
              </a:rPr>
              <a:t> MARKETING SPEND PER QTR</a:t>
            </a:r>
          </a:p>
        </xdr:txBody>
      </xdr:sp>
      <xdr:cxnSp macro="">
        <xdr:nvCxnSpPr>
          <xdr:cNvPr id="40" name="Straight Connector 39">
            <a:extLst>
              <a:ext uri="{FF2B5EF4-FFF2-40B4-BE49-F238E27FC236}">
                <a16:creationId xmlns:a16="http://schemas.microsoft.com/office/drawing/2014/main" id="{4674C45A-10FD-2F03-2268-BD7D5CA83E6B}"/>
              </a:ext>
            </a:extLst>
          </xdr:cNvPr>
          <xdr:cNvCxnSpPr/>
        </xdr:nvCxnSpPr>
        <xdr:spPr>
          <a:xfrm>
            <a:off x="14552237" y="3633058"/>
            <a:ext cx="2160000" cy="0"/>
          </a:xfrm>
          <a:prstGeom prst="line">
            <a:avLst/>
          </a:prstGeom>
        </xdr:spPr>
        <xdr:style>
          <a:lnRef idx="2">
            <a:schemeClr val="dk1"/>
          </a:lnRef>
          <a:fillRef idx="0">
            <a:schemeClr val="dk1"/>
          </a:fillRef>
          <a:effectRef idx="1">
            <a:schemeClr val="dk1"/>
          </a:effectRef>
          <a:fontRef idx="minor">
            <a:schemeClr val="tx1"/>
          </a:fontRef>
        </xdr:style>
      </xdr:cxnSp>
    </xdr:grpSp>
    <xdr:clientData/>
  </xdr:twoCellAnchor>
  <xdr:twoCellAnchor>
    <xdr:from>
      <xdr:col>63</xdr:col>
      <xdr:colOff>388620</xdr:colOff>
      <xdr:row>7</xdr:row>
      <xdr:rowOff>166211</xdr:rowOff>
    </xdr:from>
    <xdr:to>
      <xdr:col>65</xdr:col>
      <xdr:colOff>533400</xdr:colOff>
      <xdr:row>12</xdr:row>
      <xdr:rowOff>129540</xdr:rowOff>
    </xdr:to>
    <xdr:grpSp>
      <xdr:nvGrpSpPr>
        <xdr:cNvPr id="56" name="Group 55">
          <a:extLst>
            <a:ext uri="{FF2B5EF4-FFF2-40B4-BE49-F238E27FC236}">
              <a16:creationId xmlns:a16="http://schemas.microsoft.com/office/drawing/2014/main" id="{B8A9189B-2137-8B6C-CEC3-C03E11F47BAF}"/>
            </a:ext>
          </a:extLst>
        </xdr:cNvPr>
        <xdr:cNvGrpSpPr/>
      </xdr:nvGrpSpPr>
      <xdr:grpSpPr>
        <a:xfrm>
          <a:off x="58445400" y="1461611"/>
          <a:ext cx="1363980" cy="877729"/>
          <a:chOff x="16093440" y="2772251"/>
          <a:chExt cx="1363980" cy="877729"/>
        </a:xfrm>
      </xdr:grpSpPr>
      <xdr:sp macro="" textlink="">
        <xdr:nvSpPr>
          <xdr:cNvPr id="51" name="Rectangle: Rounded Corners 50">
            <a:extLst>
              <a:ext uri="{FF2B5EF4-FFF2-40B4-BE49-F238E27FC236}">
                <a16:creationId xmlns:a16="http://schemas.microsoft.com/office/drawing/2014/main" id="{736740D2-95FC-63CE-E59A-49B3F9A1F951}"/>
              </a:ext>
            </a:extLst>
          </xdr:cNvPr>
          <xdr:cNvSpPr/>
        </xdr:nvSpPr>
        <xdr:spPr>
          <a:xfrm>
            <a:off x="16093440" y="2772251"/>
            <a:ext cx="1363980" cy="877729"/>
          </a:xfrm>
          <a:prstGeom prst="roundRect">
            <a:avLst>
              <a:gd name="adj" fmla="val 484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BG$17">
        <xdr:nvSpPr>
          <xdr:cNvPr id="52" name="Rectangle: Rounded Corners 51">
            <a:extLst>
              <a:ext uri="{FF2B5EF4-FFF2-40B4-BE49-F238E27FC236}">
                <a16:creationId xmlns:a16="http://schemas.microsoft.com/office/drawing/2014/main" id="{215BC6DF-5969-80C2-CA5C-1C8CD066363E}"/>
              </a:ext>
            </a:extLst>
          </xdr:cNvPr>
          <xdr:cNvSpPr/>
        </xdr:nvSpPr>
        <xdr:spPr>
          <a:xfrm>
            <a:off x="16230415" y="3363511"/>
            <a:ext cx="1080000" cy="191219"/>
          </a:xfrm>
          <a:prstGeom prst="roundRect">
            <a:avLst>
              <a:gd name="adj" fmla="val 909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16896CC-52A5-48C0-A067-DDFC867259FF}" type="TxLink">
              <a:rPr lang="en-US" sz="1400" b="1" i="0" u="none" strike="noStrike">
                <a:solidFill>
                  <a:srgbClr val="000000"/>
                </a:solidFill>
                <a:latin typeface="Aptos Display" panose="020B0004020202020204" pitchFamily="34" charset="0"/>
                <a:ea typeface="Calibri"/>
                <a:cs typeface="Calibri"/>
              </a:rPr>
              <a:pPr algn="ctr"/>
              <a:t> $5,59,322 </a:t>
            </a:fld>
            <a:endParaRPr lang="en-IN" sz="6000" b="1">
              <a:latin typeface="Aptos Display" panose="020B0004020202020204" pitchFamily="34" charset="0"/>
            </a:endParaRPr>
          </a:p>
        </xdr:txBody>
      </xdr:sp>
      <xdr:sp macro="" textlink="">
        <xdr:nvSpPr>
          <xdr:cNvPr id="53" name="Rectangle: Rounded Corners 52">
            <a:extLst>
              <a:ext uri="{FF2B5EF4-FFF2-40B4-BE49-F238E27FC236}">
                <a16:creationId xmlns:a16="http://schemas.microsoft.com/office/drawing/2014/main" id="{4AE4F84B-24AD-1086-91E5-216E502CE440}"/>
              </a:ext>
            </a:extLst>
          </xdr:cNvPr>
          <xdr:cNvSpPr/>
        </xdr:nvSpPr>
        <xdr:spPr>
          <a:xfrm>
            <a:off x="16240975" y="2807970"/>
            <a:ext cx="987845" cy="514350"/>
          </a:xfrm>
          <a:prstGeom prst="roundRect">
            <a:avLst>
              <a:gd name="adj" fmla="val 909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000000"/>
                </a:solidFill>
                <a:latin typeface="Aptos Display" panose="020B0004020202020204" pitchFamily="34" charset="0"/>
                <a:ea typeface="Calibri"/>
                <a:cs typeface="Calibri"/>
              </a:rPr>
              <a:t>AVG</a:t>
            </a:r>
            <a:r>
              <a:rPr lang="en-US" sz="1200" b="1" i="0" u="none" strike="noStrike" baseline="0">
                <a:solidFill>
                  <a:srgbClr val="000000"/>
                </a:solidFill>
                <a:latin typeface="Aptos Display" panose="020B0004020202020204" pitchFamily="34" charset="0"/>
                <a:ea typeface="Calibri"/>
                <a:cs typeface="Calibri"/>
              </a:rPr>
              <a:t> SALES </a:t>
            </a:r>
          </a:p>
          <a:p>
            <a:pPr algn="ctr"/>
            <a:r>
              <a:rPr lang="en-US" sz="1200" b="1" i="0" u="none" strike="noStrike" baseline="0">
                <a:solidFill>
                  <a:srgbClr val="000000"/>
                </a:solidFill>
                <a:latin typeface="Aptos Display" panose="020B0004020202020204" pitchFamily="34" charset="0"/>
                <a:ea typeface="Calibri"/>
                <a:cs typeface="Calibri"/>
              </a:rPr>
              <a:t>PER QTR</a:t>
            </a:r>
          </a:p>
        </xdr:txBody>
      </xdr:sp>
      <xdr:cxnSp macro="">
        <xdr:nvCxnSpPr>
          <xdr:cNvPr id="54" name="Straight Connector 53">
            <a:extLst>
              <a:ext uri="{FF2B5EF4-FFF2-40B4-BE49-F238E27FC236}">
                <a16:creationId xmlns:a16="http://schemas.microsoft.com/office/drawing/2014/main" id="{BF079225-6B1B-832E-3896-226C184B4DA5}"/>
              </a:ext>
            </a:extLst>
          </xdr:cNvPr>
          <xdr:cNvCxnSpPr/>
        </xdr:nvCxnSpPr>
        <xdr:spPr>
          <a:xfrm>
            <a:off x="16182917" y="3290158"/>
            <a:ext cx="1152000" cy="0"/>
          </a:xfrm>
          <a:prstGeom prst="line">
            <a:avLst/>
          </a:prstGeom>
        </xdr:spPr>
        <xdr:style>
          <a:lnRef idx="2">
            <a:schemeClr val="dk1"/>
          </a:lnRef>
          <a:fillRef idx="0">
            <a:schemeClr val="dk1"/>
          </a:fillRef>
          <a:effectRef idx="1">
            <a:schemeClr val="dk1"/>
          </a:effectRef>
          <a:fontRef idx="minor">
            <a:schemeClr val="tx1"/>
          </a:fontRef>
        </xdr:style>
      </xdr:cxnSp>
    </xdr:grpSp>
    <xdr:clientData/>
  </xdr:twoCellAnchor>
  <xdr:twoCellAnchor>
    <xdr:from>
      <xdr:col>61</xdr:col>
      <xdr:colOff>0</xdr:colOff>
      <xdr:row>18</xdr:row>
      <xdr:rowOff>0</xdr:rowOff>
    </xdr:from>
    <xdr:to>
      <xdr:col>63</xdr:col>
      <xdr:colOff>310028</xdr:colOff>
      <xdr:row>21</xdr:row>
      <xdr:rowOff>117360</xdr:rowOff>
    </xdr:to>
    <xdr:grpSp>
      <xdr:nvGrpSpPr>
        <xdr:cNvPr id="3" name="Group 2">
          <a:extLst>
            <a:ext uri="{FF2B5EF4-FFF2-40B4-BE49-F238E27FC236}">
              <a16:creationId xmlns:a16="http://schemas.microsoft.com/office/drawing/2014/main" id="{A48DFE25-527C-4245-AF4A-687C779B5C7E}"/>
            </a:ext>
          </a:extLst>
        </xdr:cNvPr>
        <xdr:cNvGrpSpPr/>
      </xdr:nvGrpSpPr>
      <xdr:grpSpPr>
        <a:xfrm>
          <a:off x="56837580" y="3307080"/>
          <a:ext cx="1529228" cy="666000"/>
          <a:chOff x="27922653" y="2944275"/>
          <a:chExt cx="1529228" cy="610821"/>
        </a:xfrm>
      </xdr:grpSpPr>
      <xdr:sp macro="" textlink="">
        <xdr:nvSpPr>
          <xdr:cNvPr id="4" name="Rectangle: Rounded Corners 3">
            <a:extLst>
              <a:ext uri="{FF2B5EF4-FFF2-40B4-BE49-F238E27FC236}">
                <a16:creationId xmlns:a16="http://schemas.microsoft.com/office/drawing/2014/main" id="{D35D8D6C-88A4-8474-6D6F-D9A95BC4D334}"/>
              </a:ext>
            </a:extLst>
          </xdr:cNvPr>
          <xdr:cNvSpPr/>
        </xdr:nvSpPr>
        <xdr:spPr>
          <a:xfrm>
            <a:off x="27922653" y="2947199"/>
            <a:ext cx="1529228" cy="607897"/>
          </a:xfrm>
          <a:prstGeom prst="roundRect">
            <a:avLst>
              <a:gd name="adj" fmla="val 4849"/>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4A0DF9FF-ECC7-F81E-7325-CBEFF6644F0F}"/>
              </a:ext>
            </a:extLst>
          </xdr:cNvPr>
          <xdr:cNvSpPr/>
        </xdr:nvSpPr>
        <xdr:spPr>
          <a:xfrm>
            <a:off x="27925165" y="2944275"/>
            <a:ext cx="1519621" cy="239151"/>
          </a:xfrm>
          <a:prstGeom prst="roundRect">
            <a:avLst>
              <a:gd name="adj" fmla="val 9091"/>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baseline="0">
                <a:solidFill>
                  <a:schemeClr val="bg1"/>
                </a:solidFill>
                <a:latin typeface="Aptos Display" panose="020B0004020202020204" pitchFamily="34" charset="0"/>
                <a:ea typeface="Calibri"/>
                <a:cs typeface="Calibri"/>
              </a:rPr>
              <a:t>TOP CITY</a:t>
            </a:r>
            <a:endParaRPr lang="en-US" sz="1800" b="1" i="0" u="none" strike="noStrike">
              <a:solidFill>
                <a:schemeClr val="bg1"/>
              </a:solidFill>
              <a:latin typeface="Aptos Display" panose="020B0004020202020204" pitchFamily="34" charset="0"/>
              <a:ea typeface="Calibri"/>
              <a:cs typeface="Calibri"/>
            </a:endParaRPr>
          </a:p>
        </xdr:txBody>
      </xdr:sp>
      <xdr:sp macro="" textlink="$BG$19">
        <xdr:nvSpPr>
          <xdr:cNvPr id="7" name="Rectangle: Rounded Corners 6">
            <a:extLst>
              <a:ext uri="{FF2B5EF4-FFF2-40B4-BE49-F238E27FC236}">
                <a16:creationId xmlns:a16="http://schemas.microsoft.com/office/drawing/2014/main" id="{3F2870B0-715D-1CE1-F974-5E7806D6905D}"/>
              </a:ext>
            </a:extLst>
          </xdr:cNvPr>
          <xdr:cNvSpPr/>
        </xdr:nvSpPr>
        <xdr:spPr>
          <a:xfrm>
            <a:off x="28320348" y="3277960"/>
            <a:ext cx="783941" cy="191219"/>
          </a:xfrm>
          <a:prstGeom prst="roundRect">
            <a:avLst>
              <a:gd name="adj" fmla="val 9091"/>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B5A1BC1-CB2D-44DD-B757-42363FC6DBBD}" type="TxLink">
              <a:rPr lang="en-US" sz="1400" b="1" i="0" u="none" strike="noStrike">
                <a:solidFill>
                  <a:schemeClr val="bg1"/>
                </a:solidFill>
                <a:latin typeface="Aptos Display" panose="020B0004020202020204" pitchFamily="34" charset="0"/>
                <a:ea typeface="Calibri"/>
                <a:cs typeface="Calibri"/>
              </a:rPr>
              <a:pPr algn="ctr"/>
              <a:t>Madrid</a:t>
            </a:fld>
            <a:endParaRPr lang="en-IN" sz="4800" b="1">
              <a:solidFill>
                <a:schemeClr val="bg1"/>
              </a:solidFill>
              <a:latin typeface="Aptos Display" panose="020B0004020202020204" pitchFamily="34" charset="0"/>
            </a:endParaRPr>
          </a:p>
        </xdr:txBody>
      </xdr:sp>
    </xdr:grpSp>
    <xdr:clientData/>
  </xdr:twoCellAnchor>
  <xdr:twoCellAnchor>
    <xdr:from>
      <xdr:col>60</xdr:col>
      <xdr:colOff>1554480</xdr:colOff>
      <xdr:row>22</xdr:row>
      <xdr:rowOff>53340</xdr:rowOff>
    </xdr:from>
    <xdr:to>
      <xdr:col>63</xdr:col>
      <xdr:colOff>287168</xdr:colOff>
      <xdr:row>25</xdr:row>
      <xdr:rowOff>170700</xdr:rowOff>
    </xdr:to>
    <xdr:grpSp>
      <xdr:nvGrpSpPr>
        <xdr:cNvPr id="8" name="Group 7">
          <a:extLst>
            <a:ext uri="{FF2B5EF4-FFF2-40B4-BE49-F238E27FC236}">
              <a16:creationId xmlns:a16="http://schemas.microsoft.com/office/drawing/2014/main" id="{9A2D4BC8-E572-4D84-986F-337D6B21375B}"/>
            </a:ext>
          </a:extLst>
        </xdr:cNvPr>
        <xdr:cNvGrpSpPr/>
      </xdr:nvGrpSpPr>
      <xdr:grpSpPr>
        <a:xfrm>
          <a:off x="56814720" y="4091940"/>
          <a:ext cx="1529228" cy="666000"/>
          <a:chOff x="27922653" y="2944275"/>
          <a:chExt cx="1529228" cy="610821"/>
        </a:xfrm>
      </xdr:grpSpPr>
      <xdr:sp macro="" textlink="">
        <xdr:nvSpPr>
          <xdr:cNvPr id="9" name="Rectangle: Rounded Corners 8">
            <a:extLst>
              <a:ext uri="{FF2B5EF4-FFF2-40B4-BE49-F238E27FC236}">
                <a16:creationId xmlns:a16="http://schemas.microsoft.com/office/drawing/2014/main" id="{C00C6967-BF14-AE1D-13CB-3659A270853E}"/>
              </a:ext>
            </a:extLst>
          </xdr:cNvPr>
          <xdr:cNvSpPr/>
        </xdr:nvSpPr>
        <xdr:spPr>
          <a:xfrm>
            <a:off x="27922653" y="2947199"/>
            <a:ext cx="1529228" cy="607897"/>
          </a:xfrm>
          <a:prstGeom prst="roundRect">
            <a:avLst>
              <a:gd name="adj" fmla="val 4849"/>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006AC207-3C35-4F7C-656D-F79B51C257E8}"/>
              </a:ext>
            </a:extLst>
          </xdr:cNvPr>
          <xdr:cNvSpPr/>
        </xdr:nvSpPr>
        <xdr:spPr>
          <a:xfrm>
            <a:off x="27925165" y="2944275"/>
            <a:ext cx="1519621" cy="239151"/>
          </a:xfrm>
          <a:prstGeom prst="roundRect">
            <a:avLst>
              <a:gd name="adj" fmla="val 9091"/>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baseline="0">
                <a:solidFill>
                  <a:schemeClr val="bg1"/>
                </a:solidFill>
                <a:latin typeface="Aptos Display" panose="020B0004020202020204" pitchFamily="34" charset="0"/>
                <a:ea typeface="Calibri"/>
                <a:cs typeface="Calibri"/>
              </a:rPr>
              <a:t>TOP COUNTRY</a:t>
            </a:r>
            <a:endParaRPr lang="en-US" sz="1800" b="1" i="0" u="none" strike="noStrike">
              <a:solidFill>
                <a:schemeClr val="bg1"/>
              </a:solidFill>
              <a:latin typeface="Aptos Display" panose="020B0004020202020204" pitchFamily="34" charset="0"/>
              <a:ea typeface="Calibri"/>
              <a:cs typeface="Calibri"/>
            </a:endParaRPr>
          </a:p>
        </xdr:txBody>
      </xdr:sp>
      <xdr:sp macro="" textlink="$BG$21">
        <xdr:nvSpPr>
          <xdr:cNvPr id="11" name="Rectangle: Rounded Corners 10">
            <a:extLst>
              <a:ext uri="{FF2B5EF4-FFF2-40B4-BE49-F238E27FC236}">
                <a16:creationId xmlns:a16="http://schemas.microsoft.com/office/drawing/2014/main" id="{8F6B7EF1-615D-9DA0-7D88-62B6CEEB9CAA}"/>
              </a:ext>
            </a:extLst>
          </xdr:cNvPr>
          <xdr:cNvSpPr/>
        </xdr:nvSpPr>
        <xdr:spPr>
          <a:xfrm>
            <a:off x="28320348" y="3277960"/>
            <a:ext cx="783941" cy="191219"/>
          </a:xfrm>
          <a:prstGeom prst="roundRect">
            <a:avLst>
              <a:gd name="adj" fmla="val 9091"/>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FAAD5A4-8FE2-47BE-8439-DDB7B06F7C79}" type="TxLink">
              <a:rPr lang="en-US" sz="1400" b="1" i="0" u="none" strike="noStrike">
                <a:solidFill>
                  <a:schemeClr val="bg1"/>
                </a:solidFill>
                <a:latin typeface="Aptos Display" panose="020B0004020202020204" pitchFamily="34" charset="0"/>
                <a:ea typeface="Calibri"/>
                <a:cs typeface="Calibri"/>
              </a:rPr>
              <a:pPr algn="ctr"/>
              <a:t>USA</a:t>
            </a:fld>
            <a:endParaRPr lang="en-IN" sz="6000" b="1">
              <a:solidFill>
                <a:schemeClr val="bg1"/>
              </a:solidFill>
              <a:latin typeface="Aptos Display" panose="020B0004020202020204" pitchFamily="34" charset="0"/>
            </a:endParaRPr>
          </a:p>
        </xdr:txBody>
      </xdr:sp>
    </xdr:grpSp>
    <xdr:clientData/>
  </xdr:twoCellAnchor>
  <xdr:twoCellAnchor>
    <xdr:from>
      <xdr:col>60</xdr:col>
      <xdr:colOff>1569720</xdr:colOff>
      <xdr:row>26</xdr:row>
      <xdr:rowOff>99060</xdr:rowOff>
    </xdr:from>
    <xdr:to>
      <xdr:col>63</xdr:col>
      <xdr:colOff>302408</xdr:colOff>
      <xdr:row>30</xdr:row>
      <xdr:rowOff>33540</xdr:rowOff>
    </xdr:to>
    <xdr:grpSp>
      <xdr:nvGrpSpPr>
        <xdr:cNvPr id="14" name="Group 13">
          <a:extLst>
            <a:ext uri="{FF2B5EF4-FFF2-40B4-BE49-F238E27FC236}">
              <a16:creationId xmlns:a16="http://schemas.microsoft.com/office/drawing/2014/main" id="{139A2182-F1F1-4570-AC3D-5FCE7221CEC4}"/>
            </a:ext>
          </a:extLst>
        </xdr:cNvPr>
        <xdr:cNvGrpSpPr/>
      </xdr:nvGrpSpPr>
      <xdr:grpSpPr>
        <a:xfrm>
          <a:off x="56829960" y="4869180"/>
          <a:ext cx="1529228" cy="666000"/>
          <a:chOff x="27922653" y="2944275"/>
          <a:chExt cx="1529228" cy="610821"/>
        </a:xfrm>
      </xdr:grpSpPr>
      <xdr:sp macro="" textlink="">
        <xdr:nvSpPr>
          <xdr:cNvPr id="15" name="Rectangle: Rounded Corners 14">
            <a:extLst>
              <a:ext uri="{FF2B5EF4-FFF2-40B4-BE49-F238E27FC236}">
                <a16:creationId xmlns:a16="http://schemas.microsoft.com/office/drawing/2014/main" id="{FE7D5268-5A12-6E24-8E5B-F85EE7FAAC13}"/>
              </a:ext>
            </a:extLst>
          </xdr:cNvPr>
          <xdr:cNvSpPr/>
        </xdr:nvSpPr>
        <xdr:spPr>
          <a:xfrm>
            <a:off x="27922653" y="2947199"/>
            <a:ext cx="1529228" cy="607897"/>
          </a:xfrm>
          <a:prstGeom prst="roundRect">
            <a:avLst>
              <a:gd name="adj" fmla="val 4849"/>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91CA7CE4-DE73-7AD5-D0A3-489965FEADBC}"/>
              </a:ext>
            </a:extLst>
          </xdr:cNvPr>
          <xdr:cNvSpPr/>
        </xdr:nvSpPr>
        <xdr:spPr>
          <a:xfrm>
            <a:off x="27925165" y="2944275"/>
            <a:ext cx="1519621" cy="239151"/>
          </a:xfrm>
          <a:prstGeom prst="roundRect">
            <a:avLst>
              <a:gd name="adj" fmla="val 9091"/>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baseline="0">
                <a:solidFill>
                  <a:schemeClr val="bg1"/>
                </a:solidFill>
                <a:latin typeface="Aptos Display" panose="020B0004020202020204" pitchFamily="34" charset="0"/>
                <a:ea typeface="Calibri"/>
                <a:cs typeface="Calibri"/>
              </a:rPr>
              <a:t>TOP TERRITORY</a:t>
            </a:r>
            <a:endParaRPr lang="en-US" sz="1800" b="1" i="0" u="none" strike="noStrike">
              <a:solidFill>
                <a:schemeClr val="bg1"/>
              </a:solidFill>
              <a:latin typeface="Aptos Display" panose="020B0004020202020204" pitchFamily="34" charset="0"/>
              <a:ea typeface="Calibri"/>
              <a:cs typeface="Calibri"/>
            </a:endParaRPr>
          </a:p>
        </xdr:txBody>
      </xdr:sp>
      <xdr:sp macro="" textlink="$BG$23">
        <xdr:nvSpPr>
          <xdr:cNvPr id="17" name="Rectangle: Rounded Corners 16">
            <a:extLst>
              <a:ext uri="{FF2B5EF4-FFF2-40B4-BE49-F238E27FC236}">
                <a16:creationId xmlns:a16="http://schemas.microsoft.com/office/drawing/2014/main" id="{71C5376B-F715-5C7B-C121-B86C16087029}"/>
              </a:ext>
            </a:extLst>
          </xdr:cNvPr>
          <xdr:cNvSpPr/>
        </xdr:nvSpPr>
        <xdr:spPr>
          <a:xfrm>
            <a:off x="28320348" y="3277960"/>
            <a:ext cx="783941" cy="191219"/>
          </a:xfrm>
          <a:prstGeom prst="roundRect">
            <a:avLst>
              <a:gd name="adj" fmla="val 9091"/>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E0642CC-E71D-40B4-9556-450098981A5C}" type="TxLink">
              <a:rPr lang="en-US" sz="1400" b="1" i="0" u="none" strike="noStrike">
                <a:solidFill>
                  <a:schemeClr val="bg1"/>
                </a:solidFill>
                <a:latin typeface="Aptos Display" panose="020B0004020202020204" pitchFamily="34" charset="0"/>
                <a:ea typeface="Calibri"/>
                <a:cs typeface="Calibri"/>
              </a:rPr>
              <a:pPr algn="ctr"/>
              <a:t>EMEA</a:t>
            </a:fld>
            <a:endParaRPr lang="en-IN" sz="7200" b="1">
              <a:solidFill>
                <a:schemeClr val="bg1"/>
              </a:solidFill>
              <a:latin typeface="Aptos Display" panose="020B0004020202020204" pitchFamily="34" charset="0"/>
            </a:endParaRPr>
          </a:p>
        </xdr:txBody>
      </xdr:sp>
    </xdr:grpSp>
    <xdr:clientData/>
  </xdr:twoCellAnchor>
  <xdr:twoCellAnchor>
    <xdr:from>
      <xdr:col>63</xdr:col>
      <xdr:colOff>566392</xdr:colOff>
      <xdr:row>18</xdr:row>
      <xdr:rowOff>7620</xdr:rowOff>
    </xdr:from>
    <xdr:to>
      <xdr:col>67</xdr:col>
      <xdr:colOff>205740</xdr:colOff>
      <xdr:row>21</xdr:row>
      <xdr:rowOff>124980</xdr:rowOff>
    </xdr:to>
    <xdr:grpSp>
      <xdr:nvGrpSpPr>
        <xdr:cNvPr id="18" name="Group 17">
          <a:extLst>
            <a:ext uri="{FF2B5EF4-FFF2-40B4-BE49-F238E27FC236}">
              <a16:creationId xmlns:a16="http://schemas.microsoft.com/office/drawing/2014/main" id="{41999468-5A63-40E0-8C98-A22A6BE1163D}"/>
            </a:ext>
          </a:extLst>
        </xdr:cNvPr>
        <xdr:cNvGrpSpPr/>
      </xdr:nvGrpSpPr>
      <xdr:grpSpPr>
        <a:xfrm>
          <a:off x="58623172" y="3314700"/>
          <a:ext cx="2077748" cy="666000"/>
          <a:chOff x="27917545" y="2944275"/>
          <a:chExt cx="2077748" cy="610821"/>
        </a:xfrm>
      </xdr:grpSpPr>
      <xdr:sp macro="" textlink="">
        <xdr:nvSpPr>
          <xdr:cNvPr id="20" name="Rectangle: Rounded Corners 19">
            <a:extLst>
              <a:ext uri="{FF2B5EF4-FFF2-40B4-BE49-F238E27FC236}">
                <a16:creationId xmlns:a16="http://schemas.microsoft.com/office/drawing/2014/main" id="{580DF9EF-F7B5-8D95-9F05-AB4C35B4B0A7}"/>
              </a:ext>
            </a:extLst>
          </xdr:cNvPr>
          <xdr:cNvSpPr/>
        </xdr:nvSpPr>
        <xdr:spPr>
          <a:xfrm>
            <a:off x="27922653" y="2947199"/>
            <a:ext cx="2065020" cy="607897"/>
          </a:xfrm>
          <a:prstGeom prst="roundRect">
            <a:avLst>
              <a:gd name="adj" fmla="val 4849"/>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0A392DA6-E3A6-7E8B-0018-AB6FD57D60D8}"/>
              </a:ext>
            </a:extLst>
          </xdr:cNvPr>
          <xdr:cNvSpPr/>
        </xdr:nvSpPr>
        <xdr:spPr>
          <a:xfrm>
            <a:off x="27917545" y="2944275"/>
            <a:ext cx="2077748" cy="239151"/>
          </a:xfrm>
          <a:prstGeom prst="roundRect">
            <a:avLst>
              <a:gd name="adj" fmla="val 9091"/>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baseline="0">
                <a:solidFill>
                  <a:schemeClr val="bg1"/>
                </a:solidFill>
                <a:latin typeface="Aptos Display" panose="020B0004020202020204" pitchFamily="34" charset="0"/>
                <a:ea typeface="Calibri"/>
                <a:cs typeface="Calibri"/>
              </a:rPr>
              <a:t>TOP PRODUCT</a:t>
            </a:r>
            <a:endParaRPr lang="en-US" sz="1800" b="1" i="0" u="none" strike="noStrike">
              <a:solidFill>
                <a:schemeClr val="bg1"/>
              </a:solidFill>
              <a:latin typeface="Aptos Display" panose="020B0004020202020204" pitchFamily="34" charset="0"/>
              <a:ea typeface="Calibri"/>
              <a:cs typeface="Calibri"/>
            </a:endParaRPr>
          </a:p>
        </xdr:txBody>
      </xdr:sp>
      <xdr:sp macro="" textlink="$BG$27">
        <xdr:nvSpPr>
          <xdr:cNvPr id="22" name="Rectangle: Rounded Corners 21">
            <a:extLst>
              <a:ext uri="{FF2B5EF4-FFF2-40B4-BE49-F238E27FC236}">
                <a16:creationId xmlns:a16="http://schemas.microsoft.com/office/drawing/2014/main" id="{43A5C416-771F-380B-7B57-A2B7A59E8D94}"/>
              </a:ext>
            </a:extLst>
          </xdr:cNvPr>
          <xdr:cNvSpPr/>
        </xdr:nvSpPr>
        <xdr:spPr>
          <a:xfrm>
            <a:off x="27962207" y="3277960"/>
            <a:ext cx="1980000" cy="191219"/>
          </a:xfrm>
          <a:prstGeom prst="roundRect">
            <a:avLst>
              <a:gd name="adj" fmla="val 9091"/>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7B60289-AF5A-481B-984B-81E9E5A2A0B9}" type="TxLink">
              <a:rPr lang="en-US" sz="1400" b="1" i="0" u="none" strike="noStrike">
                <a:solidFill>
                  <a:schemeClr val="bg1"/>
                </a:solidFill>
                <a:latin typeface="Aptos Display" panose="020B0004020202020204" pitchFamily="34" charset="0"/>
                <a:ea typeface="Calibri"/>
                <a:cs typeface="Calibri"/>
              </a:rPr>
              <a:pPr algn="ctr"/>
              <a:t>BrewSip Classic Coffee</a:t>
            </a:fld>
            <a:endParaRPr lang="en-IN" sz="11500" b="1">
              <a:solidFill>
                <a:schemeClr val="bg1"/>
              </a:solidFill>
              <a:latin typeface="Aptos Display" panose="020B0004020202020204" pitchFamily="34" charset="0"/>
            </a:endParaRPr>
          </a:p>
        </xdr:txBody>
      </xdr:sp>
    </xdr:grpSp>
    <xdr:clientData/>
  </xdr:twoCellAnchor>
  <xdr:twoCellAnchor>
    <xdr:from>
      <xdr:col>61</xdr:col>
      <xdr:colOff>22860</xdr:colOff>
      <xdr:row>31</xdr:row>
      <xdr:rowOff>38100</xdr:rowOff>
    </xdr:from>
    <xdr:to>
      <xdr:col>63</xdr:col>
      <xdr:colOff>332888</xdr:colOff>
      <xdr:row>34</xdr:row>
      <xdr:rowOff>155460</xdr:rowOff>
    </xdr:to>
    <xdr:grpSp>
      <xdr:nvGrpSpPr>
        <xdr:cNvPr id="26" name="Group 25">
          <a:extLst>
            <a:ext uri="{FF2B5EF4-FFF2-40B4-BE49-F238E27FC236}">
              <a16:creationId xmlns:a16="http://schemas.microsoft.com/office/drawing/2014/main" id="{96B9E12A-81D4-4F65-974A-DCA14F839C1E}"/>
            </a:ext>
          </a:extLst>
        </xdr:cNvPr>
        <xdr:cNvGrpSpPr/>
      </xdr:nvGrpSpPr>
      <xdr:grpSpPr>
        <a:xfrm>
          <a:off x="56860440" y="5722620"/>
          <a:ext cx="1529228" cy="666000"/>
          <a:chOff x="27922653" y="2944275"/>
          <a:chExt cx="1529228" cy="610821"/>
        </a:xfrm>
      </xdr:grpSpPr>
      <xdr:sp macro="" textlink="">
        <xdr:nvSpPr>
          <xdr:cNvPr id="28" name="Rectangle: Rounded Corners 27">
            <a:extLst>
              <a:ext uri="{FF2B5EF4-FFF2-40B4-BE49-F238E27FC236}">
                <a16:creationId xmlns:a16="http://schemas.microsoft.com/office/drawing/2014/main" id="{BDF99A62-030C-364C-0BD6-A34657065E46}"/>
              </a:ext>
            </a:extLst>
          </xdr:cNvPr>
          <xdr:cNvSpPr/>
        </xdr:nvSpPr>
        <xdr:spPr>
          <a:xfrm>
            <a:off x="27922653" y="2947199"/>
            <a:ext cx="1529228" cy="607897"/>
          </a:xfrm>
          <a:prstGeom prst="roundRect">
            <a:avLst>
              <a:gd name="adj" fmla="val 4849"/>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Rectangle: Rounded Corners 28">
            <a:extLst>
              <a:ext uri="{FF2B5EF4-FFF2-40B4-BE49-F238E27FC236}">
                <a16:creationId xmlns:a16="http://schemas.microsoft.com/office/drawing/2014/main" id="{68131699-B694-3C08-BDFC-B2586544269D}"/>
              </a:ext>
            </a:extLst>
          </xdr:cNvPr>
          <xdr:cNvSpPr/>
        </xdr:nvSpPr>
        <xdr:spPr>
          <a:xfrm>
            <a:off x="27925165" y="2944275"/>
            <a:ext cx="1519621" cy="239151"/>
          </a:xfrm>
          <a:prstGeom prst="roundRect">
            <a:avLst>
              <a:gd name="adj" fmla="val 9091"/>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baseline="0">
                <a:solidFill>
                  <a:schemeClr val="bg1"/>
                </a:solidFill>
                <a:latin typeface="Aptos Display" panose="020B0004020202020204" pitchFamily="34" charset="0"/>
                <a:ea typeface="Calibri"/>
                <a:cs typeface="Calibri"/>
              </a:rPr>
              <a:t>TOP CATEGORY</a:t>
            </a:r>
            <a:endParaRPr lang="en-US" sz="1800" b="1" i="0" u="none" strike="noStrike">
              <a:solidFill>
                <a:schemeClr val="bg1"/>
              </a:solidFill>
              <a:latin typeface="Aptos Display" panose="020B0004020202020204" pitchFamily="34" charset="0"/>
              <a:ea typeface="Calibri"/>
              <a:cs typeface="Calibri"/>
            </a:endParaRPr>
          </a:p>
        </xdr:txBody>
      </xdr:sp>
      <xdr:sp macro="" textlink="$BG$25">
        <xdr:nvSpPr>
          <xdr:cNvPr id="30" name="Rectangle: Rounded Corners 29">
            <a:extLst>
              <a:ext uri="{FF2B5EF4-FFF2-40B4-BE49-F238E27FC236}">
                <a16:creationId xmlns:a16="http://schemas.microsoft.com/office/drawing/2014/main" id="{D90A51FF-8F30-EF1E-9FBD-FF79DB028128}"/>
              </a:ext>
            </a:extLst>
          </xdr:cNvPr>
          <xdr:cNvSpPr/>
        </xdr:nvSpPr>
        <xdr:spPr>
          <a:xfrm>
            <a:off x="28183187" y="3277960"/>
            <a:ext cx="1008000" cy="191219"/>
          </a:xfrm>
          <a:prstGeom prst="roundRect">
            <a:avLst>
              <a:gd name="adj" fmla="val 9091"/>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BDEA680-B55E-4B6D-9B8D-E70F70CE6F2F}" type="TxLink">
              <a:rPr lang="en-US" sz="1400" b="1" i="0" u="none" strike="noStrike">
                <a:solidFill>
                  <a:schemeClr val="bg1"/>
                </a:solidFill>
                <a:latin typeface="Aptos Display" panose="020B0004020202020204" pitchFamily="34" charset="0"/>
                <a:ea typeface="Calibri"/>
                <a:cs typeface="Calibri"/>
              </a:rPr>
              <a:pPr algn="ctr"/>
              <a:t>Beverages</a:t>
            </a:fld>
            <a:endParaRPr lang="en-IN" sz="8800" b="1">
              <a:solidFill>
                <a:schemeClr val="bg1"/>
              </a:solidFill>
              <a:latin typeface="Aptos Display" panose="020B0004020202020204" pitchFamily="34" charset="0"/>
            </a:endParaRPr>
          </a:p>
        </xdr:txBody>
      </xdr:sp>
    </xdr:grpSp>
    <xdr:clientData/>
  </xdr:twoCellAnchor>
  <xdr:twoCellAnchor>
    <xdr:from>
      <xdr:col>63</xdr:col>
      <xdr:colOff>574012</xdr:colOff>
      <xdr:row>22</xdr:row>
      <xdr:rowOff>91440</xdr:rowOff>
    </xdr:from>
    <xdr:to>
      <xdr:col>67</xdr:col>
      <xdr:colOff>213360</xdr:colOff>
      <xdr:row>26</xdr:row>
      <xdr:rowOff>25920</xdr:rowOff>
    </xdr:to>
    <xdr:grpSp>
      <xdr:nvGrpSpPr>
        <xdr:cNvPr id="31" name="Group 30">
          <a:extLst>
            <a:ext uri="{FF2B5EF4-FFF2-40B4-BE49-F238E27FC236}">
              <a16:creationId xmlns:a16="http://schemas.microsoft.com/office/drawing/2014/main" id="{DE4F41B4-802A-4EC5-A61B-57331A61D1CC}"/>
            </a:ext>
          </a:extLst>
        </xdr:cNvPr>
        <xdr:cNvGrpSpPr/>
      </xdr:nvGrpSpPr>
      <xdr:grpSpPr>
        <a:xfrm>
          <a:off x="58630792" y="4130040"/>
          <a:ext cx="2077748" cy="666000"/>
          <a:chOff x="27917545" y="2944275"/>
          <a:chExt cx="2077748" cy="610821"/>
        </a:xfrm>
      </xdr:grpSpPr>
      <xdr:sp macro="" textlink="">
        <xdr:nvSpPr>
          <xdr:cNvPr id="32" name="Rectangle: Rounded Corners 31">
            <a:extLst>
              <a:ext uri="{FF2B5EF4-FFF2-40B4-BE49-F238E27FC236}">
                <a16:creationId xmlns:a16="http://schemas.microsoft.com/office/drawing/2014/main" id="{A7C3B919-7678-E968-0E13-B54BBF9CF1B6}"/>
              </a:ext>
            </a:extLst>
          </xdr:cNvPr>
          <xdr:cNvSpPr/>
        </xdr:nvSpPr>
        <xdr:spPr>
          <a:xfrm>
            <a:off x="27922653" y="2947199"/>
            <a:ext cx="2065020" cy="607897"/>
          </a:xfrm>
          <a:prstGeom prst="roundRect">
            <a:avLst>
              <a:gd name="adj" fmla="val 4849"/>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Rectangle: Rounded Corners 34">
            <a:extLst>
              <a:ext uri="{FF2B5EF4-FFF2-40B4-BE49-F238E27FC236}">
                <a16:creationId xmlns:a16="http://schemas.microsoft.com/office/drawing/2014/main" id="{338FFF06-C12F-366D-036B-FDC1663E57BA}"/>
              </a:ext>
            </a:extLst>
          </xdr:cNvPr>
          <xdr:cNvSpPr/>
        </xdr:nvSpPr>
        <xdr:spPr>
          <a:xfrm>
            <a:off x="27917545" y="2944275"/>
            <a:ext cx="2077748" cy="239151"/>
          </a:xfrm>
          <a:prstGeom prst="roundRect">
            <a:avLst>
              <a:gd name="adj" fmla="val 9091"/>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baseline="0">
                <a:solidFill>
                  <a:schemeClr val="bg1"/>
                </a:solidFill>
                <a:latin typeface="Aptos Display" panose="020B0004020202020204" pitchFamily="34" charset="0"/>
                <a:ea typeface="Calibri"/>
                <a:cs typeface="Calibri"/>
              </a:rPr>
              <a:t>TOTAL QUANTITY ORDERED</a:t>
            </a:r>
            <a:endParaRPr lang="en-US" sz="1800" b="1" i="0" u="none" strike="noStrike">
              <a:solidFill>
                <a:schemeClr val="bg1"/>
              </a:solidFill>
              <a:latin typeface="Aptos Display" panose="020B0004020202020204" pitchFamily="34" charset="0"/>
              <a:ea typeface="Calibri"/>
              <a:cs typeface="Calibri"/>
            </a:endParaRPr>
          </a:p>
        </xdr:txBody>
      </xdr:sp>
      <xdr:sp macro="" textlink="$BG$29">
        <xdr:nvSpPr>
          <xdr:cNvPr id="42" name="Rectangle: Rounded Corners 41">
            <a:extLst>
              <a:ext uri="{FF2B5EF4-FFF2-40B4-BE49-F238E27FC236}">
                <a16:creationId xmlns:a16="http://schemas.microsoft.com/office/drawing/2014/main" id="{F92E86DD-A698-98EE-EEEF-8F1645B2E4F6}"/>
              </a:ext>
            </a:extLst>
          </xdr:cNvPr>
          <xdr:cNvSpPr/>
        </xdr:nvSpPr>
        <xdr:spPr>
          <a:xfrm>
            <a:off x="27962207" y="3277960"/>
            <a:ext cx="1980000" cy="191219"/>
          </a:xfrm>
          <a:prstGeom prst="roundRect">
            <a:avLst>
              <a:gd name="adj" fmla="val 9091"/>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52513F9-A371-4DD5-8C19-997D4B29AA64}" type="TxLink">
              <a:rPr lang="en-US" sz="1400" b="1" i="0" u="none" strike="noStrike">
                <a:solidFill>
                  <a:schemeClr val="bg1"/>
                </a:solidFill>
                <a:latin typeface="Aptos Display" panose="020B0004020202020204" pitchFamily="34" charset="0"/>
                <a:ea typeface="Calibri"/>
                <a:cs typeface="Calibri"/>
              </a:rPr>
              <a:pPr algn="ctr"/>
              <a:t>104166</a:t>
            </a:fld>
            <a:endParaRPr lang="en-IN" sz="16600" b="1">
              <a:solidFill>
                <a:schemeClr val="bg1"/>
              </a:solidFill>
              <a:latin typeface="Aptos Display" panose="020B0004020202020204" pitchFamily="34" charset="0"/>
            </a:endParaRPr>
          </a:p>
        </xdr:txBody>
      </xdr:sp>
    </xdr:grpSp>
    <xdr:clientData/>
  </xdr:twoCellAnchor>
  <xdr:twoCellAnchor>
    <xdr:from>
      <xdr:col>73</xdr:col>
      <xdr:colOff>38100</xdr:colOff>
      <xdr:row>5</xdr:row>
      <xdr:rowOff>30480</xdr:rowOff>
    </xdr:from>
    <xdr:to>
      <xdr:col>84</xdr:col>
      <xdr:colOff>571500</xdr:colOff>
      <xdr:row>20</xdr:row>
      <xdr:rowOff>30480</xdr:rowOff>
    </xdr:to>
    <xdr:graphicFrame macro="">
      <xdr:nvGraphicFramePr>
        <xdr:cNvPr id="44" name="Chart 43">
          <a:extLst>
            <a:ext uri="{FF2B5EF4-FFF2-40B4-BE49-F238E27FC236}">
              <a16:creationId xmlns:a16="http://schemas.microsoft.com/office/drawing/2014/main" id="{2AFD6F91-F58A-60A6-9C1D-316EF8A463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92</xdr:col>
      <xdr:colOff>30480</xdr:colOff>
      <xdr:row>5</xdr:row>
      <xdr:rowOff>30480</xdr:rowOff>
    </xdr:from>
    <xdr:to>
      <xdr:col>97</xdr:col>
      <xdr:colOff>22860</xdr:colOff>
      <xdr:row>17</xdr:row>
      <xdr:rowOff>7620</xdr:rowOff>
    </xdr:to>
    <xdr:graphicFrame macro="">
      <xdr:nvGraphicFramePr>
        <xdr:cNvPr id="43" name="Chart 42">
          <a:extLst>
            <a:ext uri="{FF2B5EF4-FFF2-40B4-BE49-F238E27FC236}">
              <a16:creationId xmlns:a16="http://schemas.microsoft.com/office/drawing/2014/main" id="{3654947A-791C-91AE-FD04-4A0F277ED8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106</xdr:col>
      <xdr:colOff>22860</xdr:colOff>
      <xdr:row>5</xdr:row>
      <xdr:rowOff>22860</xdr:rowOff>
    </xdr:from>
    <xdr:to>
      <xdr:col>111</xdr:col>
      <xdr:colOff>693420</xdr:colOff>
      <xdr:row>16</xdr:row>
      <xdr:rowOff>0</xdr:rowOff>
    </xdr:to>
    <xdr:graphicFrame macro="">
      <xdr:nvGraphicFramePr>
        <xdr:cNvPr id="45" name="Chart 44">
          <a:extLst>
            <a:ext uri="{FF2B5EF4-FFF2-40B4-BE49-F238E27FC236}">
              <a16:creationId xmlns:a16="http://schemas.microsoft.com/office/drawing/2014/main" id="{30C1AB05-5A4D-27B3-5E40-0640A86AA7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116</xdr:col>
      <xdr:colOff>60960</xdr:colOff>
      <xdr:row>5</xdr:row>
      <xdr:rowOff>45720</xdr:rowOff>
    </xdr:from>
    <xdr:to>
      <xdr:col>122</xdr:col>
      <xdr:colOff>426720</xdr:colOff>
      <xdr:row>20</xdr:row>
      <xdr:rowOff>45720</xdr:rowOff>
    </xdr:to>
    <xdr:graphicFrame macro="">
      <xdr:nvGraphicFramePr>
        <xdr:cNvPr id="46" name="Chart 45">
          <a:extLst>
            <a:ext uri="{FF2B5EF4-FFF2-40B4-BE49-F238E27FC236}">
              <a16:creationId xmlns:a16="http://schemas.microsoft.com/office/drawing/2014/main" id="{8F367575-A807-9B1F-31F2-A685949755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126</xdr:col>
      <xdr:colOff>228600</xdr:colOff>
      <xdr:row>5</xdr:row>
      <xdr:rowOff>22860</xdr:rowOff>
    </xdr:from>
    <xdr:to>
      <xdr:col>132</xdr:col>
      <xdr:colOff>457200</xdr:colOff>
      <xdr:row>20</xdr:row>
      <xdr:rowOff>22860</xdr:rowOff>
    </xdr:to>
    <xdr:graphicFrame macro="">
      <xdr:nvGraphicFramePr>
        <xdr:cNvPr id="48" name="Chart 47">
          <a:extLst>
            <a:ext uri="{FF2B5EF4-FFF2-40B4-BE49-F238E27FC236}">
              <a16:creationId xmlns:a16="http://schemas.microsoft.com/office/drawing/2014/main" id="{49774FC0-D8FC-63C9-369F-86014BA56A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139</xdr:col>
      <xdr:colOff>426720</xdr:colOff>
      <xdr:row>5</xdr:row>
      <xdr:rowOff>38100</xdr:rowOff>
    </xdr:from>
    <xdr:to>
      <xdr:col>147</xdr:col>
      <xdr:colOff>121920</xdr:colOff>
      <xdr:row>20</xdr:row>
      <xdr:rowOff>38100</xdr:rowOff>
    </xdr:to>
    <xdr:graphicFrame macro="">
      <xdr:nvGraphicFramePr>
        <xdr:cNvPr id="50" name="Chart 49">
          <a:extLst>
            <a:ext uri="{FF2B5EF4-FFF2-40B4-BE49-F238E27FC236}">
              <a16:creationId xmlns:a16="http://schemas.microsoft.com/office/drawing/2014/main" id="{4D716779-9153-D1F4-BBB0-BEC4F276B5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153</xdr:col>
      <xdr:colOff>167640</xdr:colOff>
      <xdr:row>5</xdr:row>
      <xdr:rowOff>45720</xdr:rowOff>
    </xdr:from>
    <xdr:to>
      <xdr:col>161</xdr:col>
      <xdr:colOff>297180</xdr:colOff>
      <xdr:row>20</xdr:row>
      <xdr:rowOff>53340</xdr:rowOff>
    </xdr:to>
    <xdr:graphicFrame macro="">
      <xdr:nvGraphicFramePr>
        <xdr:cNvPr id="55" name="Chart 54">
          <a:extLst>
            <a:ext uri="{FF2B5EF4-FFF2-40B4-BE49-F238E27FC236}">
              <a16:creationId xmlns:a16="http://schemas.microsoft.com/office/drawing/2014/main" id="{EDEAB027-438D-ECBF-6102-C8ACB3F48E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170</xdr:col>
      <xdr:colOff>350520</xdr:colOff>
      <xdr:row>5</xdr:row>
      <xdr:rowOff>53340</xdr:rowOff>
    </xdr:from>
    <xdr:to>
      <xdr:col>178</xdr:col>
      <xdr:colOff>45720</xdr:colOff>
      <xdr:row>20</xdr:row>
      <xdr:rowOff>53340</xdr:rowOff>
    </xdr:to>
    <xdr:graphicFrame macro="">
      <xdr:nvGraphicFramePr>
        <xdr:cNvPr id="58" name="Chart 57">
          <a:extLst>
            <a:ext uri="{FF2B5EF4-FFF2-40B4-BE49-F238E27FC236}">
              <a16:creationId xmlns:a16="http://schemas.microsoft.com/office/drawing/2014/main" id="{F6640DC1-EAEA-9EBB-DA2F-DB7679F540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185</xdr:col>
      <xdr:colOff>22860</xdr:colOff>
      <xdr:row>5</xdr:row>
      <xdr:rowOff>30480</xdr:rowOff>
    </xdr:from>
    <xdr:to>
      <xdr:col>192</xdr:col>
      <xdr:colOff>327660</xdr:colOff>
      <xdr:row>20</xdr:row>
      <xdr:rowOff>30480</xdr:rowOff>
    </xdr:to>
    <xdr:graphicFrame macro="">
      <xdr:nvGraphicFramePr>
        <xdr:cNvPr id="59" name="Chart 58">
          <a:extLst>
            <a:ext uri="{FF2B5EF4-FFF2-40B4-BE49-F238E27FC236}">
              <a16:creationId xmlns:a16="http://schemas.microsoft.com/office/drawing/2014/main" id="{A5D3AE69-7EBD-5C9F-1F97-55F77F5DDD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199</xdr:col>
      <xdr:colOff>30480</xdr:colOff>
      <xdr:row>5</xdr:row>
      <xdr:rowOff>15240</xdr:rowOff>
    </xdr:from>
    <xdr:to>
      <xdr:col>207</xdr:col>
      <xdr:colOff>571500</xdr:colOff>
      <xdr:row>24</xdr:row>
      <xdr:rowOff>7620</xdr:rowOff>
    </xdr:to>
    <xdr:graphicFrame macro="">
      <xdr:nvGraphicFramePr>
        <xdr:cNvPr id="60" name="Chart 59">
          <a:extLst>
            <a:ext uri="{FF2B5EF4-FFF2-40B4-BE49-F238E27FC236}">
              <a16:creationId xmlns:a16="http://schemas.microsoft.com/office/drawing/2014/main" id="{73A5F9EB-AE8C-42E9-3F43-2AB624D8E2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214</xdr:col>
      <xdr:colOff>45720</xdr:colOff>
      <xdr:row>6</xdr:row>
      <xdr:rowOff>30480</xdr:rowOff>
    </xdr:from>
    <xdr:to>
      <xdr:col>221</xdr:col>
      <xdr:colOff>350520</xdr:colOff>
      <xdr:row>21</xdr:row>
      <xdr:rowOff>30480</xdr:rowOff>
    </xdr:to>
    <xdr:graphicFrame macro="">
      <xdr:nvGraphicFramePr>
        <xdr:cNvPr id="61" name="Chart 60">
          <a:extLst>
            <a:ext uri="{FF2B5EF4-FFF2-40B4-BE49-F238E27FC236}">
              <a16:creationId xmlns:a16="http://schemas.microsoft.com/office/drawing/2014/main" id="{C4A24138-D137-ACCC-5992-B84F25DA75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229</xdr:col>
      <xdr:colOff>15240</xdr:colOff>
      <xdr:row>5</xdr:row>
      <xdr:rowOff>15240</xdr:rowOff>
    </xdr:from>
    <xdr:to>
      <xdr:col>237</xdr:col>
      <xdr:colOff>579120</xdr:colOff>
      <xdr:row>20</xdr:row>
      <xdr:rowOff>15240</xdr:rowOff>
    </xdr:to>
    <xdr:graphicFrame macro="">
      <xdr:nvGraphicFramePr>
        <xdr:cNvPr id="63" name="Chart 62">
          <a:extLst>
            <a:ext uri="{FF2B5EF4-FFF2-40B4-BE49-F238E27FC236}">
              <a16:creationId xmlns:a16="http://schemas.microsoft.com/office/drawing/2014/main" id="{46008F29-B9E0-E45F-A06B-30D00492AA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244</xdr:col>
      <xdr:colOff>15240</xdr:colOff>
      <xdr:row>4</xdr:row>
      <xdr:rowOff>167640</xdr:rowOff>
    </xdr:from>
    <xdr:to>
      <xdr:col>250</xdr:col>
      <xdr:colOff>883920</xdr:colOff>
      <xdr:row>19</xdr:row>
      <xdr:rowOff>167640</xdr:rowOff>
    </xdr:to>
    <xdr:graphicFrame macro="">
      <xdr:nvGraphicFramePr>
        <xdr:cNvPr id="64" name="Chart 63">
          <a:extLst>
            <a:ext uri="{FF2B5EF4-FFF2-40B4-BE49-F238E27FC236}">
              <a16:creationId xmlns:a16="http://schemas.microsoft.com/office/drawing/2014/main" id="{2B02DAFF-1410-AECF-5F35-B962AD859A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256</xdr:col>
      <xdr:colOff>251460</xdr:colOff>
      <xdr:row>5</xdr:row>
      <xdr:rowOff>38100</xdr:rowOff>
    </xdr:from>
    <xdr:to>
      <xdr:col>267</xdr:col>
      <xdr:colOff>556260</xdr:colOff>
      <xdr:row>20</xdr:row>
      <xdr:rowOff>38100</xdr:rowOff>
    </xdr:to>
    <xdr:graphicFrame macro="">
      <xdr:nvGraphicFramePr>
        <xdr:cNvPr id="65" name="Chart 64">
          <a:extLst>
            <a:ext uri="{FF2B5EF4-FFF2-40B4-BE49-F238E27FC236}">
              <a16:creationId xmlns:a16="http://schemas.microsoft.com/office/drawing/2014/main" id="{F3EEAABF-044A-7119-FE4A-6FD8D2012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18</xdr:col>
      <xdr:colOff>60960</xdr:colOff>
      <xdr:row>15</xdr:row>
      <xdr:rowOff>0</xdr:rowOff>
    </xdr:from>
    <xdr:to>
      <xdr:col>19</xdr:col>
      <xdr:colOff>2567940</xdr:colOff>
      <xdr:row>29</xdr:row>
      <xdr:rowOff>144780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B59F6F28-9EBB-49B6-B934-FF8215AF14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0101560" y="3017520"/>
              <a:ext cx="3070860" cy="29184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106680</xdr:colOff>
      <xdr:row>15</xdr:row>
      <xdr:rowOff>0</xdr:rowOff>
    </xdr:from>
    <xdr:to>
      <xdr:col>22</xdr:col>
      <xdr:colOff>114300</xdr:colOff>
      <xdr:row>29</xdr:row>
      <xdr:rowOff>182880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99122EB6-ECE6-4D6A-B7A1-0F2F606EE8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3279100" y="3017520"/>
              <a:ext cx="4046220" cy="29565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0</xdr:colOff>
      <xdr:row>29</xdr:row>
      <xdr:rowOff>175260</xdr:rowOff>
    </xdr:from>
    <xdr:to>
      <xdr:col>19</xdr:col>
      <xdr:colOff>2529840</xdr:colOff>
      <xdr:row>44</xdr:row>
      <xdr:rowOff>121920</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F6606F19-B743-48FF-911F-37B00BA31F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0040600" y="5966460"/>
              <a:ext cx="3131820" cy="29184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106680</xdr:colOff>
      <xdr:row>29</xdr:row>
      <xdr:rowOff>175260</xdr:rowOff>
    </xdr:from>
    <xdr:to>
      <xdr:col>24</xdr:col>
      <xdr:colOff>106680</xdr:colOff>
      <xdr:row>44</xdr:row>
      <xdr:rowOff>123060</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C417F5D7-B246-43AF-8231-09EC0D44D2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3279100" y="5966460"/>
              <a:ext cx="8077200" cy="2919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7620</xdr:colOff>
      <xdr:row>14</xdr:row>
      <xdr:rowOff>11430</xdr:rowOff>
    </xdr:from>
    <xdr:to>
      <xdr:col>9</xdr:col>
      <xdr:colOff>30480</xdr:colOff>
      <xdr:row>25</xdr:row>
      <xdr:rowOff>152400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5D9FCFA-B961-9970-BC20-9164772F09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751320" y="2830830"/>
              <a:ext cx="5471160" cy="23202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7620</xdr:colOff>
      <xdr:row>26</xdr:row>
      <xdr:rowOff>118110</xdr:rowOff>
    </xdr:from>
    <xdr:to>
      <xdr:col>9</xdr:col>
      <xdr:colOff>22860</xdr:colOff>
      <xdr:row>40</xdr:row>
      <xdr:rowOff>87630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D88003F1-EBB4-F7BB-4507-4AEEBF8F49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751320" y="5314950"/>
              <a:ext cx="546354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20</xdr:col>
      <xdr:colOff>0</xdr:colOff>
      <xdr:row>14</xdr:row>
      <xdr:rowOff>53340</xdr:rowOff>
    </xdr:from>
    <xdr:to>
      <xdr:col>21</xdr:col>
      <xdr:colOff>2606040</xdr:colOff>
      <xdr:row>24</xdr:row>
      <xdr:rowOff>152400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EB15B657-EBCB-48F9-8AE9-F7BF704582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4406860" y="2872740"/>
              <a:ext cx="5234940" cy="20802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0</xdr:colOff>
      <xdr:row>25</xdr:row>
      <xdr:rowOff>0</xdr:rowOff>
    </xdr:from>
    <xdr:to>
      <xdr:col>21</xdr:col>
      <xdr:colOff>2613660</xdr:colOff>
      <xdr:row>38</xdr:row>
      <xdr:rowOff>167640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F5B75A04-B6D9-4DBD-AA9A-50E0A58650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4406860" y="4998720"/>
              <a:ext cx="524256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22860</xdr:colOff>
      <xdr:row>14</xdr:row>
      <xdr:rowOff>53340</xdr:rowOff>
    </xdr:from>
    <xdr:to>
      <xdr:col>24</xdr:col>
      <xdr:colOff>139020</xdr:colOff>
      <xdr:row>24</xdr:row>
      <xdr:rowOff>152940</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B76DBF4F-9803-498D-BD27-DE5CA242A3F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9687520" y="2872740"/>
              <a:ext cx="4893900" cy="2080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0</xdr:colOff>
      <xdr:row>25</xdr:row>
      <xdr:rowOff>0</xdr:rowOff>
    </xdr:from>
    <xdr:to>
      <xdr:col>25</xdr:col>
      <xdr:colOff>1562100</xdr:colOff>
      <xdr:row>38</xdr:row>
      <xdr:rowOff>167640</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18186295-B6CE-4123-869B-E7EFEADF3F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9664660" y="4998720"/>
              <a:ext cx="896874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11</xdr:col>
      <xdr:colOff>0</xdr:colOff>
      <xdr:row>14</xdr:row>
      <xdr:rowOff>0</xdr:rowOff>
    </xdr:from>
    <xdr:to>
      <xdr:col>12</xdr:col>
      <xdr:colOff>2607900</xdr:colOff>
      <xdr:row>25</xdr:row>
      <xdr:rowOff>92280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902FB33D-4377-4318-B424-06680B508A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3639800" y="2819400"/>
              <a:ext cx="4017600" cy="2271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784860</xdr:colOff>
      <xdr:row>26</xdr:row>
      <xdr:rowOff>0</xdr:rowOff>
    </xdr:from>
    <xdr:to>
      <xdr:col>12</xdr:col>
      <xdr:colOff>2598420</xdr:colOff>
      <xdr:row>39</xdr:row>
      <xdr:rowOff>167640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DEA2AD0C-DE4C-409A-ACD3-A294C8BCD3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3014960" y="5196840"/>
              <a:ext cx="463296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2606040</xdr:colOff>
      <xdr:row>14</xdr:row>
      <xdr:rowOff>0</xdr:rowOff>
    </xdr:from>
    <xdr:to>
      <xdr:col>15</xdr:col>
      <xdr:colOff>9480</xdr:colOff>
      <xdr:row>25</xdr:row>
      <xdr:rowOff>91440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E357670E-DB46-49E0-8B77-1EABF8099A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7655540" y="2819400"/>
              <a:ext cx="5191080" cy="22707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0</xdr:colOff>
      <xdr:row>26</xdr:row>
      <xdr:rowOff>0</xdr:rowOff>
    </xdr:from>
    <xdr:to>
      <xdr:col>15</xdr:col>
      <xdr:colOff>731760</xdr:colOff>
      <xdr:row>39</xdr:row>
      <xdr:rowOff>167640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B666A0A0-8840-4712-AEC6-BD24987B24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7762220" y="5196840"/>
              <a:ext cx="580668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0</xdr:colOff>
      <xdr:row>14</xdr:row>
      <xdr:rowOff>0</xdr:rowOff>
    </xdr:from>
    <xdr:to>
      <xdr:col>17</xdr:col>
      <xdr:colOff>321900</xdr:colOff>
      <xdr:row>25</xdr:row>
      <xdr:rowOff>92280</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D99C06FE-DB9D-4CFC-B9E3-5F7C700DC4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2837140" y="2819400"/>
              <a:ext cx="4444320" cy="2271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822960</xdr:colOff>
      <xdr:row>26</xdr:row>
      <xdr:rowOff>7620</xdr:rowOff>
    </xdr:from>
    <xdr:to>
      <xdr:col>19</xdr:col>
      <xdr:colOff>899160</xdr:colOff>
      <xdr:row>39</xdr:row>
      <xdr:rowOff>175260</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9FA27C54-260B-4EDE-89B1-575344DED6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3660100" y="5204460"/>
              <a:ext cx="541782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5882.145380092596" createdVersion="5" refreshedVersion="8" minRefreshableVersion="3" recordCount="0" supportSubquery="1" supportAdvancedDrill="1" xr:uid="{1A233731-32B5-484C-A792-0CDA600F7A1F}">
  <cacheSource type="external" connectionId="1"/>
  <cacheFields count="3">
    <cacheField name="[Measures].[Sum of Sales]" caption="Sum of Sales" numFmtId="0" hierarchy="90" level="32767"/>
    <cacheField name="[Sales_Table].[Order_Date (Quarter)].[Order_Date (Quarter)]" caption="Order_Date (Quarter)" numFmtId="0" hierarchy="69" level="1">
      <sharedItems count="4">
        <s v="Qtr1"/>
        <s v="Qtr2"/>
        <s v="Qtr3"/>
        <s v="Qtr4"/>
      </sharedItems>
    </cacheField>
    <cacheField name="[Sales_Table].[Order_Date (Year)].[Order_Date (Year)]" caption="Order_Date (Year)" numFmtId="0" hierarchy="68" level="1">
      <sharedItems count="3">
        <s v="2003"/>
        <s v="2004"/>
        <s v="2005"/>
      </sharedItems>
    </cacheField>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0" memberValueDatatype="130" unbalanced="0"/>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0" memberValueDatatype="130" unbalanced="0"/>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0" memberValueDatatype="130" unbalanced="0"/>
    <cacheHierarchy uniqueName="[Marketing_Table].[Year (Quarter)]" caption="Year (Quarter)" attribute="1" defaultMemberUniqueName="[Marketing_Table].[Year (Quarter)].[All]" allUniqueName="[Marketing_Table].[Year (Quarter)].[All]" dimensionUniqueName="[Marketing_Table]" displayFolder="" count="0" memberValueDatatype="130" unbalanced="0"/>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0" memberValueDatatype="130" unbalanced="0"/>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0" memberValueDatatype="130" unbalanced="0"/>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0" memberValueDatatype="130" unbalanced="0"/>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0" memberValueDatatype="130" unbalanced="0"/>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0" memberValueDatatype="130" unbalanced="0"/>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0" memberValueDatatype="130" unbalanced="0"/>
    <cacheHierarchy uniqueName="[Sales_Table].[Territory]" caption="Territory" attribute="1" defaultMemberUniqueName="[Sales_Table].[Territory].[All]" allUniqueName="[Sales_Table].[Territory].[All]" dimensionUniqueName="[Sales_Table]" displayFolder="" count="0" memberValueDatatype="130" unbalanced="0"/>
    <cacheHierarchy uniqueName="[Sales_Table].[Product_Category]" caption="Product_Category" attribute="1" defaultMemberUniqueName="[Sales_Table].[Product_Category].[All]" allUniqueName="[Sales_Table].[Product_Category].[All]" dimensionUniqueName="[Sales_Table]" displayFolder="" count="0" memberValueDatatype="130" unbalanced="0"/>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0" memberValueDatatype="130" unbalanced="0"/>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2" memberValueDatatype="130" unbalanced="0">
      <fieldsUsage count="2">
        <fieldUsage x="-1"/>
        <fieldUsage x="2"/>
      </fieldsUsage>
    </cacheHierarchy>
    <cacheHierarchy uniqueName="[Sales_Table].[Order_Date (Quarter)]" caption="Order_Date (Quarter)" attribute="1" defaultMemberUniqueName="[Sales_Table].[Order_Date (Quarter)].[All]" allUniqueName="[Sales_Table].[Order_Date (Quarter)].[All]" dimensionUniqueName="[Sales_Table]" displayFolder="" count="2" memberValueDatatype="130" unbalanced="0">
      <fieldsUsage count="2">
        <fieldUsage x="-1"/>
        <fieldUsage x="1"/>
      </fieldsUsage>
    </cacheHierarchy>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cacheHierarchy uniqueName="[Measures].[Return_Rate]" caption="Return_Rate" measure="1" displayFolder="" measureGroup="Returns_Table" count="0"/>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oneField="1" hidden="1">
      <fieldsUsage count="1">
        <fieldUsage x="0"/>
      </fieldsUsage>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hidden="1">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hidden="1">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5882.145380787035" createdVersion="5" refreshedVersion="8" minRefreshableVersion="3" recordCount="0" supportSubquery="1" supportAdvancedDrill="1" xr:uid="{83445406-BF89-4C0D-8AB5-D89E35B4B594}">
  <cacheSource type="external" connectionId="1"/>
  <cacheFields count="2">
    <cacheField name="[Measures].[Sum of Sales]" caption="Sum of Sales" numFmtId="0" hierarchy="90" level="32767"/>
    <cacheField name="[Sales_Table].[Customer_Name].[Customer_Name]" caption="Customer_Name" numFmtId="0" hierarchy="56" level="1">
      <sharedItems count="10">
        <s v="Edgewell Mart"/>
        <s v="Linford Wholesale"/>
        <s v="Lonsdale Wholesale"/>
        <s v="Meadowbrook Wholesale"/>
        <s v="Millford Wholesale"/>
        <s v="Oakridge Retailers"/>
        <s v="Penrose Retailers"/>
        <s v="Radcliffe Retailers"/>
        <s v="Sheffield Retailers"/>
        <s v="Timberlake Depot"/>
      </sharedItems>
    </cacheField>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0" memberValueDatatype="130" unbalanced="0"/>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0" memberValueDatatype="130" unbalanced="0"/>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0" memberValueDatatype="130" unbalanced="0"/>
    <cacheHierarchy uniqueName="[Marketing_Table].[Year (Quarter)]" caption="Year (Quarter)" attribute="1" defaultMemberUniqueName="[Marketing_Table].[Year (Quarter)].[All]" allUniqueName="[Marketing_Table].[Year (Quarter)].[All]" dimensionUniqueName="[Marketing_Table]" displayFolder="" count="0" memberValueDatatype="130" unbalanced="0"/>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0" memberValueDatatype="130" unbalanced="0"/>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0" memberValueDatatype="130" unbalanced="0"/>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0" memberValueDatatype="130" unbalanced="0"/>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0" memberValueDatatype="130" unbalanced="0"/>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0" memberValueDatatype="130" unbalanced="0"/>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2" memberValueDatatype="130" unbalanced="0">
      <fieldsUsage count="2">
        <fieldUsage x="-1"/>
        <fieldUsage x="1"/>
      </fieldsUsage>
    </cacheHierarchy>
    <cacheHierarchy uniqueName="[Sales_Table].[City]" caption="City" attribute="1" defaultMemberUniqueName="[Sales_Table].[City].[All]" allUniqueName="[Sales_Table].[City].[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0" memberValueDatatype="130" unbalanced="0"/>
    <cacheHierarchy uniqueName="[Sales_Table].[Territory]" caption="Territory" attribute="1" defaultMemberUniqueName="[Sales_Table].[Territory].[All]" allUniqueName="[Sales_Table].[Territory].[All]" dimensionUniqueName="[Sales_Table]" displayFolder="" count="0" memberValueDatatype="130" unbalanced="0"/>
    <cacheHierarchy uniqueName="[Sales_Table].[Product_Category]" caption="Product_Category" attribute="1" defaultMemberUniqueName="[Sales_Table].[Product_Category].[All]" allUniqueName="[Sales_Table].[Product_Category].[All]" dimensionUniqueName="[Sales_Table]" displayFolder="" count="0" memberValueDatatype="130" unbalanced="0"/>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0" memberValueDatatype="130" unbalanced="0"/>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cacheHierarchy uniqueName="[Measures].[Return_Rate]" caption="Return_Rate" measure="1" displayFolder="" measureGroup="Returns_Table" count="0"/>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oneField="1" hidden="1">
      <fieldsUsage count="1">
        <fieldUsage x="0"/>
      </fieldsUsage>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hidden="1">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hidden="1">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5882.145379166664" createdVersion="5" refreshedVersion="8" minRefreshableVersion="3" recordCount="0" supportSubquery="1" supportAdvancedDrill="1" xr:uid="{9EFB0DE3-888A-4D9A-BCBB-09B5651C7936}">
  <cacheSource type="external" connectionId="1"/>
  <cacheFields count="6">
    <cacheField name="[Sales_Table].[Customer_Name].[Customer_Name]" caption="Customer_Name" numFmtId="0" hierarchy="56" level="1">
      <sharedItems count="10">
        <s v="Edgewell Mart"/>
        <s v="Linford Wholesale"/>
        <s v="Lonsdale Wholesale"/>
        <s v="Meadowbrook Wholesale"/>
        <s v="Millford Wholesale"/>
        <s v="Oakridge Retailers"/>
        <s v="Penrose Retailers"/>
        <s v="Radcliffe Retailers"/>
        <s v="Sheffield Retailers"/>
        <s v="Timberlake Depot"/>
      </sharedItems>
    </cacheField>
    <cacheField name="[Sales_Table].[Product_Name].[Product_Name]" caption="Product_Name" numFmtId="0" hierarchy="62" level="1">
      <sharedItems count="10">
        <s v="BabyGrow 1"/>
        <s v="BabyGrow 2"/>
        <s v="Brew Black Coffee"/>
        <s v="BrewSip Classic Coffee"/>
        <s v="Butterly"/>
        <s v="Cold Bean Coffee"/>
        <s v="Milko Gold"/>
        <s v="PastaJoy"/>
        <s v="TinyBite Cereal"/>
        <s v="Zest Lemon Tea"/>
      </sharedItems>
    </cacheField>
    <cacheField name="[Returns_Table].[Product_Name].[Product_Name]" caption="Product_Name" numFmtId="0" hierarchy="44" level="1">
      <sharedItems count="10">
        <s v="AppleJoy"/>
        <s v="AquaGo"/>
        <s v="BabyGrow 1"/>
        <s v="BabyGrow 2"/>
        <s v="Brew Black Coffee"/>
        <s v="BrewSip Classic Coffee"/>
        <s v="Butterly"/>
        <s v="Cold Bean Coffee"/>
        <s v="FizzUp Orange Soda"/>
        <s v="Milko Gold"/>
      </sharedItems>
    </cacheField>
    <cacheField name="[Measures].[Sum of Amt]" caption="Sum of Amt" numFmtId="0" hierarchy="93" level="32767"/>
    <cacheField name="[Marketing_Table].[Product_Category].[Product_Category]" caption="Product_Category" numFmtId="0" hierarchy="19" level="1">
      <sharedItems count="7">
        <s v="Beverages"/>
        <s v="Dairy Products"/>
        <s v="Frozen Foods"/>
        <s v="Infant Nutrition"/>
        <s v="Instant Foods"/>
        <s v="Snacks"/>
        <s v="Water &amp; Juices"/>
      </sharedItems>
    </cacheField>
    <cacheField name="[Marketing_Table].[Product_Name].[Product_Name]" caption="Product_Name" numFmtId="0" hierarchy="21" level="1">
      <sharedItems count="10">
        <s v="BabyGrow 1"/>
        <s v="BabyGrow 2"/>
        <s v="Brew Black Coffee"/>
        <s v="BrewSip Classic Coffee"/>
        <s v="Cold Bean Coffee"/>
        <s v="FizzUp Orange Soda"/>
        <s v="Milko Gold"/>
        <s v="PastaJoy"/>
        <s v="TinyBite Cereal"/>
        <s v="Zest Lemon Tea"/>
      </sharedItems>
    </cacheField>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2" memberValueDatatype="130" unbalanced="0">
      <fieldsUsage count="2">
        <fieldUsage x="-1"/>
        <fieldUsage x="4"/>
      </fieldsUsage>
    </cacheHierarchy>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2" memberValueDatatype="130" unbalanced="0">
      <fieldsUsage count="2">
        <fieldUsage x="-1"/>
        <fieldUsage x="5"/>
      </fieldsUsage>
    </cacheHierarchy>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0" memberValueDatatype="130" unbalanced="0"/>
    <cacheHierarchy uniqueName="[Marketing_Table].[Year (Quarter)]" caption="Year (Quarter)" attribute="1" defaultMemberUniqueName="[Marketing_Table].[Year (Quarter)].[All]" allUniqueName="[Marketing_Table].[Year (Quarter)].[All]" dimensionUniqueName="[Marketing_Table]" displayFolder="" count="0" memberValueDatatype="130" unbalanced="0"/>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0" memberValueDatatype="130" unbalanced="0"/>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0" memberValueDatatype="130" unbalanced="0"/>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0" memberValueDatatype="130" unbalanced="0"/>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2" memberValueDatatype="130" unbalanced="0">
      <fieldsUsage count="2">
        <fieldUsage x="-1"/>
        <fieldUsage x="2"/>
      </fieldsUsage>
    </cacheHierarchy>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0" memberValueDatatype="130" unbalanced="0"/>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2" memberValueDatatype="130" unbalanced="0">
      <fieldsUsage count="2">
        <fieldUsage x="-1"/>
        <fieldUsage x="0"/>
      </fieldsUsage>
    </cacheHierarchy>
    <cacheHierarchy uniqueName="[Sales_Table].[City]" caption="City" attribute="1" defaultMemberUniqueName="[Sales_Table].[City].[All]" allUniqueName="[Sales_Table].[City].[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0" memberValueDatatype="130" unbalanced="0"/>
    <cacheHierarchy uniqueName="[Sales_Table].[Territory]" caption="Territory" attribute="1" defaultMemberUniqueName="[Sales_Table].[Territory].[All]" allUniqueName="[Sales_Table].[Territory].[All]" dimensionUniqueName="[Sales_Table]" displayFolder="" count="0" memberValueDatatype="130" unbalanced="0"/>
    <cacheHierarchy uniqueName="[Sales_Table].[Product_Category]" caption="Product_Category" attribute="1" defaultMemberUniqueName="[Sales_Table].[Product_Category].[All]" allUniqueName="[Sales_Table].[Product_Category].[All]" dimensionUniqueName="[Sales_Table]" displayFolder="" count="0" memberValueDatatype="130" unbalanced="0"/>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2" memberValueDatatype="130" unbalanced="0">
      <fieldsUsage count="2">
        <fieldUsage x="-1"/>
        <fieldUsage x="1"/>
      </fieldsUsage>
    </cacheHierarchy>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cacheHierarchy uniqueName="[Measures].[Return_Rate]" caption="Return_Rate" measure="1" displayFolder="" measureGroup="Returns_Table" count="0"/>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hidden="1">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hidden="1">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hidden="1">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5882.145374652777" createdVersion="5" refreshedVersion="8" minRefreshableVersion="3" recordCount="0" supportSubquery="1" supportAdvancedDrill="1" xr:uid="{365B05CE-F017-44C8-91CA-77676BF36885}">
  <cacheSource type="external" connectionId="1"/>
  <cacheFields count="4">
    <cacheField name="[Sales_Table].[Customer_Name].[Customer_Name]" caption="Customer_Name" numFmtId="0" hierarchy="56" level="1">
      <sharedItems count="10">
        <s v="Edgewell Mart"/>
        <s v="Linford Wholesale"/>
        <s v="Lonsdale Wholesale"/>
        <s v="Meadowbrook Wholesale"/>
        <s v="Millford Wholesale"/>
        <s v="Oakridge Retailers"/>
        <s v="Penrose Retailers"/>
        <s v="Radcliffe Retailers"/>
        <s v="Sheffield Retailers"/>
        <s v="Timberlake Depot"/>
      </sharedItems>
    </cacheField>
    <cacheField name="[Sales_Table].[Product_Name].[Product_Name]" caption="Product_Name" numFmtId="0" hierarchy="62" level="1">
      <sharedItems count="10">
        <s v="BabyGrow 1"/>
        <s v="BabyGrow 2"/>
        <s v="Brew Black Coffee"/>
        <s v="BrewSip Classic Coffee"/>
        <s v="Butterly"/>
        <s v="Cold Bean Coffee"/>
        <s v="Milko Gold"/>
        <s v="PastaJoy"/>
        <s v="TinyBite Cereal"/>
        <s v="Zest Lemon Tea"/>
      </sharedItems>
    </cacheField>
    <cacheField name="[Measures].[Count of Return_ID]" caption="Count of Return_ID" numFmtId="0" hierarchy="107" level="32767"/>
    <cacheField name="[Returns_Table].[Order_Date (Year)].[Order_Date (Year)]" caption="Order_Date (Year)" numFmtId="0" hierarchy="50" level="1">
      <sharedItems count="3">
        <s v="2003"/>
        <s v="2004"/>
        <s v="2005"/>
      </sharedItems>
    </cacheField>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0" memberValueDatatype="130" unbalanced="0"/>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0" memberValueDatatype="130" unbalanced="0"/>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0" memberValueDatatype="130" unbalanced="0"/>
    <cacheHierarchy uniqueName="[Marketing_Table].[Year (Quarter)]" caption="Year (Quarter)" attribute="1" defaultMemberUniqueName="[Marketing_Table].[Year (Quarter)].[All]" allUniqueName="[Marketing_Table].[Year (Quarter)].[All]" dimensionUniqueName="[Marketing_Table]" displayFolder="" count="0" memberValueDatatype="130" unbalanced="0"/>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0" memberValueDatatype="130" unbalanced="0"/>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0" memberValueDatatype="130" unbalanced="0"/>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0" memberValueDatatype="130" unbalanced="0"/>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0" memberValueDatatype="130" unbalanced="0"/>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2" memberValueDatatype="130" unbalanced="0">
      <fieldsUsage count="2">
        <fieldUsage x="-1"/>
        <fieldUsage x="3"/>
      </fieldsUsage>
    </cacheHierarchy>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2" memberValueDatatype="130" unbalanced="0">
      <fieldsUsage count="2">
        <fieldUsage x="-1"/>
        <fieldUsage x="0"/>
      </fieldsUsage>
    </cacheHierarchy>
    <cacheHierarchy uniqueName="[Sales_Table].[City]" caption="City" attribute="1" defaultMemberUniqueName="[Sales_Table].[City].[All]" allUniqueName="[Sales_Table].[City].[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0" memberValueDatatype="130" unbalanced="0"/>
    <cacheHierarchy uniqueName="[Sales_Table].[Territory]" caption="Territory" attribute="1" defaultMemberUniqueName="[Sales_Table].[Territory].[All]" allUniqueName="[Sales_Table].[Territory].[All]" dimensionUniqueName="[Sales_Table]" displayFolder="" count="0" memberValueDatatype="130" unbalanced="0"/>
    <cacheHierarchy uniqueName="[Sales_Table].[Product_Category]" caption="Product_Category" attribute="1" defaultMemberUniqueName="[Sales_Table].[Product_Category].[All]" allUniqueName="[Sales_Table].[Product_Category].[All]" dimensionUniqueName="[Sales_Table]" displayFolder="" count="0" memberValueDatatype="130" unbalanced="0"/>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2" memberValueDatatype="130" unbalanced="0">
      <fieldsUsage count="2">
        <fieldUsage x="-1"/>
        <fieldUsage x="1"/>
      </fieldsUsage>
    </cacheHierarchy>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cacheHierarchy uniqueName="[Measures].[Return_Rate]" caption="Return_Rate" measure="1" displayFolder="" measureGroup="Returns_Table" count="0"/>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hidden="1">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hidden="1">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hidden="1">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oneField="1" hidden="1">
      <fieldsUsage count="1">
        <fieldUsage x="2"/>
      </fieldsUsage>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5882.14538159722" createdVersion="5" refreshedVersion="8" minRefreshableVersion="3" recordCount="0" supportSubquery="1" supportAdvancedDrill="1" xr:uid="{D63F230C-9108-4043-87DB-9937A2EF33A9}">
  <cacheSource type="external" connectionId="1"/>
  <cacheFields count="3">
    <cacheField name="[Measures].[Sum of Sales]" caption="Sum of Sales" numFmtId="0" hierarchy="90" level="32767"/>
    <cacheField name="[Sales_Table].[Customer_Name].[Customer_Name]" caption="Customer_Name" numFmtId="0" hierarchy="56" level="1">
      <sharedItems count="10">
        <s v="Edgewell Mart"/>
        <s v="Linford Wholesale"/>
        <s v="Lonsdale Wholesale"/>
        <s v="Meadowbrook Wholesale"/>
        <s v="Millford Wholesale"/>
        <s v="Oakridge Retailers"/>
        <s v="Penrose Retailers"/>
        <s v="Radcliffe Retailers"/>
        <s v="Sheffield Retailers"/>
        <s v="Timberlake Depot"/>
      </sharedItems>
    </cacheField>
    <cacheField name="[Sales_Table].[Country].[Country]" caption="Country" numFmtId="0" hierarchy="58" level="1">
      <sharedItems count="19">
        <s v="Australia"/>
        <s v="Austria"/>
        <s v="Belgium"/>
        <s v="Canada"/>
        <s v="Denmark"/>
        <s v="Finland"/>
        <s v="France"/>
        <s v="Germany"/>
        <s v="Ireland"/>
        <s v="Italy"/>
        <s v="Japan"/>
        <s v="Norway"/>
        <s v="Philippines"/>
        <s v="Singapore"/>
        <s v="Spain"/>
        <s v="Sweden"/>
        <s v="Switzerland"/>
        <s v="UK"/>
        <s v="USA"/>
      </sharedItems>
    </cacheField>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0" memberValueDatatype="130" unbalanced="0"/>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0" memberValueDatatype="130" unbalanced="0"/>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0" memberValueDatatype="130" unbalanced="0"/>
    <cacheHierarchy uniqueName="[Marketing_Table].[Year (Quarter)]" caption="Year (Quarter)" attribute="1" defaultMemberUniqueName="[Marketing_Table].[Year (Quarter)].[All]" allUniqueName="[Marketing_Table].[Year (Quarter)].[All]" dimensionUniqueName="[Marketing_Table]" displayFolder="" count="0" memberValueDatatype="130" unbalanced="0"/>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0" memberValueDatatype="130" unbalanced="0"/>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0" memberValueDatatype="130" unbalanced="0"/>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0" memberValueDatatype="130" unbalanced="0"/>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0" memberValueDatatype="130" unbalanced="0"/>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0" memberValueDatatype="130" unbalanced="0"/>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2" memberValueDatatype="130" unbalanced="0">
      <fieldsUsage count="2">
        <fieldUsage x="-1"/>
        <fieldUsage x="1"/>
      </fieldsUsage>
    </cacheHierarchy>
    <cacheHierarchy uniqueName="[Sales_Table].[City]" caption="City" attribute="1" defaultMemberUniqueName="[Sales_Table].[City].[All]" allUniqueName="[Sales_Table].[City].[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2" memberValueDatatype="130" unbalanced="0">
      <fieldsUsage count="2">
        <fieldUsage x="-1"/>
        <fieldUsage x="2"/>
      </fieldsUsage>
    </cacheHierarchy>
    <cacheHierarchy uniqueName="[Sales_Table].[Territory]" caption="Territory" attribute="1" defaultMemberUniqueName="[Sales_Table].[Territory].[All]" allUniqueName="[Sales_Table].[Territory].[All]" dimensionUniqueName="[Sales_Table]" displayFolder="" count="0" memberValueDatatype="130" unbalanced="0"/>
    <cacheHierarchy uniqueName="[Sales_Table].[Product_Category]" caption="Product_Category" attribute="1" defaultMemberUniqueName="[Sales_Table].[Product_Category].[All]" allUniqueName="[Sales_Table].[Product_Category].[All]" dimensionUniqueName="[Sales_Table]" displayFolder="" count="0" memberValueDatatype="130" unbalanced="0"/>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0" memberValueDatatype="130" unbalanced="0"/>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cacheHierarchy uniqueName="[Measures].[Return_Rate]" caption="Return_Rate" measure="1" displayFolder="" measureGroup="Returns_Table" count="0"/>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oneField="1" hidden="1">
      <fieldsUsage count="1">
        <fieldUsage x="0"/>
      </fieldsUsage>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hidden="1">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hidden="1">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5882.145382523151" createdVersion="5" refreshedVersion="8" minRefreshableVersion="3" recordCount="0" supportSubquery="1" supportAdvancedDrill="1" xr:uid="{BB63F027-AB69-4260-9ECC-682023E8D7E4}">
  <cacheSource type="external" connectionId="1"/>
  <cacheFields count="4">
    <cacheField name="[Measures].[Sum of Sales]" caption="Sum of Sales" numFmtId="0" hierarchy="90" level="32767"/>
    <cacheField name="[Sales_Table].[Customer_Name].[Customer_Name]" caption="Customer_Name" numFmtId="0" hierarchy="56" level="1">
      <sharedItems count="10">
        <s v="Edgewell Mart"/>
        <s v="Linford Wholesale"/>
        <s v="Lonsdale Wholesale"/>
        <s v="Meadowbrook Wholesale"/>
        <s v="Millford Wholesale"/>
        <s v="Oakridge Retailers"/>
        <s v="Penrose Retailers"/>
        <s v="Radcliffe Retailers"/>
        <s v="Sheffield Retailers"/>
        <s v="Timberlake Depot"/>
      </sharedItems>
    </cacheField>
    <cacheField name="[Sales_Table].[Country].[Country]" caption="Country" numFmtId="0" hierarchy="58" level="1">
      <sharedItems count="19">
        <s v="Australia"/>
        <s v="Austria"/>
        <s v="Belgium"/>
        <s v="Canada"/>
        <s v="Denmark"/>
        <s v="Finland"/>
        <s v="France"/>
        <s v="Germany"/>
        <s v="Ireland"/>
        <s v="Italy"/>
        <s v="Japan"/>
        <s v="Norway"/>
        <s v="Philippines"/>
        <s v="Singapore"/>
        <s v="Spain"/>
        <s v="Sweden"/>
        <s v="Switzerland"/>
        <s v="UK"/>
        <s v="USA"/>
      </sharedItems>
    </cacheField>
    <cacheField name="[Sales_Table].[Territory].[Territory]" caption="Territory" numFmtId="0" hierarchy="59" level="1">
      <sharedItems count="4">
        <s v="APAC"/>
        <s v="EMEA"/>
        <s v="Japan"/>
        <s v="NA"/>
      </sharedItems>
    </cacheField>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0" memberValueDatatype="130" unbalanced="0"/>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0" memberValueDatatype="130" unbalanced="0"/>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0" memberValueDatatype="130" unbalanced="0"/>
    <cacheHierarchy uniqueName="[Marketing_Table].[Year (Quarter)]" caption="Year (Quarter)" attribute="1" defaultMemberUniqueName="[Marketing_Table].[Year (Quarter)].[All]" allUniqueName="[Marketing_Table].[Year (Quarter)].[All]" dimensionUniqueName="[Marketing_Table]" displayFolder="" count="0" memberValueDatatype="130" unbalanced="0"/>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0" memberValueDatatype="130" unbalanced="0"/>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0" memberValueDatatype="130" unbalanced="0"/>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0" memberValueDatatype="130" unbalanced="0"/>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0" memberValueDatatype="130" unbalanced="0"/>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0" memberValueDatatype="130" unbalanced="0"/>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2" memberValueDatatype="130" unbalanced="0">
      <fieldsUsage count="2">
        <fieldUsage x="-1"/>
        <fieldUsage x="1"/>
      </fieldsUsage>
    </cacheHierarchy>
    <cacheHierarchy uniqueName="[Sales_Table].[City]" caption="City" attribute="1" defaultMemberUniqueName="[Sales_Table].[City].[All]" allUniqueName="[Sales_Table].[City].[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2" memberValueDatatype="130" unbalanced="0">
      <fieldsUsage count="2">
        <fieldUsage x="-1"/>
        <fieldUsage x="2"/>
      </fieldsUsage>
    </cacheHierarchy>
    <cacheHierarchy uniqueName="[Sales_Table].[Territory]" caption="Territory" attribute="1" defaultMemberUniqueName="[Sales_Table].[Territory].[All]" allUniqueName="[Sales_Table].[Territory].[All]" dimensionUniqueName="[Sales_Table]" displayFolder="" count="2" memberValueDatatype="130" unbalanced="0">
      <fieldsUsage count="2">
        <fieldUsage x="-1"/>
        <fieldUsage x="3"/>
      </fieldsUsage>
    </cacheHierarchy>
    <cacheHierarchy uniqueName="[Sales_Table].[Product_Category]" caption="Product_Category" attribute="1" defaultMemberUniqueName="[Sales_Table].[Product_Category].[All]" allUniqueName="[Sales_Table].[Product_Category].[All]" dimensionUniqueName="[Sales_Table]" displayFolder="" count="0" memberValueDatatype="130" unbalanced="0"/>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0" memberValueDatatype="130" unbalanced="0"/>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cacheHierarchy uniqueName="[Measures].[Return_Rate]" caption="Return_Rate" measure="1" displayFolder="" measureGroup="Returns_Table" count="0"/>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oneField="1" hidden="1">
      <fieldsUsage count="1">
        <fieldUsage x="0"/>
      </fieldsUsage>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hidden="1">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hidden="1">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5882.145383333336" createdVersion="5" refreshedVersion="8" minRefreshableVersion="3" recordCount="0" supportSubquery="1" supportAdvancedDrill="1" xr:uid="{3D570564-E617-4115-B5F2-E46A10C3B649}">
  <cacheSource type="external" connectionId="1"/>
  <cacheFields count="5">
    <cacheField name="[Measures].[Sum of Sales]" caption="Sum of Sales" numFmtId="0" hierarchy="90" level="32767"/>
    <cacheField name="[Sales_Table].[Customer_Name].[Customer_Name]" caption="Customer_Name" numFmtId="0" hierarchy="56" level="1">
      <sharedItems count="10">
        <s v="Edgewell Mart"/>
        <s v="Linford Wholesale"/>
        <s v="Lonsdale Wholesale"/>
        <s v="Meadowbrook Wholesale"/>
        <s v="Millford Wholesale"/>
        <s v="Oakridge Retailers"/>
        <s v="Penrose Retailers"/>
        <s v="Radcliffe Retailers"/>
        <s v="Sheffield Retailers"/>
        <s v="Timberlake Depot"/>
      </sharedItems>
    </cacheField>
    <cacheField name="[Sales_Table].[Country].[Country]" caption="Country" numFmtId="0" hierarchy="58" level="1">
      <sharedItems count="19">
        <s v="Australia"/>
        <s v="Austria"/>
        <s v="Belgium"/>
        <s v="Canada"/>
        <s v="Denmark"/>
        <s v="Finland"/>
        <s v="France"/>
        <s v="Germany"/>
        <s v="Ireland"/>
        <s v="Italy"/>
        <s v="Japan"/>
        <s v="Norway"/>
        <s v="Philippines"/>
        <s v="Singapore"/>
        <s v="Spain"/>
        <s v="Sweden"/>
        <s v="Switzerland"/>
        <s v="UK"/>
        <s v="USA"/>
      </sharedItems>
    </cacheField>
    <cacheField name="[Sales_Table].[Product_Category].[Product_Category]" caption="Product_Category" numFmtId="0" hierarchy="60" level="1">
      <sharedItems count="7">
        <s v="Beverages"/>
        <s v="Dairy Products"/>
        <s v="Frozen Foods"/>
        <s v="Infant Nutrition"/>
        <s v="Instant Foods"/>
        <s v="Snacks"/>
        <s v="Water &amp; Juices"/>
      </sharedItems>
    </cacheField>
    <cacheField name="[Sales_Table].[Product_Name].[Product_Name]" caption="Product_Name" numFmtId="0" hierarchy="62" level="1">
      <sharedItems count="10">
        <s v="BabyGrow 1"/>
        <s v="BabyGrow 2"/>
        <s v="Brew Black Coffee"/>
        <s v="BrewSip Classic Coffee"/>
        <s v="Butterly"/>
        <s v="Cold Bean Coffee"/>
        <s v="Milko Gold"/>
        <s v="PastaJoy"/>
        <s v="TinyBite Cereal"/>
        <s v="Zest Lemon Tea"/>
      </sharedItems>
    </cacheField>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0" memberValueDatatype="130" unbalanced="0"/>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0" memberValueDatatype="130" unbalanced="0"/>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0" memberValueDatatype="130" unbalanced="0"/>
    <cacheHierarchy uniqueName="[Marketing_Table].[Year (Quarter)]" caption="Year (Quarter)" attribute="1" defaultMemberUniqueName="[Marketing_Table].[Year (Quarter)].[All]" allUniqueName="[Marketing_Table].[Year (Quarter)].[All]" dimensionUniqueName="[Marketing_Table]" displayFolder="" count="0" memberValueDatatype="130" unbalanced="0"/>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0" memberValueDatatype="130" unbalanced="0"/>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0" memberValueDatatype="130" unbalanced="0"/>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0" memberValueDatatype="130" unbalanced="0"/>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0" memberValueDatatype="130" unbalanced="0"/>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0" memberValueDatatype="130" unbalanced="0"/>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2" memberValueDatatype="130" unbalanced="0">
      <fieldsUsage count="2">
        <fieldUsage x="-1"/>
        <fieldUsage x="1"/>
      </fieldsUsage>
    </cacheHierarchy>
    <cacheHierarchy uniqueName="[Sales_Table].[City]" caption="City" attribute="1" defaultMemberUniqueName="[Sales_Table].[City].[All]" allUniqueName="[Sales_Table].[City].[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2" memberValueDatatype="130" unbalanced="0">
      <fieldsUsage count="2">
        <fieldUsage x="-1"/>
        <fieldUsage x="2"/>
      </fieldsUsage>
    </cacheHierarchy>
    <cacheHierarchy uniqueName="[Sales_Table].[Territory]" caption="Territory" attribute="1" defaultMemberUniqueName="[Sales_Table].[Territory].[All]" allUniqueName="[Sales_Table].[Territory].[All]" dimensionUniqueName="[Sales_Table]" displayFolder="" count="0" memberValueDatatype="130" unbalanced="0"/>
    <cacheHierarchy uniqueName="[Sales_Table].[Product_Category]" caption="Product_Category" attribute="1" defaultMemberUniqueName="[Sales_Table].[Product_Category].[All]" allUniqueName="[Sales_Table].[Product_Category].[All]" dimensionUniqueName="[Sales_Table]" displayFolder="" count="2" memberValueDatatype="130" unbalanced="0">
      <fieldsUsage count="2">
        <fieldUsage x="-1"/>
        <fieldUsage x="3"/>
      </fieldsUsage>
    </cacheHierarchy>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2" memberValueDatatype="130" unbalanced="0">
      <fieldsUsage count="2">
        <fieldUsage x="-1"/>
        <fieldUsage x="4"/>
      </fieldsUsage>
    </cacheHierarchy>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cacheHierarchy uniqueName="[Measures].[Return_Rate]" caption="Return_Rate" measure="1" displayFolder="" measureGroup="Returns_Table" count="0"/>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oneField="1" hidden="1">
      <fieldsUsage count="1">
        <fieldUsage x="0"/>
      </fieldsUsage>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hidden="1">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hidden="1">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5882.145376157408" createdVersion="5" refreshedVersion="8" minRefreshableVersion="3" recordCount="0" supportSubquery="1" supportAdvancedDrill="1" xr:uid="{7588B737-B910-49E3-9265-F6A5C99ADB5E}">
  <cacheSource type="external" connectionId="1"/>
  <cacheFields count="6">
    <cacheField name="[Sales_Table].[Customer_Name].[Customer_Name]" caption="Customer_Name" numFmtId="0" hierarchy="56" level="1">
      <sharedItems count="10">
        <s v="Edgewell Mart"/>
        <s v="Linford Wholesale"/>
        <s v="Lonsdale Wholesale"/>
        <s v="Meadowbrook Wholesale"/>
        <s v="Millford Wholesale"/>
        <s v="Oakridge Retailers"/>
        <s v="Penrose Retailers"/>
        <s v="Radcliffe Retailers"/>
        <s v="Sheffield Retailers"/>
        <s v="Timberlake Depot"/>
      </sharedItems>
    </cacheField>
    <cacheField name="[Sales_Table].[Product_Name].[Product_Name]" caption="Product_Name" numFmtId="0" hierarchy="62" level="1">
      <sharedItems count="10">
        <s v="BabyGrow 1"/>
        <s v="BabyGrow 2"/>
        <s v="Brew Black Coffee"/>
        <s v="BrewSip Classic Coffee"/>
        <s v="Butterly"/>
        <s v="Cold Bean Coffee"/>
        <s v="Milko Gold"/>
        <s v="PastaJoy"/>
        <s v="TinyBite Cereal"/>
        <s v="Zest Lemon Tea"/>
      </sharedItems>
    </cacheField>
    <cacheField name="[Measures].[Sum of Quantity_Ordered]" caption="Sum of Quantity_Ordered" numFmtId="0" hierarchy="103" level="32767"/>
    <cacheField name="[Returns_Table].[Customer_Name].[Customer_Name]" caption="Customer_Name" numFmtId="0" hierarchy="38" level="1">
      <sharedItems count="17">
        <s v="Bayshore Depot"/>
        <s v="Brookline Supermart"/>
        <s v="Claybourne Distributors"/>
        <s v="Clearbrook Distributors"/>
        <s v="Dovetail Mart"/>
        <s v="Farnsworth Mart"/>
        <s v="Hazelton Foods"/>
        <s v="Holbrooke Foods"/>
        <s v="Kingsley Foods"/>
        <s v="Laurelwood Wholesale"/>
        <s v="Lonsdale Wholesale"/>
        <s v="Melrose Wholesale"/>
        <s v="Millford Wholesale"/>
        <s v="Montclaire Wholesale"/>
        <s v="Pinebrook Retailers"/>
        <s v="Sunnyside Depot"/>
        <s v="Windmere Stores"/>
      </sharedItems>
    </cacheField>
    <cacheField name="[Returns_Table].[Country].[Country]" caption="Country" numFmtId="0" hierarchy="40" level="1">
      <sharedItems count="9">
        <s v="Australia"/>
        <s v="Austria"/>
        <s v="Belgium"/>
        <s v="Denmark"/>
        <s v="France"/>
        <s v="Spain"/>
        <s v="Sweden"/>
        <s v="UK"/>
        <s v="USA"/>
      </sharedItems>
    </cacheField>
    <cacheField name="[Returns_Table].[Product_Category].[Product_Category]" caption="Product_Category" numFmtId="0" hierarchy="42" level="1">
      <sharedItems count="7">
        <s v="Beverages"/>
        <s v="Dairy Products"/>
        <s v="Frozen Foods"/>
        <s v="Infant Nutrition"/>
        <s v="Instant Foods"/>
        <s v="Snacks"/>
        <s v="Water &amp; Juices"/>
      </sharedItems>
    </cacheField>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0" memberValueDatatype="130" unbalanced="0"/>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0" memberValueDatatype="130" unbalanced="0"/>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0" memberValueDatatype="130" unbalanced="0"/>
    <cacheHierarchy uniqueName="[Marketing_Table].[Year (Quarter)]" caption="Year (Quarter)" attribute="1" defaultMemberUniqueName="[Marketing_Table].[Year (Quarter)].[All]" allUniqueName="[Marketing_Table].[Year (Quarter)].[All]" dimensionUniqueName="[Marketing_Table]" displayFolder="" count="0" memberValueDatatype="130" unbalanced="0"/>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2" memberValueDatatype="130" unbalanced="0">
      <fieldsUsage count="2">
        <fieldUsage x="-1"/>
        <fieldUsage x="3"/>
      </fieldsUsage>
    </cacheHierarchy>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2" memberValueDatatype="130" unbalanced="0">
      <fieldsUsage count="2">
        <fieldUsage x="-1"/>
        <fieldUsage x="4"/>
      </fieldsUsage>
    </cacheHierarchy>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2" memberValueDatatype="130" unbalanced="0">
      <fieldsUsage count="2">
        <fieldUsage x="-1"/>
        <fieldUsage x="5"/>
      </fieldsUsage>
    </cacheHierarchy>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0" memberValueDatatype="130" unbalanced="0"/>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0" memberValueDatatype="130" unbalanced="0"/>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2" memberValueDatatype="130" unbalanced="0">
      <fieldsUsage count="2">
        <fieldUsage x="-1"/>
        <fieldUsage x="0"/>
      </fieldsUsage>
    </cacheHierarchy>
    <cacheHierarchy uniqueName="[Sales_Table].[City]" caption="City" attribute="1" defaultMemberUniqueName="[Sales_Table].[City].[All]" allUniqueName="[Sales_Table].[City].[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0" memberValueDatatype="130" unbalanced="0"/>
    <cacheHierarchy uniqueName="[Sales_Table].[Territory]" caption="Territory" attribute="1" defaultMemberUniqueName="[Sales_Table].[Territory].[All]" allUniqueName="[Sales_Table].[Territory].[All]" dimensionUniqueName="[Sales_Table]" displayFolder="" count="0" memberValueDatatype="130" unbalanced="0"/>
    <cacheHierarchy uniqueName="[Sales_Table].[Product_Category]" caption="Product_Category" attribute="1" defaultMemberUniqueName="[Sales_Table].[Product_Category].[All]" allUniqueName="[Sales_Table].[Product_Category].[All]" dimensionUniqueName="[Sales_Table]" displayFolder="" count="0" memberValueDatatype="130" unbalanced="0"/>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2" memberValueDatatype="130" unbalanced="0">
      <fieldsUsage count="2">
        <fieldUsage x="-1"/>
        <fieldUsage x="1"/>
      </fieldsUsage>
    </cacheHierarchy>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cacheHierarchy uniqueName="[Measures].[Return_Rate]" caption="Return_Rate" measure="1" displayFolder="" measureGroup="Returns_Table" count="0"/>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hidden="1">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oneField="1" hidden="1">
      <fieldsUsage count="1">
        <fieldUsage x="2"/>
      </fieldsUsage>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hidden="1">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5882.145384027775" createdVersion="5" refreshedVersion="8" minRefreshableVersion="3" recordCount="0" supportSubquery="1" supportAdvancedDrill="1" xr:uid="{289B3C07-2BF8-45CA-B2AB-6BF7C84F548C}">
  <cacheSource type="external" connectionId="1"/>
  <cacheFields count="4">
    <cacheField name="[Measures].[Sum of Sales]" caption="Sum of Sales" numFmtId="0" hierarchy="90" level="32767"/>
    <cacheField name="[Sales_Table].[Customer_Name].[Customer_Name]" caption="Customer_Name" numFmtId="0" hierarchy="56" level="1">
      <sharedItems count="10">
        <s v="Edgewell Mart"/>
        <s v="Linford Wholesale"/>
        <s v="Lonsdale Wholesale"/>
        <s v="Meadowbrook Wholesale"/>
        <s v="Millford Wholesale"/>
        <s v="Oakridge Retailers"/>
        <s v="Penrose Retailers"/>
        <s v="Radcliffe Retailers"/>
        <s v="Sheffield Retailers"/>
        <s v="Timberlake Depot"/>
      </sharedItems>
    </cacheField>
    <cacheField name="[Sales_Table].[Country].[Country]" caption="Country" numFmtId="0" hierarchy="58" level="1">
      <sharedItems count="19">
        <s v="Australia"/>
        <s v="Austria"/>
        <s v="Belgium"/>
        <s v="Canada"/>
        <s v="Denmark"/>
        <s v="Finland"/>
        <s v="France"/>
        <s v="Germany"/>
        <s v="Ireland"/>
        <s v="Italy"/>
        <s v="Japan"/>
        <s v="Norway"/>
        <s v="Philippines"/>
        <s v="Singapore"/>
        <s v="Spain"/>
        <s v="Sweden"/>
        <s v="Switzerland"/>
        <s v="UK"/>
        <s v="USA"/>
      </sharedItems>
    </cacheField>
    <cacheField name="[Sales_Table].[Product_Category].[Product_Category]" caption="Product_Category" numFmtId="0" hierarchy="60" level="1">
      <sharedItems count="7">
        <s v="Beverages"/>
        <s v="Dairy Products"/>
        <s v="Frozen Foods"/>
        <s v="Infant Nutrition"/>
        <s v="Instant Foods"/>
        <s v="Snacks"/>
        <s v="Water &amp; Juices"/>
      </sharedItems>
    </cacheField>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0" memberValueDatatype="130" unbalanced="0"/>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0" memberValueDatatype="130" unbalanced="0"/>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0" memberValueDatatype="130" unbalanced="0"/>
    <cacheHierarchy uniqueName="[Marketing_Table].[Year (Quarter)]" caption="Year (Quarter)" attribute="1" defaultMemberUniqueName="[Marketing_Table].[Year (Quarter)].[All]" allUniqueName="[Marketing_Table].[Year (Quarter)].[All]" dimensionUniqueName="[Marketing_Table]" displayFolder="" count="0" memberValueDatatype="130" unbalanced="0"/>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0" memberValueDatatype="130" unbalanced="0"/>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0" memberValueDatatype="130" unbalanced="0"/>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0" memberValueDatatype="130" unbalanced="0"/>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0" memberValueDatatype="130" unbalanced="0"/>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0" memberValueDatatype="130" unbalanced="0"/>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2" memberValueDatatype="130" unbalanced="0">
      <fieldsUsage count="2">
        <fieldUsage x="-1"/>
        <fieldUsage x="1"/>
      </fieldsUsage>
    </cacheHierarchy>
    <cacheHierarchy uniqueName="[Sales_Table].[City]" caption="City" attribute="1" defaultMemberUniqueName="[Sales_Table].[City].[All]" allUniqueName="[Sales_Table].[City].[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2" memberValueDatatype="130" unbalanced="0">
      <fieldsUsage count="2">
        <fieldUsage x="-1"/>
        <fieldUsage x="2"/>
      </fieldsUsage>
    </cacheHierarchy>
    <cacheHierarchy uniqueName="[Sales_Table].[Territory]" caption="Territory" attribute="1" defaultMemberUniqueName="[Sales_Table].[Territory].[All]" allUniqueName="[Sales_Table].[Territory].[All]" dimensionUniqueName="[Sales_Table]" displayFolder="" count="0" memberValueDatatype="130" unbalanced="0"/>
    <cacheHierarchy uniqueName="[Sales_Table].[Product_Category]" caption="Product_Category" attribute="1" defaultMemberUniqueName="[Sales_Table].[Product_Category].[All]" allUniqueName="[Sales_Table].[Product_Category].[All]" dimensionUniqueName="[Sales_Table]" displayFolder="" count="2" memberValueDatatype="130" unbalanced="0">
      <fieldsUsage count="2">
        <fieldUsage x="-1"/>
        <fieldUsage x="3"/>
      </fieldsUsage>
    </cacheHierarchy>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0" memberValueDatatype="130" unbalanced="0"/>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cacheHierarchy uniqueName="[Measures].[Return_Rate]" caption="Return_Rate" measure="1" displayFolder="" measureGroup="Returns_Table" count="0"/>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oneField="1" hidden="1">
      <fieldsUsage count="1">
        <fieldUsage x="0"/>
      </fieldsUsage>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hidden="1">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hidden="1">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5882.14537395833" createdVersion="5" refreshedVersion="8" minRefreshableVersion="3" recordCount="0" supportSubquery="1" supportAdvancedDrill="1" xr:uid="{2D28FB97-3A93-4E79-BE92-339C150BF038}">
  <cacheSource type="external" connectionId="1"/>
  <cacheFields count="7">
    <cacheField name="[Sales_Table].[Country].[Country]" caption="Country" numFmtId="0" hierarchy="58" level="1">
      <sharedItems count="1">
        <s v="USA"/>
      </sharedItems>
    </cacheField>
    <cacheField name="[Sales_Table].[Product_Name].[Product_Name]" caption="Product_Name" numFmtId="0" hierarchy="62" level="1">
      <sharedItems count="1">
        <s v="BrewSip Classic Coffee"/>
      </sharedItems>
    </cacheField>
    <cacheField name="[Sales_Table].[City].[City]" caption="City" numFmtId="0" hierarchy="57" level="1">
      <sharedItems count="1">
        <s v="Madrid"/>
      </sharedItems>
    </cacheField>
    <cacheField name="[Sales_Table].[Territory].[Territory]" caption="Territory" numFmtId="0" hierarchy="59" level="1">
      <sharedItems count="1">
        <s v="EMEA"/>
      </sharedItems>
    </cacheField>
    <cacheField name="[Sales_Table].[Product_Category].[Product_Category]" caption="Product_Category" numFmtId="0" hierarchy="60" level="1">
      <sharedItems count="1">
        <s v="Beverages"/>
      </sharedItems>
    </cacheField>
    <cacheField name="[Measures].[Sum of Quantity_Ordered 2]" caption="Sum of Quantity_Ordered 2" numFmtId="0" hierarchy="105" level="32767"/>
    <cacheField name="[Date_Table].[Year].[Year]" caption="Year" numFmtId="0" hierarchy="6" level="1">
      <sharedItems containsSemiMixedTypes="0" containsNonDate="0" containsString="0"/>
    </cacheField>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6"/>
      </fieldsUsage>
    </cacheHierarchy>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0" memberValueDatatype="130" unbalanced="0"/>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0" memberValueDatatype="130" unbalanced="0"/>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0" memberValueDatatype="130" unbalanced="0"/>
    <cacheHierarchy uniqueName="[Marketing_Table].[Year (Quarter)]" caption="Year (Quarter)" attribute="1" defaultMemberUniqueName="[Marketing_Table].[Year (Quarter)].[All]" allUniqueName="[Marketing_Table].[Year (Quarter)].[All]" dimensionUniqueName="[Marketing_Table]" displayFolder="" count="0" memberValueDatatype="130" unbalanced="0"/>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0" memberValueDatatype="130" unbalanced="0"/>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0" memberValueDatatype="130" unbalanced="0"/>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0" memberValueDatatype="130" unbalanced="0"/>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0" memberValueDatatype="130" unbalanced="0"/>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0" memberValueDatatype="130" unbalanced="0"/>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0" memberValueDatatype="130" unbalanced="0"/>
    <cacheHierarchy uniqueName="[Sales_Table].[City]" caption="City" attribute="1" defaultMemberUniqueName="[Sales_Table].[City].[All]" allUniqueName="[Sales_Table].[City].[All]" dimensionUniqueName="[Sales_Table]" displayFolder="" count="2" memberValueDatatype="130" unbalanced="0">
      <fieldsUsage count="2">
        <fieldUsage x="-1"/>
        <fieldUsage x="2"/>
      </fieldsUsage>
    </cacheHierarchy>
    <cacheHierarchy uniqueName="[Sales_Table].[Country]" caption="Country" attribute="1" defaultMemberUniqueName="[Sales_Table].[Country].[All]" allUniqueName="[Sales_Table].[Country].[All]" dimensionUniqueName="[Sales_Table]" displayFolder="" count="2" memberValueDatatype="130" unbalanced="0">
      <fieldsUsage count="2">
        <fieldUsage x="-1"/>
        <fieldUsage x="0"/>
      </fieldsUsage>
    </cacheHierarchy>
    <cacheHierarchy uniqueName="[Sales_Table].[Territory]" caption="Territory" attribute="1" defaultMemberUniqueName="[Sales_Table].[Territory].[All]" allUniqueName="[Sales_Table].[Territory].[All]" dimensionUniqueName="[Sales_Table]" displayFolder="" count="2" memberValueDatatype="130" unbalanced="0">
      <fieldsUsage count="2">
        <fieldUsage x="-1"/>
        <fieldUsage x="3"/>
      </fieldsUsage>
    </cacheHierarchy>
    <cacheHierarchy uniqueName="[Sales_Table].[Product_Category]" caption="Product_Category" attribute="1" defaultMemberUniqueName="[Sales_Table].[Product_Category].[All]" allUniqueName="[Sales_Table].[Product_Category].[All]" dimensionUniqueName="[Sales_Table]" displayFolder="" count="2" memberValueDatatype="130" unbalanced="0">
      <fieldsUsage count="2">
        <fieldUsage x="-1"/>
        <fieldUsage x="4"/>
      </fieldsUsage>
    </cacheHierarchy>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2" memberValueDatatype="130" unbalanced="0">
      <fieldsUsage count="2">
        <fieldUsage x="-1"/>
        <fieldUsage x="1"/>
      </fieldsUsage>
    </cacheHierarchy>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cacheHierarchy uniqueName="[Measures].[Return_Rate]" caption="Return_Rate" measure="1" displayFolder="" measureGroup="Returns_Table" count="0"/>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hidden="1">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hidden="1">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oneField="1" hidden="1">
      <fieldsUsage count="1">
        <fieldUsage x="5"/>
      </fieldsUsage>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5882.145384722222" createdVersion="5" refreshedVersion="8" minRefreshableVersion="3" recordCount="0" supportSubquery="1" supportAdvancedDrill="1" xr:uid="{9FC26716-23D0-4589-8DA2-C91DDFCCE5A7}">
  <cacheSource type="external" connectionId="1"/>
  <cacheFields count="6">
    <cacheField name="[Measures].[Sum of Sales]" caption="Sum of Sales" numFmtId="0" hierarchy="90" level="32767"/>
    <cacheField name="[Sales_Table].[Customer_Name].[Customer_Name]" caption="Customer_Name" numFmtId="0" hierarchy="56" level="1">
      <sharedItems count="10">
        <s v="Edgewell Mart"/>
        <s v="Linford Wholesale"/>
        <s v="Lonsdale Wholesale"/>
        <s v="Meadowbrook Wholesale"/>
        <s v="Millford Wholesale"/>
        <s v="Oakridge Retailers"/>
        <s v="Penrose Retailers"/>
        <s v="Radcliffe Retailers"/>
        <s v="Sheffield Retailers"/>
        <s v="Timberlake Depot"/>
      </sharedItems>
    </cacheField>
    <cacheField name="[Sales_Table].[Country].[Country]" caption="Country" numFmtId="0" hierarchy="58" level="1">
      <sharedItems count="19">
        <s v="Australia"/>
        <s v="Austria"/>
        <s v="Belgium"/>
        <s v="Canada"/>
        <s v="Denmark"/>
        <s v="Finland"/>
        <s v="France"/>
        <s v="Germany"/>
        <s v="Ireland"/>
        <s v="Italy"/>
        <s v="Japan"/>
        <s v="Norway"/>
        <s v="Philippines"/>
        <s v="Singapore"/>
        <s v="Spain"/>
        <s v="Sweden"/>
        <s v="Switzerland"/>
        <s v="UK"/>
        <s v="USA"/>
      </sharedItems>
    </cacheField>
    <cacheField name="[Sales_Table].[Product_Category].[Product_Category]" caption="Product_Category" numFmtId="0" hierarchy="60" level="1">
      <sharedItems count="7">
        <s v="Beverages"/>
        <s v="Dairy Products"/>
        <s v="Frozen Foods"/>
        <s v="Infant Nutrition"/>
        <s v="Instant Foods"/>
        <s v="Snacks"/>
        <s v="Water &amp; Juices"/>
      </sharedItems>
    </cacheField>
    <cacheField name="[Sales_Table].[Product_Name].[Product_Name]" caption="Product_Name" numFmtId="0" hierarchy="62" level="1">
      <sharedItems count="10">
        <s v="BabyGrow 1"/>
        <s v="BabyGrow 2"/>
        <s v="Brew Black Coffee"/>
        <s v="BrewSip Classic Coffee"/>
        <s v="Butterly"/>
        <s v="Cold Bean Coffee"/>
        <s v="Milko Gold"/>
        <s v="PastaJoy"/>
        <s v="TinyBite Cereal"/>
        <s v="Zest Lemon Tea"/>
      </sharedItems>
    </cacheField>
    <cacheField name="[Sales_Table].[Deal_Size].[Deal_Size]" caption="Deal_Size" numFmtId="0" hierarchy="66" level="1">
      <sharedItems count="3">
        <s v="Large"/>
        <s v="Medium"/>
        <s v="Small"/>
      </sharedItems>
    </cacheField>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0" memberValueDatatype="130" unbalanced="0"/>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0" memberValueDatatype="130" unbalanced="0"/>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0" memberValueDatatype="130" unbalanced="0"/>
    <cacheHierarchy uniqueName="[Marketing_Table].[Year (Quarter)]" caption="Year (Quarter)" attribute="1" defaultMemberUniqueName="[Marketing_Table].[Year (Quarter)].[All]" allUniqueName="[Marketing_Table].[Year (Quarter)].[All]" dimensionUniqueName="[Marketing_Table]" displayFolder="" count="0" memberValueDatatype="130" unbalanced="0"/>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0" memberValueDatatype="130" unbalanced="0"/>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0" memberValueDatatype="130" unbalanced="0"/>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0" memberValueDatatype="130" unbalanced="0"/>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0" memberValueDatatype="130" unbalanced="0"/>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0" memberValueDatatype="130" unbalanced="0"/>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2" memberValueDatatype="130" unbalanced="0">
      <fieldsUsage count="2">
        <fieldUsage x="-1"/>
        <fieldUsage x="1"/>
      </fieldsUsage>
    </cacheHierarchy>
    <cacheHierarchy uniqueName="[Sales_Table].[City]" caption="City" attribute="1" defaultMemberUniqueName="[Sales_Table].[City].[All]" allUniqueName="[Sales_Table].[City].[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2" memberValueDatatype="130" unbalanced="0">
      <fieldsUsage count="2">
        <fieldUsage x="-1"/>
        <fieldUsage x="2"/>
      </fieldsUsage>
    </cacheHierarchy>
    <cacheHierarchy uniqueName="[Sales_Table].[Territory]" caption="Territory" attribute="1" defaultMemberUniqueName="[Sales_Table].[Territory].[All]" allUniqueName="[Sales_Table].[Territory].[All]" dimensionUniqueName="[Sales_Table]" displayFolder="" count="0" memberValueDatatype="130" unbalanced="0"/>
    <cacheHierarchy uniqueName="[Sales_Table].[Product_Category]" caption="Product_Category" attribute="1" defaultMemberUniqueName="[Sales_Table].[Product_Category].[All]" allUniqueName="[Sales_Table].[Product_Category].[All]" dimensionUniqueName="[Sales_Table]" displayFolder="" count="2" memberValueDatatype="130" unbalanced="0">
      <fieldsUsage count="2">
        <fieldUsage x="-1"/>
        <fieldUsage x="3"/>
      </fieldsUsage>
    </cacheHierarchy>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2" memberValueDatatype="130" unbalanced="0">
      <fieldsUsage count="2">
        <fieldUsage x="-1"/>
        <fieldUsage x="4"/>
      </fieldsUsage>
    </cacheHierarchy>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2" memberValueDatatype="130" unbalanced="0">
      <fieldsUsage count="2">
        <fieldUsage x="-1"/>
        <fieldUsage x="5"/>
      </fieldsUsage>
    </cacheHierarchy>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cacheHierarchy uniqueName="[Measures].[Return_Rate]" caption="Return_Rate" measure="1" displayFolder="" measureGroup="Returns_Table" count="0"/>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oneField="1" hidden="1">
      <fieldsUsage count="1">
        <fieldUsage x="0"/>
      </fieldsUsage>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hidden="1">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hidden="1">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5882.14537766204" createdVersion="5" refreshedVersion="8" minRefreshableVersion="3" recordCount="0" supportSubquery="1" supportAdvancedDrill="1" xr:uid="{32E8BDD8-25CC-4494-94FF-06FE69C1B23F}">
  <cacheSource type="external" connectionId="1"/>
  <cacheFields count="6">
    <cacheField name="[Sales_Table].[Customer_Name].[Customer_Name]" caption="Customer_Name" numFmtId="0" hierarchy="56" level="1">
      <sharedItems count="10">
        <s v="Edgewell Mart"/>
        <s v="Linford Wholesale"/>
        <s v="Lonsdale Wholesale"/>
        <s v="Meadowbrook Wholesale"/>
        <s v="Millford Wholesale"/>
        <s v="Oakridge Retailers"/>
        <s v="Penrose Retailers"/>
        <s v="Radcliffe Retailers"/>
        <s v="Sheffield Retailers"/>
        <s v="Timberlake Depot"/>
      </sharedItems>
    </cacheField>
    <cacheField name="[Sales_Table].[Product_Name].[Product_Name]" caption="Product_Name" numFmtId="0" hierarchy="62" level="1">
      <sharedItems count="10">
        <s v="BabyGrow 1"/>
        <s v="BabyGrow 2"/>
        <s v="Brew Black Coffee"/>
        <s v="BrewSip Classic Coffee"/>
        <s v="Butterly"/>
        <s v="Cold Bean Coffee"/>
        <s v="Milko Gold"/>
        <s v="PastaJoy"/>
        <s v="TinyBite Cereal"/>
        <s v="Zest Lemon Tea"/>
      </sharedItems>
    </cacheField>
    <cacheField name="[Returns_Table].[Product_Name].[Product_Name]" caption="Product_Name" numFmtId="0" hierarchy="44" level="1">
      <sharedItems count="10">
        <s v="AppleJoy"/>
        <s v="AquaGo"/>
        <s v="BabyGrow 1"/>
        <s v="BabyGrow 2"/>
        <s v="Brew Black Coffee"/>
        <s v="BrewSip Classic Coffee"/>
        <s v="Butterly"/>
        <s v="Cold Bean Coffee"/>
        <s v="FizzUp Orange Soda"/>
        <s v="Milko Gold"/>
      </sharedItems>
    </cacheField>
    <cacheField name="[Measures].[Sum of Amt]" caption="Sum of Amt" numFmtId="0" hierarchy="93" level="32767"/>
    <cacheField name="[Marketing_Table].[Year (Year)].[Year (Year)]" caption="Year (Year)" numFmtId="0" hierarchy="25" level="1">
      <sharedItems count="3">
        <s v="2003"/>
        <s v="2004"/>
        <s v="2005"/>
      </sharedItems>
    </cacheField>
    <cacheField name="[Marketing_Table].[Year (Quarter)].[Year (Quarter)]" caption="Year (Quarter)" numFmtId="0" hierarchy="26" level="1">
      <sharedItems count="4">
        <s v="Qtr1"/>
        <s v="Qtr2"/>
        <s v="Qtr3"/>
        <s v="Qtr4"/>
      </sharedItems>
    </cacheField>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0" memberValueDatatype="130" unbalanced="0"/>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0" memberValueDatatype="130" unbalanced="0"/>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2" memberValueDatatype="130" unbalanced="0">
      <fieldsUsage count="2">
        <fieldUsage x="-1"/>
        <fieldUsage x="4"/>
      </fieldsUsage>
    </cacheHierarchy>
    <cacheHierarchy uniqueName="[Marketing_Table].[Year (Quarter)]" caption="Year (Quarter)" attribute="1" defaultMemberUniqueName="[Marketing_Table].[Year (Quarter)].[All]" allUniqueName="[Marketing_Table].[Year (Quarter)].[All]" dimensionUniqueName="[Marketing_Table]" displayFolder="" count="2" memberValueDatatype="130" unbalanced="0">
      <fieldsUsage count="2">
        <fieldUsage x="-1"/>
        <fieldUsage x="5"/>
      </fieldsUsage>
    </cacheHierarchy>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0" memberValueDatatype="130" unbalanced="0"/>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0" memberValueDatatype="130" unbalanced="0"/>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0" memberValueDatatype="130" unbalanced="0"/>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2" memberValueDatatype="130" unbalanced="0">
      <fieldsUsage count="2">
        <fieldUsage x="-1"/>
        <fieldUsage x="2"/>
      </fieldsUsage>
    </cacheHierarchy>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0" memberValueDatatype="130" unbalanced="0"/>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2" memberValueDatatype="130" unbalanced="0">
      <fieldsUsage count="2">
        <fieldUsage x="-1"/>
        <fieldUsage x="0"/>
      </fieldsUsage>
    </cacheHierarchy>
    <cacheHierarchy uniqueName="[Sales_Table].[City]" caption="City" attribute="1" defaultMemberUniqueName="[Sales_Table].[City].[All]" allUniqueName="[Sales_Table].[City].[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0" memberValueDatatype="130" unbalanced="0"/>
    <cacheHierarchy uniqueName="[Sales_Table].[Territory]" caption="Territory" attribute="1" defaultMemberUniqueName="[Sales_Table].[Territory].[All]" allUniqueName="[Sales_Table].[Territory].[All]" dimensionUniqueName="[Sales_Table]" displayFolder="" count="0" memberValueDatatype="130" unbalanced="0"/>
    <cacheHierarchy uniqueName="[Sales_Table].[Product_Category]" caption="Product_Category" attribute="1" defaultMemberUniqueName="[Sales_Table].[Product_Category].[All]" allUniqueName="[Sales_Table].[Product_Category].[All]" dimensionUniqueName="[Sales_Table]" displayFolder="" count="0" memberValueDatatype="130" unbalanced="0"/>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2" memberValueDatatype="130" unbalanced="0">
      <fieldsUsage count="2">
        <fieldUsage x="-1"/>
        <fieldUsage x="1"/>
      </fieldsUsage>
    </cacheHierarchy>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cacheHierarchy uniqueName="[Measures].[Return_Rate]" caption="Return_Rate" measure="1" displayFolder="" measureGroup="Returns_Table" count="0"/>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hidden="1">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hidden="1">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hidden="1">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5882.145378472225" createdVersion="5" refreshedVersion="8" minRefreshableVersion="3" recordCount="0" supportSubquery="1" supportAdvancedDrill="1" xr:uid="{AB18B8E2-8F88-4A94-80BB-6F461E4A12DD}">
  <cacheSource type="external" connectionId="1"/>
  <cacheFields count="5">
    <cacheField name="[Sales_Table].[Customer_Name].[Customer_Name]" caption="Customer_Name" numFmtId="0" hierarchy="56" level="1">
      <sharedItems count="10">
        <s v="Edgewell Mart"/>
        <s v="Linford Wholesale"/>
        <s v="Lonsdale Wholesale"/>
        <s v="Meadowbrook Wholesale"/>
        <s v="Millford Wholesale"/>
        <s v="Oakridge Retailers"/>
        <s v="Penrose Retailers"/>
        <s v="Radcliffe Retailers"/>
        <s v="Sheffield Retailers"/>
        <s v="Timberlake Depot"/>
      </sharedItems>
    </cacheField>
    <cacheField name="[Sales_Table].[Product_Name].[Product_Name]" caption="Product_Name" numFmtId="0" hierarchy="62" level="1">
      <sharedItems count="10">
        <s v="BabyGrow 1"/>
        <s v="BabyGrow 2"/>
        <s v="Brew Black Coffee"/>
        <s v="BrewSip Classic Coffee"/>
        <s v="Butterly"/>
        <s v="Cold Bean Coffee"/>
        <s v="Milko Gold"/>
        <s v="PastaJoy"/>
        <s v="TinyBite Cereal"/>
        <s v="Zest Lemon Tea"/>
      </sharedItems>
    </cacheField>
    <cacheField name="[Returns_Table].[Product_Name].[Product_Name]" caption="Product_Name" numFmtId="0" hierarchy="44" level="1">
      <sharedItems count="10">
        <s v="AppleJoy"/>
        <s v="AquaGo"/>
        <s v="BabyGrow 1"/>
        <s v="BabyGrow 2"/>
        <s v="Brew Black Coffee"/>
        <s v="BrewSip Classic Coffee"/>
        <s v="Butterly"/>
        <s v="Cold Bean Coffee"/>
        <s v="FizzUp Orange Soda"/>
        <s v="Milko Gold"/>
      </sharedItems>
    </cacheField>
    <cacheField name="[Measures].[Sum of Amt]" caption="Sum of Amt" numFmtId="0" hierarchy="93" level="32767"/>
    <cacheField name="[Marketing_Table].[Product_Category].[Product_Category]" caption="Product_Category" numFmtId="0" hierarchy="19" level="1">
      <sharedItems count="7">
        <s v="Beverages"/>
        <s v="Dairy Products"/>
        <s v="Frozen Foods"/>
        <s v="Infant Nutrition"/>
        <s v="Instant Foods"/>
        <s v="Snacks"/>
        <s v="Water &amp; Juices"/>
      </sharedItems>
    </cacheField>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2" memberValueDatatype="130" unbalanced="0">
      <fieldsUsage count="2">
        <fieldUsage x="-1"/>
        <fieldUsage x="4"/>
      </fieldsUsage>
    </cacheHierarchy>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0" memberValueDatatype="130" unbalanced="0"/>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0" memberValueDatatype="130" unbalanced="0"/>
    <cacheHierarchy uniqueName="[Marketing_Table].[Year (Quarter)]" caption="Year (Quarter)" attribute="1" defaultMemberUniqueName="[Marketing_Table].[Year (Quarter)].[All]" allUniqueName="[Marketing_Table].[Year (Quarter)].[All]" dimensionUniqueName="[Marketing_Table]" displayFolder="" count="0" memberValueDatatype="130" unbalanced="0"/>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0" memberValueDatatype="130" unbalanced="0"/>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0" memberValueDatatype="130" unbalanced="0"/>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0" memberValueDatatype="130" unbalanced="0"/>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2" memberValueDatatype="130" unbalanced="0">
      <fieldsUsage count="2">
        <fieldUsage x="-1"/>
        <fieldUsage x="2"/>
      </fieldsUsage>
    </cacheHierarchy>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0" memberValueDatatype="130" unbalanced="0"/>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2" memberValueDatatype="130" unbalanced="0">
      <fieldsUsage count="2">
        <fieldUsage x="-1"/>
        <fieldUsage x="0"/>
      </fieldsUsage>
    </cacheHierarchy>
    <cacheHierarchy uniqueName="[Sales_Table].[City]" caption="City" attribute="1" defaultMemberUniqueName="[Sales_Table].[City].[All]" allUniqueName="[Sales_Table].[City].[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0" memberValueDatatype="130" unbalanced="0"/>
    <cacheHierarchy uniqueName="[Sales_Table].[Territory]" caption="Territory" attribute="1" defaultMemberUniqueName="[Sales_Table].[Territory].[All]" allUniqueName="[Sales_Table].[Territory].[All]" dimensionUniqueName="[Sales_Table]" displayFolder="" count="0" memberValueDatatype="130" unbalanced="0"/>
    <cacheHierarchy uniqueName="[Sales_Table].[Product_Category]" caption="Product_Category" attribute="1" defaultMemberUniqueName="[Sales_Table].[Product_Category].[All]" allUniqueName="[Sales_Table].[Product_Category].[All]" dimensionUniqueName="[Sales_Table]" displayFolder="" count="0" memberValueDatatype="130" unbalanced="0"/>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2" memberValueDatatype="130" unbalanced="0">
      <fieldsUsage count="2">
        <fieldUsage x="-1"/>
        <fieldUsage x="1"/>
      </fieldsUsage>
    </cacheHierarchy>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cacheHierarchy uniqueName="[Measures].[Return_Rate]" caption="Return_Rate" measure="1" displayFolder="" measureGroup="Returns_Table" count="0"/>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hidden="1">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hidden="1">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hidden="1">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5882.145375462962" createdVersion="5" refreshedVersion="8" minRefreshableVersion="3" recordCount="0" supportSubquery="1" supportAdvancedDrill="1" xr:uid="{0325187A-F2DC-4EF7-BDFE-D73B52F566B6}">
  <cacheSource type="external" connectionId="1"/>
  <cacheFields count="4">
    <cacheField name="[Sales_Table].[Customer_Name].[Customer_Name]" caption="Customer_Name" numFmtId="0" hierarchy="56" level="1">
      <sharedItems count="10">
        <s v="Edgewell Mart"/>
        <s v="Linford Wholesale"/>
        <s v="Lonsdale Wholesale"/>
        <s v="Meadowbrook Wholesale"/>
        <s v="Millford Wholesale"/>
        <s v="Oakridge Retailers"/>
        <s v="Penrose Retailers"/>
        <s v="Radcliffe Retailers"/>
        <s v="Sheffield Retailers"/>
        <s v="Timberlake Depot"/>
      </sharedItems>
    </cacheField>
    <cacheField name="[Sales_Table].[Product_Name].[Product_Name]" caption="Product_Name" numFmtId="0" hierarchy="62" level="1">
      <sharedItems count="10">
        <s v="BabyGrow 1"/>
        <s v="BabyGrow 2"/>
        <s v="Brew Black Coffee"/>
        <s v="BrewSip Classic Coffee"/>
        <s v="Butterly"/>
        <s v="Cold Bean Coffee"/>
        <s v="Milko Gold"/>
        <s v="PastaJoy"/>
        <s v="TinyBite Cereal"/>
        <s v="Zest Lemon Tea"/>
      </sharedItems>
    </cacheField>
    <cacheField name="[Returns_Table].[Order_Date (Year)].[Order_Date (Year)]" caption="Order_Date (Year)" numFmtId="0" hierarchy="50" level="1">
      <sharedItems count="3">
        <s v="2003"/>
        <s v="2004"/>
        <s v="2005"/>
      </sharedItems>
    </cacheField>
    <cacheField name="[Measures].[Sum of Quantity_Ordered]" caption="Sum of Quantity_Ordered" numFmtId="0" hierarchy="103" level="32767"/>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0" memberValueDatatype="130" unbalanced="0"/>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0" memberValueDatatype="130" unbalanced="0"/>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0" memberValueDatatype="130" unbalanced="0"/>
    <cacheHierarchy uniqueName="[Marketing_Table].[Year (Quarter)]" caption="Year (Quarter)" attribute="1" defaultMemberUniqueName="[Marketing_Table].[Year (Quarter)].[All]" allUniqueName="[Marketing_Table].[Year (Quarter)].[All]" dimensionUniqueName="[Marketing_Table]" displayFolder="" count="0" memberValueDatatype="130" unbalanced="0"/>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0" memberValueDatatype="130" unbalanced="0"/>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0" memberValueDatatype="130" unbalanced="0"/>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0" memberValueDatatype="130" unbalanced="0"/>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0" memberValueDatatype="130" unbalanced="0"/>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2" memberValueDatatype="130" unbalanced="0">
      <fieldsUsage count="2">
        <fieldUsage x="-1"/>
        <fieldUsage x="2"/>
      </fieldsUsage>
    </cacheHierarchy>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2" memberValueDatatype="130" unbalanced="0">
      <fieldsUsage count="2">
        <fieldUsage x="-1"/>
        <fieldUsage x="0"/>
      </fieldsUsage>
    </cacheHierarchy>
    <cacheHierarchy uniqueName="[Sales_Table].[City]" caption="City" attribute="1" defaultMemberUniqueName="[Sales_Table].[City].[All]" allUniqueName="[Sales_Table].[City].[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0" memberValueDatatype="130" unbalanced="0"/>
    <cacheHierarchy uniqueName="[Sales_Table].[Territory]" caption="Territory" attribute="1" defaultMemberUniqueName="[Sales_Table].[Territory].[All]" allUniqueName="[Sales_Table].[Territory].[All]" dimensionUniqueName="[Sales_Table]" displayFolder="" count="0" memberValueDatatype="130" unbalanced="0"/>
    <cacheHierarchy uniqueName="[Sales_Table].[Product_Category]" caption="Product_Category" attribute="1" defaultMemberUniqueName="[Sales_Table].[Product_Category].[All]" allUniqueName="[Sales_Table].[Product_Category].[All]" dimensionUniqueName="[Sales_Table]" displayFolder="" count="0" memberValueDatatype="130" unbalanced="0"/>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2" memberValueDatatype="130" unbalanced="0">
      <fieldsUsage count="2">
        <fieldUsage x="-1"/>
        <fieldUsage x="1"/>
      </fieldsUsage>
    </cacheHierarchy>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cacheHierarchy uniqueName="[Measures].[Return_Rate]" caption="Return_Rate" measure="1" displayFolder="" measureGroup="Returns_Table" count="0"/>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hidden="1">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oneField="1" hidden="1">
      <fieldsUsage count="1">
        <fieldUsage x="3"/>
      </fieldsUsage>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hidden="1">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5900.165227430552" createdVersion="5" refreshedVersion="8" minRefreshableVersion="3" recordCount="0" supportSubquery="1" supportAdvancedDrill="1" xr:uid="{192AF1C7-A938-4D0B-ADB5-70AD679FD8C0}">
  <cacheSource type="external" connectionId="1"/>
  <cacheFields count="9">
    <cacheField name="[Sales_Table].[Customer_Name].[Customer_Name]" caption="Customer_Name" numFmtId="0" hierarchy="56" level="1">
      <sharedItems count="10">
        <s v="Edgewell Mart"/>
        <s v="Linford Wholesale"/>
        <s v="Lonsdale Wholesale"/>
        <s v="Meadowbrook Wholesale"/>
        <s v="Millford Wholesale"/>
        <s v="Oakridge Retailers"/>
        <s v="Penrose Retailers"/>
        <s v="Radcliffe Retailers"/>
        <s v="Sheffield Retailers"/>
        <s v="Timberlake Depot"/>
      </sharedItems>
    </cacheField>
    <cacheField name="[Sales_Table].[Product_Name].[Product_Name]" caption="Product_Name" numFmtId="0" hierarchy="62" level="1">
      <sharedItems count="10">
        <s v="BabyGrow 1"/>
        <s v="BabyGrow 2"/>
        <s v="Brew Black Coffee"/>
        <s v="BrewSip Classic Coffee"/>
        <s v="Butterly"/>
        <s v="Cold Bean Coffee"/>
        <s v="Milko Gold"/>
        <s v="PastaJoy"/>
        <s v="TinyBite Cereal"/>
        <s v="Zest Lemon Tea"/>
      </sharedItems>
    </cacheField>
    <cacheField name="[Returns_Table].[Product_Name].[Product_Name]" caption="Product_Name" numFmtId="0" hierarchy="44" level="1">
      <sharedItems count="10">
        <s v="AppleJoy"/>
        <s v="AquaGo"/>
        <s v="BabyGrow 1"/>
        <s v="BabyGrow 2"/>
        <s v="Brew Black Coffee"/>
        <s v="BrewSip Classic Coffee"/>
        <s v="Butterly"/>
        <s v="Cold Bean Coffee"/>
        <s v="FizzUp Orange Soda"/>
        <s v="Milko Gold"/>
      </sharedItems>
    </cacheField>
    <cacheField name="[Measures].[Sum of Amt]" caption="Sum of Amt" numFmtId="0" hierarchy="93" level="32767"/>
    <cacheField name="[Marketing_Table].[Product_Category].[Product_Category]" caption="Product_Category" numFmtId="0" hierarchy="19" level="1">
      <sharedItems count="7">
        <s v="Beverages"/>
        <s v="Dairy Products"/>
        <s v="Frozen Foods"/>
        <s v="Infant Nutrition"/>
        <s v="Instant Foods"/>
        <s v="Snacks"/>
        <s v="Water &amp; Juices"/>
      </sharedItems>
    </cacheField>
    <cacheField name="[Marketing_Table].[Product_Name].[Product_Name]" caption="Product_Name" numFmtId="0" hierarchy="21" level="1">
      <sharedItems count="10">
        <s v="BabyGrow 1"/>
        <s v="BabyGrow 2"/>
        <s v="Brew Black Coffee"/>
        <s v="BrewSip Classic Coffee"/>
        <s v="Cold Bean Coffee"/>
        <s v="FizzUp Orange Soda"/>
        <s v="Milko Gold"/>
        <s v="PastaJoy"/>
        <s v="TinyBite Cereal"/>
        <s v="Zest Lemon Tea"/>
      </sharedItems>
    </cacheField>
    <cacheField name="[Measures].[Sum of Sales]" caption="Sum of Sales" numFmtId="0" hierarchy="90" level="32767"/>
    <cacheField name="[Date_Table].[Quarter].[Quarter]" caption="Quarter" numFmtId="0" hierarchy="9" level="1">
      <sharedItems count="4">
        <s v="Q1"/>
        <s v="Q2"/>
        <s v="Q3"/>
        <s v="Q4"/>
      </sharedItems>
    </cacheField>
    <cacheField name="[Date_Table].[Year].[Year]" caption="Year" numFmtId="0" hierarchy="6" level="1">
      <sharedItems containsSemiMixedTypes="0" containsString="0" containsNumber="1" containsInteger="1" minValue="2003" maxValue="2005" count="3">
        <n v="2003"/>
        <n v="2004"/>
        <n v="2005"/>
      </sharedItems>
      <extLst>
        <ext xmlns:x15="http://schemas.microsoft.com/office/spreadsheetml/2010/11/main" uri="{4F2E5C28-24EA-4eb8-9CBF-B6C8F9C3D259}">
          <x15:cachedUniqueNames>
            <x15:cachedUniqueName index="0" name="[Date_Table].[Year].&amp;[2003]"/>
            <x15:cachedUniqueName index="1" name="[Date_Table].[Year].&amp;[2004]"/>
            <x15:cachedUniqueName index="2" name="[Date_Table].[Year].&amp;[2005]"/>
          </x15:cachedUniqueNames>
        </ext>
      </extLst>
    </cacheField>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8"/>
      </fieldsUsage>
    </cacheHierarchy>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2" memberValueDatatype="130" unbalanced="0">
      <fieldsUsage count="2">
        <fieldUsage x="-1"/>
        <fieldUsage x="7"/>
      </fieldsUsage>
    </cacheHierarchy>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2" memberValueDatatype="130" unbalanced="0">
      <fieldsUsage count="2">
        <fieldUsage x="-1"/>
        <fieldUsage x="4"/>
      </fieldsUsage>
    </cacheHierarchy>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2" memberValueDatatype="130" unbalanced="0">
      <fieldsUsage count="2">
        <fieldUsage x="-1"/>
        <fieldUsage x="5"/>
      </fieldsUsage>
    </cacheHierarchy>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0" memberValueDatatype="130" unbalanced="0"/>
    <cacheHierarchy uniqueName="[Marketing_Table].[Year (Quarter)]" caption="Year (Quarter)" attribute="1" defaultMemberUniqueName="[Marketing_Table].[Year (Quarter)].[All]" allUniqueName="[Marketing_Table].[Year (Quarter)].[All]" dimensionUniqueName="[Marketing_Table]" displayFolder="" count="0" memberValueDatatype="130" unbalanced="0"/>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0" memberValueDatatype="130" unbalanced="0"/>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0" memberValueDatatype="130" unbalanced="0"/>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0" memberValueDatatype="130" unbalanced="0"/>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2" memberValueDatatype="130" unbalanced="0">
      <fieldsUsage count="2">
        <fieldUsage x="-1"/>
        <fieldUsage x="2"/>
      </fieldsUsage>
    </cacheHierarchy>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0" memberValueDatatype="130" unbalanced="0"/>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2" memberValueDatatype="130" unbalanced="0">
      <fieldsUsage count="2">
        <fieldUsage x="-1"/>
        <fieldUsage x="0"/>
      </fieldsUsage>
    </cacheHierarchy>
    <cacheHierarchy uniqueName="[Sales_Table].[City]" caption="City" attribute="1" defaultMemberUniqueName="[Sales_Table].[City].[All]" allUniqueName="[Sales_Table].[City].[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0" memberValueDatatype="130" unbalanced="0"/>
    <cacheHierarchy uniqueName="[Sales_Table].[Territory]" caption="Territory" attribute="1" defaultMemberUniqueName="[Sales_Table].[Territory].[All]" allUniqueName="[Sales_Table].[Territory].[All]" dimensionUniqueName="[Sales_Table]" displayFolder="" count="0" memberValueDatatype="130" unbalanced="0"/>
    <cacheHierarchy uniqueName="[Sales_Table].[Product_Category]" caption="Product_Category" attribute="1" defaultMemberUniqueName="[Sales_Table].[Product_Category].[All]" allUniqueName="[Sales_Table].[Product_Category].[All]" dimensionUniqueName="[Sales_Table]" displayFolder="" count="0" memberValueDatatype="130" unbalanced="0"/>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2" memberValueDatatype="130" unbalanced="0">
      <fieldsUsage count="2">
        <fieldUsage x="-1"/>
        <fieldUsage x="1"/>
      </fieldsUsage>
    </cacheHierarchy>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cacheHierarchy uniqueName="[Measures].[Return_Rate]" caption="Return_Rate" measure="1" displayFolder="" measureGroup="Returns_Table" count="0"/>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oneField="1" hidden="1">
      <fieldsUsage count="1">
        <fieldUsage x="6"/>
      </fieldsUsage>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hidden="1">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hidden="1">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5928.719758912041" createdVersion="5" refreshedVersion="8" minRefreshableVersion="3" recordCount="0" supportSubquery="1" supportAdvancedDrill="1" xr:uid="{07852219-E4F7-4056-888B-D0927D66B92E}">
  <cacheSource type="external" connectionId="1"/>
  <cacheFields count="7">
    <cacheField name="[Sales_Table].[Customer_Name].[Customer_Name]" caption="Customer_Name" numFmtId="0" hierarchy="56" level="1">
      <sharedItems count="10">
        <s v="Edgewell Mart"/>
        <s v="Linford Wholesale"/>
        <s v="Lonsdale Wholesale"/>
        <s v="Meadowbrook Wholesale"/>
        <s v="Millford Wholesale"/>
        <s v="Oakridge Retailers"/>
        <s v="Penrose Retailers"/>
        <s v="Radcliffe Retailers"/>
        <s v="Sheffield Retailers"/>
        <s v="Timberlake Depot"/>
      </sharedItems>
    </cacheField>
    <cacheField name="[Sales_Table].[Product_Name].[Product_Name]" caption="Product_Name" numFmtId="0" hierarchy="62" level="1">
      <sharedItems count="10">
        <s v="BabyGrow 1"/>
        <s v="BabyGrow 2"/>
        <s v="Brew Black Coffee"/>
        <s v="BrewSip Classic Coffee"/>
        <s v="Butterly"/>
        <s v="Cold Bean Coffee"/>
        <s v="Milko Gold"/>
        <s v="PastaJoy"/>
        <s v="TinyBite Cereal"/>
        <s v="Zest Lemon Tea"/>
      </sharedItems>
    </cacheField>
    <cacheField name="[Measures].[Sum of Quantity_Ordered]" caption="Sum of Quantity_Ordered" numFmtId="0" hierarchy="103" level="32767"/>
    <cacheField name="[Returns_Table].[Customer_Name].[Customer_Name]" caption="Customer_Name" numFmtId="0" hierarchy="38" level="1">
      <sharedItems count="17">
        <s v="Bayshore Depot"/>
        <s v="Brookline Supermart"/>
        <s v="Claybourne Distributors"/>
        <s v="Clearbrook Distributors"/>
        <s v="Dovetail Mart"/>
        <s v="Farnsworth Mart"/>
        <s v="Hazelton Foods"/>
        <s v="Holbrooke Foods"/>
        <s v="Kingsley Foods"/>
        <s v="Laurelwood Wholesale"/>
        <s v="Lonsdale Wholesale"/>
        <s v="Melrose Wholesale"/>
        <s v="Millford Wholesale"/>
        <s v="Montclaire Wholesale"/>
        <s v="Pinebrook Retailers"/>
        <s v="Sunnyside Depot"/>
        <s v="Windmere Stores"/>
      </sharedItems>
    </cacheField>
    <cacheField name="[Returns_Table].[Country].[Country]" caption="Country" numFmtId="0" hierarchy="40" level="1">
      <sharedItems count="9">
        <s v="Australia"/>
        <s v="Austria"/>
        <s v="Belgium"/>
        <s v="Denmark"/>
        <s v="France"/>
        <s v="Spain"/>
        <s v="Sweden"/>
        <s v="UK"/>
        <s v="USA"/>
      </sharedItems>
    </cacheField>
    <cacheField name="[Returns_Table].[Product_Category].[Product_Category]" caption="Product_Category" numFmtId="0" hierarchy="42" level="1">
      <sharedItems count="7">
        <s v="Beverages"/>
        <s v="Dairy Products"/>
        <s v="Frozen Foods"/>
        <s v="Infant Nutrition"/>
        <s v="Instant Foods"/>
        <s v="Snacks"/>
        <s v="Water &amp; Juices"/>
      </sharedItems>
    </cacheField>
    <cacheField name="[Returns_Table].[Product_Name].[Product_Name]" caption="Product_Name" numFmtId="0" hierarchy="44" level="1">
      <sharedItems count="29">
        <s v="AppleJoy"/>
        <s v="AquaGo"/>
        <s v="BabyGrow 1"/>
        <s v="BabyGrow 2"/>
        <s v="BerryFresh"/>
        <s v="Brew Black Coffee"/>
        <s v="BrewSip Classic Coffee"/>
        <s v="Butterly"/>
        <s v="ChocoPop"/>
        <s v="Cold Bean Coffee"/>
        <s v="Crispo Cookies"/>
        <s v="FizzUp Orange Soda"/>
        <s v="FruYo"/>
        <s v="Gheemore"/>
        <s v="LimeLift"/>
        <s v="Milko Gold"/>
        <s v="Munchy Baby Bites"/>
        <s v="PaneerKick"/>
        <s v="PastaJoy"/>
        <s v="PeanutFix"/>
        <s v="Quick Noodles Masala"/>
        <s v="Salto Chips"/>
        <s v="SliceCheeze"/>
        <s v="Slimilk"/>
        <s v="TinyBite Cereal"/>
        <s v="VegBites"/>
        <s v="VitaSplash"/>
        <s v="Waffee"/>
        <s v="Zest Lemon Tea"/>
      </sharedItems>
    </cacheField>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0" memberValueDatatype="130" unbalanced="0"/>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0" memberValueDatatype="130" unbalanced="0"/>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0" memberValueDatatype="130" unbalanced="0"/>
    <cacheHierarchy uniqueName="[Marketing_Table].[Year (Quarter)]" caption="Year (Quarter)" attribute="1" defaultMemberUniqueName="[Marketing_Table].[Year (Quarter)].[All]" allUniqueName="[Marketing_Table].[Year (Quarter)].[All]" dimensionUniqueName="[Marketing_Table]" displayFolder="" count="0" memberValueDatatype="130" unbalanced="0"/>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2" memberValueDatatype="130" unbalanced="0">
      <fieldsUsage count="2">
        <fieldUsage x="-1"/>
        <fieldUsage x="3"/>
      </fieldsUsage>
    </cacheHierarchy>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2" memberValueDatatype="130" unbalanced="0">
      <fieldsUsage count="2">
        <fieldUsage x="-1"/>
        <fieldUsage x="4"/>
      </fieldsUsage>
    </cacheHierarchy>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2" memberValueDatatype="130" unbalanced="0">
      <fieldsUsage count="2">
        <fieldUsage x="-1"/>
        <fieldUsage x="5"/>
      </fieldsUsage>
    </cacheHierarchy>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2" memberValueDatatype="130" unbalanced="0">
      <fieldsUsage count="2">
        <fieldUsage x="-1"/>
        <fieldUsage x="6"/>
      </fieldsUsage>
    </cacheHierarchy>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0" memberValueDatatype="130" unbalanced="0"/>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2" memberValueDatatype="130" unbalanced="0">
      <fieldsUsage count="2">
        <fieldUsage x="-1"/>
        <fieldUsage x="0"/>
      </fieldsUsage>
    </cacheHierarchy>
    <cacheHierarchy uniqueName="[Sales_Table].[City]" caption="City" attribute="1" defaultMemberUniqueName="[Sales_Table].[City].[All]" allUniqueName="[Sales_Table].[City].[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0" memberValueDatatype="130" unbalanced="0"/>
    <cacheHierarchy uniqueName="[Sales_Table].[Territory]" caption="Territory" attribute="1" defaultMemberUniqueName="[Sales_Table].[Territory].[All]" allUniqueName="[Sales_Table].[Territory].[All]" dimensionUniqueName="[Sales_Table]" displayFolder="" count="0" memberValueDatatype="130" unbalanced="0"/>
    <cacheHierarchy uniqueName="[Sales_Table].[Product_Category]" caption="Product_Category" attribute="1" defaultMemberUniqueName="[Sales_Table].[Product_Category].[All]" allUniqueName="[Sales_Table].[Product_Category].[All]" dimensionUniqueName="[Sales_Table]" displayFolder="" count="0" memberValueDatatype="130" unbalanced="0"/>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2" memberValueDatatype="130" unbalanced="0">
      <fieldsUsage count="2">
        <fieldUsage x="-1"/>
        <fieldUsage x="1"/>
      </fieldsUsage>
    </cacheHierarchy>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cacheHierarchy uniqueName="[Measures].[Return_Rate]" caption="Return_Rate" measure="1" displayFolder="" measureGroup="Returns_Table" count="0"/>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hidden="1">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oneField="1" hidden="1">
      <fieldsUsage count="1">
        <fieldUsage x="2"/>
      </fieldsUsage>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hidden="1">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5934.849053124999" createdVersion="5" refreshedVersion="8" minRefreshableVersion="3" recordCount="0" supportSubquery="1" supportAdvancedDrill="1" xr:uid="{24D5F6D4-8BC1-4BDC-91F4-059D8B736DE4}">
  <cacheSource type="external" connectionId="1"/>
  <cacheFields count="7">
    <cacheField name="[Sales_Table].[Customer_Name].[Customer_Name]" caption="Customer_Name" numFmtId="0" hierarchy="56" level="1">
      <sharedItems count="10">
        <s v="Edgewell Mart"/>
        <s v="Linford Wholesale"/>
        <s v="Lonsdale Wholesale"/>
        <s v="Meadowbrook Wholesale"/>
        <s v="Millford Wholesale"/>
        <s v="Oakridge Retailers"/>
        <s v="Penrose Retailers"/>
        <s v="Radcliffe Retailers"/>
        <s v="Sheffield Retailers"/>
        <s v="Timberlake Depot"/>
      </sharedItems>
    </cacheField>
    <cacheField name="[Sales_Table].[Product_Name].[Product_Name]" caption="Product_Name" numFmtId="0" hierarchy="62" level="1">
      <sharedItems count="10">
        <s v="BabyGrow 1"/>
        <s v="BabyGrow 2"/>
        <s v="Brew Black Coffee"/>
        <s v="BrewSip Classic Coffee"/>
        <s v="Butterly"/>
        <s v="Cold Bean Coffee"/>
        <s v="Milko Gold"/>
        <s v="PastaJoy"/>
        <s v="TinyBite Cereal"/>
        <s v="Zest Lemon Tea"/>
      </sharedItems>
    </cacheField>
    <cacheField name="[Products_Table].[Product_Category].[Product_Category]" caption="Product_Category" numFmtId="0" hierarchy="31" level="1">
      <sharedItems count="7">
        <s v="Beverages"/>
        <s v="Dairy Products"/>
        <s v="Frozen Foods"/>
        <s v="Infant Nutrition"/>
        <s v="Instant Foods"/>
        <s v="Snacks"/>
        <s v="Water &amp; Juices"/>
      </sharedItems>
    </cacheField>
    <cacheField name="[Products_Table].[Product_Name].[Product_Name]" caption="Product_Name" numFmtId="0" hierarchy="32" level="1">
      <sharedItems count="33">
        <s v="Brew Black Coffee"/>
        <s v="BrewSip Classic Coffee"/>
        <s v="Cold Bean Coffee"/>
        <s v="FizzUp Orange Soda"/>
        <s v="Zest Lemon Tea"/>
        <s v="Butterly"/>
        <s v="FruYo"/>
        <s v="Gheemore"/>
        <s v="Milko Gold"/>
        <s v="SliceCheeze"/>
        <s v="Slimilk"/>
        <s v="Freezo Paratha"/>
        <s v="PaneerKick"/>
        <s v="VegBites"/>
        <s v="BabyGrow 1"/>
        <s v="BabyGrow 2"/>
        <s v="Munchy Baby Bites"/>
        <s v="TinyBite Cereal"/>
        <s v="MacBox"/>
        <s v="OatyMix"/>
        <s v="PastaJoy"/>
        <s v="Quick Noodles Masala"/>
        <s v="VegSip Soup"/>
        <s v="ChocoPop"/>
        <s v="Crispo Cookies"/>
        <s v="PeanutFix"/>
        <s v="Salto Chips"/>
        <s v="Waffee"/>
        <s v="AppleJoy"/>
        <s v="AquaGo"/>
        <s v="BerryFresh"/>
        <s v="LimeLift"/>
        <s v="VitaSplash"/>
      </sharedItems>
    </cacheField>
    <cacheField name="[Measures].[Sum of Quantity_Ordered]" caption="Sum of Quantity_Ordered" numFmtId="0" hierarchy="103" level="32767"/>
    <cacheField name="[Measures].[Sum of Quantity_Ordered 2]" caption="Sum of Quantity_Ordered 2" numFmtId="0" hierarchy="105" level="32767"/>
    <cacheField name="[Date_Table].[Year].[Year]" caption="Year" numFmtId="0" hierarchy="6" level="1">
      <sharedItems containsSemiMixedTypes="0" containsString="0" containsNumber="1" containsInteger="1" minValue="2003" maxValue="2005" count="3">
        <n v="2003"/>
        <n v="2004"/>
        <n v="2005"/>
      </sharedItems>
      <extLst>
        <ext xmlns:x15="http://schemas.microsoft.com/office/spreadsheetml/2010/11/main" uri="{4F2E5C28-24EA-4eb8-9CBF-B6C8F9C3D259}">
          <x15:cachedUniqueNames>
            <x15:cachedUniqueName index="0" name="[Date_Table].[Year].&amp;[2003]"/>
            <x15:cachedUniqueName index="1" name="[Date_Table].[Year].&amp;[2004]"/>
            <x15:cachedUniqueName index="2" name="[Date_Table].[Year].&amp;[2005]"/>
          </x15:cachedUniqueNames>
        </ext>
      </extLst>
    </cacheField>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6"/>
      </fieldsUsage>
    </cacheHierarchy>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0" memberValueDatatype="130" unbalanced="0"/>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0" memberValueDatatype="130" unbalanced="0"/>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0" memberValueDatatype="130" unbalanced="0"/>
    <cacheHierarchy uniqueName="[Marketing_Table].[Year (Quarter)]" caption="Year (Quarter)" attribute="1" defaultMemberUniqueName="[Marketing_Table].[Year (Quarter)].[All]" allUniqueName="[Marketing_Table].[Year (Quarter)].[All]" dimensionUniqueName="[Marketing_Table]" displayFolder="" count="0" memberValueDatatype="130" unbalanced="0"/>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2" memberValueDatatype="130" unbalanced="0">
      <fieldsUsage count="2">
        <fieldUsage x="-1"/>
        <fieldUsage x="2"/>
      </fieldsUsage>
    </cacheHierarchy>
    <cacheHierarchy uniqueName="[Products_Table].[Product_Name]" caption="Product_Name" attribute="1" defaultMemberUniqueName="[Products_Table].[Product_Name].[All]" allUniqueName="[Products_Table].[Product_Name].[All]" dimensionUniqueName="[Products_Table]" displayFolder="" count="2" memberValueDatatype="130" unbalanced="0">
      <fieldsUsage count="2">
        <fieldUsage x="-1"/>
        <fieldUsage x="3"/>
      </fieldsUsage>
    </cacheHierarchy>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2" memberValueDatatype="130" unbalanced="0"/>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2" memberValueDatatype="130" unbalanced="0"/>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2" memberValueDatatype="130" unbalanced="0"/>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2" memberValueDatatype="130" unbalanced="0"/>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0" memberValueDatatype="130" unbalanced="0"/>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2" memberValueDatatype="130" unbalanced="0">
      <fieldsUsage count="2">
        <fieldUsage x="-1"/>
        <fieldUsage x="0"/>
      </fieldsUsage>
    </cacheHierarchy>
    <cacheHierarchy uniqueName="[Sales_Table].[City]" caption="City" attribute="1" defaultMemberUniqueName="[Sales_Table].[City].[All]" allUniqueName="[Sales_Table].[City].[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0" memberValueDatatype="130" unbalanced="0"/>
    <cacheHierarchy uniqueName="[Sales_Table].[Territory]" caption="Territory" attribute="1" defaultMemberUniqueName="[Sales_Table].[Territory].[All]" allUniqueName="[Sales_Table].[Territory].[All]" dimensionUniqueName="[Sales_Table]" displayFolder="" count="0" memberValueDatatype="130" unbalanced="0"/>
    <cacheHierarchy uniqueName="[Sales_Table].[Product_Category]" caption="Product_Category" attribute="1" defaultMemberUniqueName="[Sales_Table].[Product_Category].[All]" allUniqueName="[Sales_Table].[Product_Category].[All]" dimensionUniqueName="[Sales_Table]" displayFolder="" count="0" memberValueDatatype="130" unbalanced="0"/>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2" memberValueDatatype="130" unbalanced="0">
      <fieldsUsage count="2">
        <fieldUsage x="-1"/>
        <fieldUsage x="1"/>
      </fieldsUsage>
    </cacheHierarchy>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cacheHierarchy uniqueName="[Measures].[Return_Rate]" caption="Return_Rate" measure="1" displayFolder="" measureGroup="Returns_Table" count="0"/>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hidden="1">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oneField="1" hidden="1">
      <fieldsUsage count="1">
        <fieldUsage x="5"/>
      </fieldsUsage>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6000.741769328706" createdVersion="5" refreshedVersion="8" minRefreshableVersion="3" recordCount="0" supportSubquery="1" supportAdvancedDrill="1" xr:uid="{8A42A19D-1D88-4B35-8B27-E7A99D94925D}">
  <cacheSource type="external" connectionId="1"/>
  <cacheFields count="4">
    <cacheField name="[Measures].[Sum of Sales]" caption="Sum of Sales" numFmtId="0" hierarchy="90" level="32767"/>
    <cacheField name="[Sales_Table].[Order_Date (Quarter)].[Order_Date (Quarter)]" caption="Order_Date (Quarter)" numFmtId="0" hierarchy="69" level="1">
      <sharedItems count="4">
        <s v="Qtr1"/>
        <s v="Qtr2"/>
        <s v="Qtr3"/>
        <s v="Qtr4"/>
      </sharedItems>
    </cacheField>
    <cacheField name="[Sales_Table].[Order_Date (Year)].[Order_Date (Year)]" caption="Order_Date (Year)" numFmtId="0" hierarchy="68" level="1">
      <sharedItems count="3">
        <s v="2003"/>
        <s v="2004"/>
        <s v="2005"/>
      </sharedItems>
    </cacheField>
    <cacheField name="[Date_Table].[Year].[Year]" caption="Year" numFmtId="0" hierarchy="6" level="1">
      <sharedItems containsSemiMixedTypes="0" containsNonDate="0" containsString="0"/>
    </cacheField>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3"/>
      </fieldsUsage>
    </cacheHierarchy>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0" memberValueDatatype="130" unbalanced="0"/>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0" memberValueDatatype="130" unbalanced="0"/>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0" memberValueDatatype="130" unbalanced="0"/>
    <cacheHierarchy uniqueName="[Marketing_Table].[Year (Quarter)]" caption="Year (Quarter)" attribute="1" defaultMemberUniqueName="[Marketing_Table].[Year (Quarter)].[All]" allUniqueName="[Marketing_Table].[Year (Quarter)].[All]" dimensionUniqueName="[Marketing_Table]" displayFolder="" count="0" memberValueDatatype="130" unbalanced="0"/>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0" memberValueDatatype="130" unbalanced="0"/>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0" memberValueDatatype="130" unbalanced="0"/>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0" memberValueDatatype="130" unbalanced="0"/>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0" memberValueDatatype="130" unbalanced="0"/>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0" memberValueDatatype="130" unbalanced="0"/>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0" memberValueDatatype="130" unbalanced="0"/>
    <cacheHierarchy uniqueName="[Sales_Table].[Territory]" caption="Territory" attribute="1" defaultMemberUniqueName="[Sales_Table].[Territory].[All]" allUniqueName="[Sales_Table].[Territory].[All]" dimensionUniqueName="[Sales_Table]" displayFolder="" count="0" memberValueDatatype="130" unbalanced="0"/>
    <cacheHierarchy uniqueName="[Sales_Table].[Product_Category]" caption="Product_Category" attribute="1" defaultMemberUniqueName="[Sales_Table].[Product_Category].[All]" allUniqueName="[Sales_Table].[Product_Category].[All]" dimensionUniqueName="[Sales_Table]" displayFolder="" count="0" memberValueDatatype="130" unbalanced="0"/>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0" memberValueDatatype="130" unbalanced="0"/>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2" memberValueDatatype="130" unbalanced="0">
      <fieldsUsage count="2">
        <fieldUsage x="-1"/>
        <fieldUsage x="2"/>
      </fieldsUsage>
    </cacheHierarchy>
    <cacheHierarchy uniqueName="[Sales_Table].[Order_Date (Quarter)]" caption="Order_Date (Quarter)" attribute="1" defaultMemberUniqueName="[Sales_Table].[Order_Date (Quarter)].[All]" allUniqueName="[Sales_Table].[Order_Date (Quarter)].[All]" dimensionUniqueName="[Sales_Table]" displayFolder="" count="2" memberValueDatatype="130" unbalanced="0">
      <fieldsUsage count="2">
        <fieldUsage x="-1"/>
        <fieldUsage x="1"/>
      </fieldsUsage>
    </cacheHierarchy>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cacheHierarchy uniqueName="[Measures].[Return_Rate]" caption="Return_Rate" measure="1" displayFolder="" measureGroup="Returns_Table" count="0"/>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oneField="1" hidden="1">
      <fieldsUsage count="1">
        <fieldUsage x="0"/>
      </fieldsUsage>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hidden="1">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hidden="1">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6000.741769791668" createdVersion="5" refreshedVersion="8" minRefreshableVersion="3" recordCount="0" supportSubquery="1" supportAdvancedDrill="1" xr:uid="{2A337420-3477-4E21-B0B4-06CED459A7C5}">
  <cacheSource type="external" connectionId="1"/>
  <cacheFields count="5">
    <cacheField name="[Sales_Table].[Country].[Country]" caption="Country" numFmtId="0" hierarchy="58" level="1">
      <sharedItems count="10">
        <s v="Australia"/>
        <s v="Austria"/>
        <s v="Canada"/>
        <s v="Finland"/>
        <s v="France"/>
        <s v="Italy"/>
        <s v="Singapore"/>
        <s v="Spain"/>
        <s v="UK"/>
        <s v="USA"/>
      </sharedItems>
    </cacheField>
    <cacheField name="[Sales_Table].[Product_Name].[Product_Name]" caption="Product_Name" numFmtId="0" hierarchy="62" level="1">
      <sharedItems count="10">
        <s v="BabyGrow 1"/>
        <s v="BabyGrow 2"/>
        <s v="Brew Black Coffee"/>
        <s v="BrewSip Classic Coffee"/>
        <s v="Butterly"/>
        <s v="Cold Bean Coffee"/>
        <s v="Milko Gold"/>
        <s v="PastaJoy"/>
        <s v="TinyBite Cereal"/>
        <s v="Zest Lemon Tea"/>
      </sharedItems>
    </cacheField>
    <cacheField name="[Returns_Table].[Product_Name].[Product_Name]" caption="Product_Name" numFmtId="0" hierarchy="44" level="1">
      <sharedItems count="10">
        <s v="AppleJoy"/>
        <s v="AquaGo"/>
        <s v="BabyGrow 1"/>
        <s v="BabyGrow 2"/>
        <s v="Brew Black Coffee"/>
        <s v="BrewSip Classic Coffee"/>
        <s v="Butterly"/>
        <s v="Cold Bean Coffee"/>
        <s v="Milko Gold"/>
        <s v="SliceCheeze"/>
      </sharedItems>
    </cacheField>
    <cacheField name="[Measures].[Sum of Quantity_Ordered]" caption="Sum of Quantity_Ordered" numFmtId="0" hierarchy="103" level="32767"/>
    <cacheField name="[Date_Table].[Year].[Year]" caption="Year" numFmtId="0" hierarchy="6" level="1">
      <sharedItems containsSemiMixedTypes="0" containsNonDate="0" containsString="0"/>
    </cacheField>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4"/>
      </fieldsUsage>
    </cacheHierarchy>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0" memberValueDatatype="130" unbalanced="0"/>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0" memberValueDatatype="130" unbalanced="0"/>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0" memberValueDatatype="130" unbalanced="0"/>
    <cacheHierarchy uniqueName="[Marketing_Table].[Year (Quarter)]" caption="Year (Quarter)" attribute="1" defaultMemberUniqueName="[Marketing_Table].[Year (Quarter)].[All]" allUniqueName="[Marketing_Table].[Year (Quarter)].[All]" dimensionUniqueName="[Marketing_Table]" displayFolder="" count="0" memberValueDatatype="130" unbalanced="0"/>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0" memberValueDatatype="130" unbalanced="0"/>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0" memberValueDatatype="130" unbalanced="0"/>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0" memberValueDatatype="130" unbalanced="0"/>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2" memberValueDatatype="130" unbalanced="0">
      <fieldsUsage count="2">
        <fieldUsage x="-1"/>
        <fieldUsage x="2"/>
      </fieldsUsage>
    </cacheHierarchy>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0" memberValueDatatype="130" unbalanced="0"/>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2" memberValueDatatype="130" unbalanced="0">
      <fieldsUsage count="2">
        <fieldUsage x="-1"/>
        <fieldUsage x="0"/>
      </fieldsUsage>
    </cacheHierarchy>
    <cacheHierarchy uniqueName="[Sales_Table].[Territory]" caption="Territory" attribute="1" defaultMemberUniqueName="[Sales_Table].[Territory].[All]" allUniqueName="[Sales_Table].[Territory].[All]" dimensionUniqueName="[Sales_Table]" displayFolder="" count="0" memberValueDatatype="130" unbalanced="0"/>
    <cacheHierarchy uniqueName="[Sales_Table].[Product_Category]" caption="Product_Category" attribute="1" defaultMemberUniqueName="[Sales_Table].[Product_Category].[All]" allUniqueName="[Sales_Table].[Product_Category].[All]" dimensionUniqueName="[Sales_Table]" displayFolder="" count="0" memberValueDatatype="130" unbalanced="0"/>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2" memberValueDatatype="130" unbalanced="0">
      <fieldsUsage count="2">
        <fieldUsage x="-1"/>
        <fieldUsage x="1"/>
      </fieldsUsage>
    </cacheHierarchy>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cacheHierarchy uniqueName="[Measures].[Return_Rate]" caption="Return_Rate" measure="1" displayFolder="" measureGroup="Returns_Table" count="0"/>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hidden="1">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oneField="1" hidden="1">
      <fieldsUsage count="1">
        <fieldUsage x="3"/>
      </fieldsUsage>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hidden="1">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6000.741770370369" createdVersion="5" refreshedVersion="8" minRefreshableVersion="3" recordCount="0" supportSubquery="1" supportAdvancedDrill="1" xr:uid="{15007B07-D145-4AFE-8537-1686185CC446}">
  <cacheSource type="external" connectionId="1"/>
  <cacheFields count="3">
    <cacheField name="[Returns_Table].[City].[City]" caption="City" numFmtId="0" hierarchy="39" level="1">
      <sharedItems count="10">
        <s v="Boras"/>
        <s v="Boston"/>
        <s v="Chatswood"/>
        <s v="Liverpool"/>
        <s v="Madrid"/>
        <s v="Nantes"/>
        <s v="Newark"/>
        <s v="NYC"/>
        <s v="Pasadena"/>
        <s v="San Jose"/>
      </sharedItems>
    </cacheField>
    <cacheField name="[Measures].[Sum of Quantity_Ordered]" caption="Sum of Quantity_Ordered" numFmtId="0" hierarchy="103" level="32767"/>
    <cacheField name="[Date_Table].[Year].[Year]" caption="Year" numFmtId="0" hierarchy="6" level="1">
      <sharedItems containsSemiMixedTypes="0" containsNonDate="0" containsString="0"/>
    </cacheField>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2"/>
      </fieldsUsage>
    </cacheHierarchy>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0" memberValueDatatype="130" unbalanced="0"/>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0" memberValueDatatype="130" unbalanced="0"/>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0" memberValueDatatype="130" unbalanced="0"/>
    <cacheHierarchy uniqueName="[Marketing_Table].[Year (Quarter)]" caption="Year (Quarter)" attribute="1" defaultMemberUniqueName="[Marketing_Table].[Year (Quarter)].[All]" allUniqueName="[Marketing_Table].[Year (Quarter)].[All]" dimensionUniqueName="[Marketing_Table]" displayFolder="" count="0" memberValueDatatype="130" unbalanced="0"/>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0" memberValueDatatype="130" unbalanced="0"/>
    <cacheHierarchy uniqueName="[Returns_Table].[City]" caption="City" attribute="1" defaultMemberUniqueName="[Returns_Table].[City].[All]" allUniqueName="[Returns_Table].[City].[All]" dimensionUniqueName="[Returns_Table]" displayFolder="" count="2" memberValueDatatype="130" unbalanced="0">
      <fieldsUsage count="2">
        <fieldUsage x="-1"/>
        <fieldUsage x="0"/>
      </fieldsUsage>
    </cacheHierarchy>
    <cacheHierarchy uniqueName="[Returns_Table].[Country]" caption="Country" attribute="1" defaultMemberUniqueName="[Returns_Table].[Country].[All]" allUniqueName="[Returns_Table].[Country].[All]" dimensionUniqueName="[Returns_Table]" displayFolder="" count="0" memberValueDatatype="130" unbalanced="0"/>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0" memberValueDatatype="130" unbalanced="0"/>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0" memberValueDatatype="130" unbalanced="0"/>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0" memberValueDatatype="130" unbalanced="0"/>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0" memberValueDatatype="130" unbalanced="0"/>
    <cacheHierarchy uniqueName="[Sales_Table].[Territory]" caption="Territory" attribute="1" defaultMemberUniqueName="[Sales_Table].[Territory].[All]" allUniqueName="[Sales_Table].[Territory].[All]" dimensionUniqueName="[Sales_Table]" displayFolder="" count="0" memberValueDatatype="130" unbalanced="0"/>
    <cacheHierarchy uniqueName="[Sales_Table].[Product_Category]" caption="Product_Category" attribute="1" defaultMemberUniqueName="[Sales_Table].[Product_Category].[All]" allUniqueName="[Sales_Table].[Product_Category].[All]" dimensionUniqueName="[Sales_Table]" displayFolder="" count="0" memberValueDatatype="130" unbalanced="0"/>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0" memberValueDatatype="130" unbalanced="0"/>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cacheHierarchy uniqueName="[Measures].[Return_Rate]" caption="Return_Rate" measure="1" displayFolder="" measureGroup="Returns_Table" count="0"/>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hidden="1">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oneField="1" hidden="1">
      <fieldsUsage count="1">
        <fieldUsage x="1"/>
      </fieldsUsage>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hidden="1">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6000.741770949076" createdVersion="5" refreshedVersion="8" minRefreshableVersion="3" recordCount="0" supportSubquery="1" supportAdvancedDrill="1" xr:uid="{6A4DC394-26A6-4443-8711-BFD0628437F4}">
  <cacheSource type="external" connectionId="1"/>
  <cacheFields count="3">
    <cacheField name="[Returns_Table].[Product_Category].[Product_Category]" caption="Product_Category" numFmtId="0" hierarchy="42" level="1">
      <sharedItems count="7">
        <s v="Beverages"/>
        <s v="Dairy Products"/>
        <s v="Frozen Foods"/>
        <s v="Infant Nutrition"/>
        <s v="Instant Foods"/>
        <s v="Snacks"/>
        <s v="Water &amp; Juices"/>
      </sharedItems>
    </cacheField>
    <cacheField name="[Measures].[Sum of Quantity_Ordered]" caption="Sum of Quantity_Ordered" numFmtId="0" hierarchy="103" level="32767"/>
    <cacheField name="[Date_Table].[Year].[Year]" caption="Year" numFmtId="0" hierarchy="6" level="1">
      <sharedItems containsSemiMixedTypes="0" containsNonDate="0" containsString="0"/>
    </cacheField>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2"/>
      </fieldsUsage>
    </cacheHierarchy>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0" memberValueDatatype="130" unbalanced="0"/>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0" memberValueDatatype="130" unbalanced="0"/>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0" memberValueDatatype="130" unbalanced="0"/>
    <cacheHierarchy uniqueName="[Marketing_Table].[Year (Quarter)]" caption="Year (Quarter)" attribute="1" defaultMemberUniqueName="[Marketing_Table].[Year (Quarter)].[All]" allUniqueName="[Marketing_Table].[Year (Quarter)].[All]" dimensionUniqueName="[Marketing_Table]" displayFolder="" count="0" memberValueDatatype="130" unbalanced="0"/>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0" memberValueDatatype="130" unbalanced="0"/>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0" memberValueDatatype="130" unbalanced="0"/>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2" memberValueDatatype="130" unbalanced="0">
      <fieldsUsage count="2">
        <fieldUsage x="-1"/>
        <fieldUsage x="0"/>
      </fieldsUsage>
    </cacheHierarchy>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0" memberValueDatatype="130" unbalanced="0"/>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0" memberValueDatatype="130" unbalanced="0"/>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0" memberValueDatatype="130" unbalanced="0"/>
    <cacheHierarchy uniqueName="[Sales_Table].[Territory]" caption="Territory" attribute="1" defaultMemberUniqueName="[Sales_Table].[Territory].[All]" allUniqueName="[Sales_Table].[Territory].[All]" dimensionUniqueName="[Sales_Table]" displayFolder="" count="0" memberValueDatatype="130" unbalanced="0"/>
    <cacheHierarchy uniqueName="[Sales_Table].[Product_Category]" caption="Product_Category" attribute="1" defaultMemberUniqueName="[Sales_Table].[Product_Category].[All]" allUniqueName="[Sales_Table].[Product_Category].[All]" dimensionUniqueName="[Sales_Table]" displayFolder="" count="0" memberValueDatatype="130" unbalanced="0"/>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0" memberValueDatatype="130" unbalanced="0"/>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cacheHierarchy uniqueName="[Measures].[Return_Rate]" caption="Return_Rate" measure="1" displayFolder="" measureGroup="Returns_Table" count="0"/>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hidden="1">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oneField="1" hidden="1">
      <fieldsUsage count="1">
        <fieldUsage x="1"/>
      </fieldsUsage>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hidden="1">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6000.741771412038" createdVersion="5" refreshedVersion="8" minRefreshableVersion="3" recordCount="0" supportSubquery="1" supportAdvancedDrill="1" xr:uid="{31E14321-102D-4270-9171-36F647E8F9C6}">
  <cacheSource type="external" connectionId="1"/>
  <cacheFields count="6">
    <cacheField name="[Sales_Table].[Country].[Country]" caption="Country" numFmtId="0" hierarchy="58" level="1">
      <sharedItems count="10">
        <s v="Australia"/>
        <s v="Austria"/>
        <s v="Canada"/>
        <s v="Finland"/>
        <s v="France"/>
        <s v="Italy"/>
        <s v="Singapore"/>
        <s v="Spain"/>
        <s v="UK"/>
        <s v="USA"/>
      </sharedItems>
    </cacheField>
    <cacheField name="[Sales_Table].[Product_Name].[Product_Name]" caption="Product_Name" numFmtId="0" hierarchy="62" level="1">
      <sharedItems count="10">
        <s v="BabyGrow 1"/>
        <s v="BabyGrow 2"/>
        <s v="Brew Black Coffee"/>
        <s v="BrewSip Classic Coffee"/>
        <s v="Butterly"/>
        <s v="Cold Bean Coffee"/>
        <s v="Milko Gold"/>
        <s v="PastaJoy"/>
        <s v="TinyBite Cereal"/>
        <s v="Zest Lemon Tea"/>
      </sharedItems>
    </cacheField>
    <cacheField name="[Marketing_Table].[Year (Year)].[Year (Year)]" caption="Year (Year)" numFmtId="0" hierarchy="25" level="1">
      <sharedItems count="3">
        <s v="2003"/>
        <s v="2004"/>
        <s v="2005"/>
      </sharedItems>
    </cacheField>
    <cacheField name="[Measures].[Sum of Amt]" caption="Sum of Amt" numFmtId="0" hierarchy="93" level="32767"/>
    <cacheField name="[Marketing_Table].[Year (Quarter)].[Year (Quarter)]" caption="Year (Quarter)" numFmtId="0" hierarchy="26" level="1">
      <sharedItems count="4">
        <s v="Qtr1"/>
        <s v="Qtr2"/>
        <s v="Qtr3"/>
        <s v="Qtr4"/>
      </sharedItems>
    </cacheField>
    <cacheField name="[Date_Table].[Year].[Year]" caption="Year" numFmtId="0" hierarchy="6" level="1">
      <sharedItems containsSemiMixedTypes="0" containsNonDate="0" containsString="0"/>
    </cacheField>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5"/>
      </fieldsUsage>
    </cacheHierarchy>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0" memberValueDatatype="130" unbalanced="0"/>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0" memberValueDatatype="130" unbalanced="0"/>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2" memberValueDatatype="130" unbalanced="0">
      <fieldsUsage count="2">
        <fieldUsage x="-1"/>
        <fieldUsage x="2"/>
      </fieldsUsage>
    </cacheHierarchy>
    <cacheHierarchy uniqueName="[Marketing_Table].[Year (Quarter)]" caption="Year (Quarter)" attribute="1" defaultMemberUniqueName="[Marketing_Table].[Year (Quarter)].[All]" allUniqueName="[Marketing_Table].[Year (Quarter)].[All]" dimensionUniqueName="[Marketing_Table]" displayFolder="" count="2" memberValueDatatype="130" unbalanced="0">
      <fieldsUsage count="2">
        <fieldUsage x="-1"/>
        <fieldUsage x="4"/>
      </fieldsUsage>
    </cacheHierarchy>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0" memberValueDatatype="130" unbalanced="0"/>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0" memberValueDatatype="130" unbalanced="0"/>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0" memberValueDatatype="130" unbalanced="0"/>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0" memberValueDatatype="130" unbalanced="0"/>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0" memberValueDatatype="130" unbalanced="0"/>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2" memberValueDatatype="130" unbalanced="0">
      <fieldsUsage count="2">
        <fieldUsage x="-1"/>
        <fieldUsage x="0"/>
      </fieldsUsage>
    </cacheHierarchy>
    <cacheHierarchy uniqueName="[Sales_Table].[Territory]" caption="Territory" attribute="1" defaultMemberUniqueName="[Sales_Table].[Territory].[All]" allUniqueName="[Sales_Table].[Territory].[All]" dimensionUniqueName="[Sales_Table]" displayFolder="" count="0" memberValueDatatype="130" unbalanced="0"/>
    <cacheHierarchy uniqueName="[Sales_Table].[Product_Category]" caption="Product_Category" attribute="1" defaultMemberUniqueName="[Sales_Table].[Product_Category].[All]" allUniqueName="[Sales_Table].[Product_Category].[All]" dimensionUniqueName="[Sales_Table]" displayFolder="" count="0" memberValueDatatype="130" unbalanced="0"/>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2" memberValueDatatype="130" unbalanced="0">
      <fieldsUsage count="2">
        <fieldUsage x="-1"/>
        <fieldUsage x="1"/>
      </fieldsUsage>
    </cacheHierarchy>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cacheHierarchy uniqueName="[Measures].[Return_Rate]" caption="Return_Rate" measure="1" displayFolder="" measureGroup="Returns_Table" count="0"/>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hidden="1">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hidden="1">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hidden="1">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6000.741771990739" createdVersion="5" refreshedVersion="8" minRefreshableVersion="3" recordCount="0" supportSubquery="1" supportAdvancedDrill="1" xr:uid="{644705CF-4E0B-4CA5-8359-9014EB1E3A4B}">
  <cacheSource type="external" connectionId="1"/>
  <cacheFields count="5">
    <cacheField name="[Sales_Table].[Country].[Country]" caption="Country" numFmtId="0" hierarchy="58" level="1">
      <sharedItems count="10">
        <s v="Australia"/>
        <s v="Austria"/>
        <s v="Canada"/>
        <s v="Finland"/>
        <s v="France"/>
        <s v="Italy"/>
        <s v="Singapore"/>
        <s v="Spain"/>
        <s v="UK"/>
        <s v="USA"/>
      </sharedItems>
    </cacheField>
    <cacheField name="[Sales_Table].[Product_Name].[Product_Name]" caption="Product_Name" numFmtId="0" hierarchy="62" level="1">
      <sharedItems count="10">
        <s v="BabyGrow 1"/>
        <s v="BabyGrow 2"/>
        <s v="Brew Black Coffee"/>
        <s v="BrewSip Classic Coffee"/>
        <s v="Butterly"/>
        <s v="Cold Bean Coffee"/>
        <s v="Milko Gold"/>
        <s v="PastaJoy"/>
        <s v="TinyBite Cereal"/>
        <s v="Zest Lemon Tea"/>
      </sharedItems>
    </cacheField>
    <cacheField name="[Measures].[Sum of Amt]" caption="Sum of Amt" numFmtId="0" hierarchy="93" level="32767"/>
    <cacheField name="[Marketing_Table].[Product_Category].[Product_Category]" caption="Product_Category" numFmtId="0" hierarchy="19" level="1">
      <sharedItems count="7">
        <s v="Beverages"/>
        <s v="Dairy Products"/>
        <s v="Frozen Foods"/>
        <s v="Infant Nutrition"/>
        <s v="Instant Foods"/>
        <s v="Snacks"/>
        <s v="Water &amp; Juices"/>
      </sharedItems>
    </cacheField>
    <cacheField name="[Date_Table].[Year].[Year]" caption="Year" numFmtId="0" hierarchy="6" level="1">
      <sharedItems containsSemiMixedTypes="0" containsNonDate="0" containsString="0"/>
    </cacheField>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4"/>
      </fieldsUsage>
    </cacheHierarchy>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2" memberValueDatatype="130" unbalanced="0">
      <fieldsUsage count="2">
        <fieldUsage x="-1"/>
        <fieldUsage x="3"/>
      </fieldsUsage>
    </cacheHierarchy>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0" memberValueDatatype="130" unbalanced="0"/>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0" memberValueDatatype="130" unbalanced="0"/>
    <cacheHierarchy uniqueName="[Marketing_Table].[Year (Quarter)]" caption="Year (Quarter)" attribute="1" defaultMemberUniqueName="[Marketing_Table].[Year (Quarter)].[All]" allUniqueName="[Marketing_Table].[Year (Quarter)].[All]" dimensionUniqueName="[Marketing_Table]" displayFolder="" count="0" memberValueDatatype="130" unbalanced="0"/>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0" memberValueDatatype="130" unbalanced="0"/>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0" memberValueDatatype="130" unbalanced="0"/>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0" memberValueDatatype="130" unbalanced="0"/>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0" memberValueDatatype="130" unbalanced="0"/>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0" memberValueDatatype="130" unbalanced="0"/>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2" memberValueDatatype="130" unbalanced="0">
      <fieldsUsage count="2">
        <fieldUsage x="-1"/>
        <fieldUsage x="0"/>
      </fieldsUsage>
    </cacheHierarchy>
    <cacheHierarchy uniqueName="[Sales_Table].[Territory]" caption="Territory" attribute="1" defaultMemberUniqueName="[Sales_Table].[Territory].[All]" allUniqueName="[Sales_Table].[Territory].[All]" dimensionUniqueName="[Sales_Table]" displayFolder="" count="0" memberValueDatatype="130" unbalanced="0"/>
    <cacheHierarchy uniqueName="[Sales_Table].[Product_Category]" caption="Product_Category" attribute="1" defaultMemberUniqueName="[Sales_Table].[Product_Category].[All]" allUniqueName="[Sales_Table].[Product_Category].[All]" dimensionUniqueName="[Sales_Table]" displayFolder="" count="0" memberValueDatatype="130" unbalanced="0"/>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2" memberValueDatatype="130" unbalanced="0">
      <fieldsUsage count="2">
        <fieldUsage x="-1"/>
        <fieldUsage x="1"/>
      </fieldsUsage>
    </cacheHierarchy>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cacheHierarchy uniqueName="[Measures].[Return_Rate]" caption="Return_Rate" measure="1" displayFolder="" measureGroup="Returns_Table" count="0"/>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hidden="1">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hidden="1">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hidden="1">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6000.741772569447" createdVersion="5" refreshedVersion="8" minRefreshableVersion="3" recordCount="0" supportSubquery="1" supportAdvancedDrill="1" xr:uid="{D89DB1B0-5C41-4111-85C2-E3C5E0F9BB4A}">
  <cacheSource type="external" connectionId="1"/>
  <cacheFields count="5">
    <cacheField name="[Sales_Table].[Country].[Country]" caption="Country" numFmtId="0" hierarchy="58" level="1">
      <sharedItems count="10">
        <s v="Australia"/>
        <s v="Austria"/>
        <s v="Canada"/>
        <s v="Finland"/>
        <s v="France"/>
        <s v="Italy"/>
        <s v="Singapore"/>
        <s v="Spain"/>
        <s v="UK"/>
        <s v="USA"/>
      </sharedItems>
    </cacheField>
    <cacheField name="[Sales_Table].[Product_Name].[Product_Name]" caption="Product_Name" numFmtId="0" hierarchy="62" level="1">
      <sharedItems count="10">
        <s v="BabyGrow 1"/>
        <s v="BabyGrow 2"/>
        <s v="Brew Black Coffee"/>
        <s v="BrewSip Classic Coffee"/>
        <s v="Butterly"/>
        <s v="Cold Bean Coffee"/>
        <s v="Milko Gold"/>
        <s v="PastaJoy"/>
        <s v="TinyBite Cereal"/>
        <s v="Zest Lemon Tea"/>
      </sharedItems>
    </cacheField>
    <cacheField name="[Measures].[Sum of Amt]" caption="Sum of Amt" numFmtId="0" hierarchy="93" level="32767"/>
    <cacheField name="[Marketing_Table].[Product_Name].[Product_Name]" caption="Product_Name" numFmtId="0" hierarchy="21" level="1">
      <sharedItems count="10">
        <s v="BabyGrow 1"/>
        <s v="BabyGrow 2"/>
        <s v="Brew Black Coffee"/>
        <s v="BrewSip Classic Coffee"/>
        <s v="Cold Bean Coffee"/>
        <s v="FizzUp Orange Soda"/>
        <s v="Milko Gold"/>
        <s v="PastaJoy"/>
        <s v="TinyBite Cereal"/>
        <s v="Zest Lemon Tea"/>
      </sharedItems>
    </cacheField>
    <cacheField name="[Date_Table].[Year].[Year]" caption="Year" numFmtId="0" hierarchy="6" level="1">
      <sharedItems containsSemiMixedTypes="0" containsNonDate="0" containsString="0"/>
    </cacheField>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4"/>
      </fieldsUsage>
    </cacheHierarchy>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0" memberValueDatatype="130" unbalanced="0"/>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2" memberValueDatatype="130" unbalanced="0">
      <fieldsUsage count="2">
        <fieldUsage x="-1"/>
        <fieldUsage x="3"/>
      </fieldsUsage>
    </cacheHierarchy>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0" memberValueDatatype="130" unbalanced="0"/>
    <cacheHierarchy uniqueName="[Marketing_Table].[Year (Quarter)]" caption="Year (Quarter)" attribute="1" defaultMemberUniqueName="[Marketing_Table].[Year (Quarter)].[All]" allUniqueName="[Marketing_Table].[Year (Quarter)].[All]" dimensionUniqueName="[Marketing_Table]" displayFolder="" count="0" memberValueDatatype="130" unbalanced="0"/>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0" memberValueDatatype="130" unbalanced="0"/>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0" memberValueDatatype="130" unbalanced="0"/>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0" memberValueDatatype="130" unbalanced="0"/>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0" memberValueDatatype="130" unbalanced="0"/>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0" memberValueDatatype="130" unbalanced="0"/>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2" memberValueDatatype="130" unbalanced="0">
      <fieldsUsage count="2">
        <fieldUsage x="-1"/>
        <fieldUsage x="0"/>
      </fieldsUsage>
    </cacheHierarchy>
    <cacheHierarchy uniqueName="[Sales_Table].[Territory]" caption="Territory" attribute="1" defaultMemberUniqueName="[Sales_Table].[Territory].[All]" allUniqueName="[Sales_Table].[Territory].[All]" dimensionUniqueName="[Sales_Table]" displayFolder="" count="0" memberValueDatatype="130" unbalanced="0"/>
    <cacheHierarchy uniqueName="[Sales_Table].[Product_Category]" caption="Product_Category" attribute="1" defaultMemberUniqueName="[Sales_Table].[Product_Category].[All]" allUniqueName="[Sales_Table].[Product_Category].[All]" dimensionUniqueName="[Sales_Table]" displayFolder="" count="0" memberValueDatatype="130" unbalanced="0"/>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2" memberValueDatatype="130" unbalanced="0">
      <fieldsUsage count="2">
        <fieldUsage x="-1"/>
        <fieldUsage x="1"/>
      </fieldsUsage>
    </cacheHierarchy>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cacheHierarchy uniqueName="[Measures].[Return_Rate]" caption="Return_Rate" measure="1" displayFolder="" measureGroup="Returns_Table" count="0"/>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hidden="1">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hidden="1">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hidden="1">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6000.741772800924" createdVersion="5" refreshedVersion="8" minRefreshableVersion="3" recordCount="0" supportSubquery="1" supportAdvancedDrill="1" xr:uid="{A308D32A-49FE-4CF4-9484-C4FCD2CA05E7}">
  <cacheSource type="external" connectionId="1"/>
  <cacheFields count="4">
    <cacheField name="[Sales_Table].[Country].[Country]" caption="Country" numFmtId="0" hierarchy="58" level="1">
      <sharedItems count="10">
        <s v="Australia"/>
        <s v="Austria"/>
        <s v="Canada"/>
        <s v="Finland"/>
        <s v="France"/>
        <s v="Italy"/>
        <s v="Singapore"/>
        <s v="Spain"/>
        <s v="UK"/>
        <s v="USA"/>
      </sharedItems>
    </cacheField>
    <cacheField name="[Sales_Table].[Product_Name].[Product_Name]" caption="Product_Name" numFmtId="0" hierarchy="62" level="1">
      <sharedItems count="10">
        <s v="BabyGrow 1"/>
        <s v="BabyGrow 2"/>
        <s v="Brew Black Coffee"/>
        <s v="BrewSip Classic Coffee"/>
        <s v="Butterly"/>
        <s v="Cold Bean Coffee"/>
        <s v="Milko Gold"/>
        <s v="PastaJoy"/>
        <s v="TinyBite Cereal"/>
        <s v="Zest Lemon Tea"/>
      </sharedItems>
    </cacheField>
    <cacheField name="[Measures].[Return_Rate]" caption="Return_Rate" numFmtId="0" hierarchy="77" level="32767"/>
    <cacheField name="[Date_Table].[Year].[Year]" caption="Year" numFmtId="0" hierarchy="6" level="1">
      <sharedItems containsSemiMixedTypes="0" containsNonDate="0" containsString="0"/>
    </cacheField>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3"/>
      </fieldsUsage>
    </cacheHierarchy>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0" memberValueDatatype="130" unbalanced="0"/>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0" memberValueDatatype="130" unbalanced="0"/>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0" memberValueDatatype="130" unbalanced="0"/>
    <cacheHierarchy uniqueName="[Marketing_Table].[Year (Quarter)]" caption="Year (Quarter)" attribute="1" defaultMemberUniqueName="[Marketing_Table].[Year (Quarter)].[All]" allUniqueName="[Marketing_Table].[Year (Quarter)].[All]" dimensionUniqueName="[Marketing_Table]" displayFolder="" count="0" memberValueDatatype="130" unbalanced="0"/>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0" memberValueDatatype="130" unbalanced="0"/>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0" memberValueDatatype="130" unbalanced="0"/>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0" memberValueDatatype="130" unbalanced="0"/>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0" memberValueDatatype="130" unbalanced="0"/>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0" memberValueDatatype="130" unbalanced="0"/>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2" memberValueDatatype="130" unbalanced="0">
      <fieldsUsage count="2">
        <fieldUsage x="-1"/>
        <fieldUsage x="0"/>
      </fieldsUsage>
    </cacheHierarchy>
    <cacheHierarchy uniqueName="[Sales_Table].[Territory]" caption="Territory" attribute="1" defaultMemberUniqueName="[Sales_Table].[Territory].[All]" allUniqueName="[Sales_Table].[Territory].[All]" dimensionUniqueName="[Sales_Table]" displayFolder="" count="0" memberValueDatatype="130" unbalanced="0"/>
    <cacheHierarchy uniqueName="[Sales_Table].[Product_Category]" caption="Product_Category" attribute="1" defaultMemberUniqueName="[Sales_Table].[Product_Category].[All]" allUniqueName="[Sales_Table].[Product_Category].[All]" dimensionUniqueName="[Sales_Table]" displayFolder="" count="0" memberValueDatatype="130" unbalanced="0"/>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2" memberValueDatatype="130" unbalanced="0">
      <fieldsUsage count="2">
        <fieldUsage x="-1"/>
        <fieldUsage x="1"/>
      </fieldsUsage>
    </cacheHierarchy>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cacheHierarchy uniqueName="[Measures].[Return_Rate]" caption="Return_Rate" measure="1" displayFolder="" measureGroup="Returns_Table" count="0" oneField="1">
      <fieldsUsage count="1">
        <fieldUsage x="2"/>
      </fieldsUsage>
    </cacheHierarchy>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hidden="1">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hidden="1">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hidden="1">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6000.741773032409" createdVersion="5" refreshedVersion="8" minRefreshableVersion="3" recordCount="0" supportSubquery="1" supportAdvancedDrill="1" xr:uid="{E6306194-1D46-4C16-8A96-306A18068DCC}">
  <cacheSource type="external" connectionId="1"/>
  <cacheFields count="4">
    <cacheField name="[Sales_Table].[Country].[Country]" caption="Country" numFmtId="0" hierarchy="58" level="1">
      <sharedItems count="10">
        <s v="Australia"/>
        <s v="Austria"/>
        <s v="Canada"/>
        <s v="Finland"/>
        <s v="France"/>
        <s v="Italy"/>
        <s v="Singapore"/>
        <s v="Spain"/>
        <s v="UK"/>
        <s v="USA"/>
      </sharedItems>
    </cacheField>
    <cacheField name="[Sales_Table].[Product_Name].[Product_Name]" caption="Product_Name" numFmtId="0" hierarchy="62" level="1">
      <sharedItems count="10">
        <s v="BabyGrow 1"/>
        <s v="BabyGrow 2"/>
        <s v="Brew Black Coffee"/>
        <s v="BrewSip Classic Coffee"/>
        <s v="Butterly"/>
        <s v="Cold Bean Coffee"/>
        <s v="Milko Gold"/>
        <s v="PastaJoy"/>
        <s v="TinyBite Cereal"/>
        <s v="Zest Lemon Tea"/>
      </sharedItems>
    </cacheField>
    <cacheField name="[Measures].[Avg_Marketing_Spend_Qtr]" caption="Avg_Marketing_Spend_Qtr" numFmtId="0" hierarchy="76" level="32767"/>
    <cacheField name="[Date_Table].[Year].[Year]" caption="Year" numFmtId="0" hierarchy="6" level="1">
      <sharedItems containsSemiMixedTypes="0" containsNonDate="0" containsString="0"/>
    </cacheField>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3"/>
      </fieldsUsage>
    </cacheHierarchy>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0" memberValueDatatype="130" unbalanced="0"/>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0" memberValueDatatype="130" unbalanced="0"/>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0" memberValueDatatype="130" unbalanced="0"/>
    <cacheHierarchy uniqueName="[Marketing_Table].[Year (Quarter)]" caption="Year (Quarter)" attribute="1" defaultMemberUniqueName="[Marketing_Table].[Year (Quarter)].[All]" allUniqueName="[Marketing_Table].[Year (Quarter)].[All]" dimensionUniqueName="[Marketing_Table]" displayFolder="" count="0" memberValueDatatype="130" unbalanced="0"/>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0" memberValueDatatype="130" unbalanced="0"/>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0" memberValueDatatype="130" unbalanced="0"/>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0" memberValueDatatype="130" unbalanced="0"/>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0" memberValueDatatype="130" unbalanced="0"/>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0" memberValueDatatype="130" unbalanced="0"/>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2" memberValueDatatype="130" unbalanced="0">
      <fieldsUsage count="2">
        <fieldUsage x="-1"/>
        <fieldUsage x="0"/>
      </fieldsUsage>
    </cacheHierarchy>
    <cacheHierarchy uniqueName="[Sales_Table].[Territory]" caption="Territory" attribute="1" defaultMemberUniqueName="[Sales_Table].[Territory].[All]" allUniqueName="[Sales_Table].[Territory].[All]" dimensionUniqueName="[Sales_Table]" displayFolder="" count="0" memberValueDatatype="130" unbalanced="0"/>
    <cacheHierarchy uniqueName="[Sales_Table].[Product_Category]" caption="Product_Category" attribute="1" defaultMemberUniqueName="[Sales_Table].[Product_Category].[All]" allUniqueName="[Sales_Table].[Product_Category].[All]" dimensionUniqueName="[Sales_Table]" displayFolder="" count="0" memberValueDatatype="130" unbalanced="0"/>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2" memberValueDatatype="130" unbalanced="0">
      <fieldsUsage count="2">
        <fieldUsage x="-1"/>
        <fieldUsage x="1"/>
      </fieldsUsage>
    </cacheHierarchy>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oneField="1">
      <fieldsUsage count="1">
        <fieldUsage x="2"/>
      </fieldsUsage>
    </cacheHierarchy>
    <cacheHierarchy uniqueName="[Measures].[Return_Rate]" caption="Return_Rate" measure="1" displayFolder="" measureGroup="Returns_Table" count="0"/>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hidden="1">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hidden="1">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hidden="1">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6000.741773379632" createdVersion="5" refreshedVersion="8" minRefreshableVersion="3" recordCount="0" supportSubquery="1" supportAdvancedDrill="1" xr:uid="{A33167F9-D054-4285-9FF4-82AADC4BC9DF}">
  <cacheSource type="external" connectionId="1"/>
  <cacheFields count="4">
    <cacheField name="[Sales_Table].[Country].[Country]" caption="Country" numFmtId="0" hierarchy="58" level="1">
      <sharedItems count="10">
        <s v="Australia"/>
        <s v="Austria"/>
        <s v="Canada"/>
        <s v="Finland"/>
        <s v="France"/>
        <s v="Italy"/>
        <s v="Singapore"/>
        <s v="Spain"/>
        <s v="UK"/>
        <s v="USA"/>
      </sharedItems>
    </cacheField>
    <cacheField name="[Sales_Table].[Product_Name].[Product_Name]" caption="Product_Name" numFmtId="0" hierarchy="62" level="1">
      <sharedItems count="10">
        <s v="BabyGrow 1"/>
        <s v="BabyGrow 2"/>
        <s v="Brew Black Coffee"/>
        <s v="BrewSip Classic Coffee"/>
        <s v="Butterly"/>
        <s v="Cold Bean Coffee"/>
        <s v="Milko Gold"/>
        <s v="PastaJoy"/>
        <s v="TinyBite Cereal"/>
        <s v="Zest Lemon Tea"/>
      </sharedItems>
    </cacheField>
    <cacheField name="[Measures].[Measure_Avg_Sales_Per_Qtr]" caption="Measure_Avg_Sales_Per_Qtr" numFmtId="0" hierarchy="78" level="32767"/>
    <cacheField name="[Date_Table].[Year].[Year]" caption="Year" numFmtId="0" hierarchy="6" level="1">
      <sharedItems containsSemiMixedTypes="0" containsNonDate="0" containsString="0"/>
    </cacheField>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3"/>
      </fieldsUsage>
    </cacheHierarchy>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0" memberValueDatatype="130" unbalanced="0"/>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0" memberValueDatatype="130" unbalanced="0"/>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0" memberValueDatatype="130" unbalanced="0"/>
    <cacheHierarchy uniqueName="[Marketing_Table].[Year (Quarter)]" caption="Year (Quarter)" attribute="1" defaultMemberUniqueName="[Marketing_Table].[Year (Quarter)].[All]" allUniqueName="[Marketing_Table].[Year (Quarter)].[All]" dimensionUniqueName="[Marketing_Table]" displayFolder="" count="0" memberValueDatatype="130" unbalanced="0"/>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0" memberValueDatatype="130" unbalanced="0"/>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0" memberValueDatatype="130" unbalanced="0"/>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0" memberValueDatatype="130" unbalanced="0"/>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0" memberValueDatatype="130" unbalanced="0"/>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0" memberValueDatatype="130" unbalanced="0"/>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2" memberValueDatatype="130" unbalanced="0">
      <fieldsUsage count="2">
        <fieldUsage x="-1"/>
        <fieldUsage x="0"/>
      </fieldsUsage>
    </cacheHierarchy>
    <cacheHierarchy uniqueName="[Sales_Table].[Territory]" caption="Territory" attribute="1" defaultMemberUniqueName="[Sales_Table].[Territory].[All]" allUniqueName="[Sales_Table].[Territory].[All]" dimensionUniqueName="[Sales_Table]" displayFolder="" count="0" memberValueDatatype="130" unbalanced="0"/>
    <cacheHierarchy uniqueName="[Sales_Table].[Product_Category]" caption="Product_Category" attribute="1" defaultMemberUniqueName="[Sales_Table].[Product_Category].[All]" allUniqueName="[Sales_Table].[Product_Category].[All]" dimensionUniqueName="[Sales_Table]" displayFolder="" count="0" memberValueDatatype="130" unbalanced="0"/>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2" memberValueDatatype="130" unbalanced="0">
      <fieldsUsage count="2">
        <fieldUsage x="-1"/>
        <fieldUsage x="1"/>
      </fieldsUsage>
    </cacheHierarchy>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cacheHierarchy uniqueName="[Measures].[Return_Rate]" caption="Return_Rate" measure="1" displayFolder="" measureGroup="Returns_Table" count="0"/>
    <cacheHierarchy uniqueName="[Measures].[Measure_Avg_Sales_Per_Qtr]" caption="Measure_Avg_Sales_Per_Qtr" measure="1" displayFolder="" measureGroup="Sales_Table" count="0" oneField="1">
      <fieldsUsage count="1">
        <fieldUsage x="2"/>
      </fieldsUsage>
    </cacheHierarchy>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hidden="1">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hidden="1">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hidden="1">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6000.741773842594" createdVersion="5" refreshedVersion="8" minRefreshableVersion="3" recordCount="0" supportSubquery="1" supportAdvancedDrill="1" xr:uid="{2EF69BDD-4CA1-4E6F-8484-670E86BF09C9}">
  <cacheSource type="external" connectionId="1"/>
  <cacheFields count="5">
    <cacheField name="[Sales_Table].[Country].[Country]" caption="Country" numFmtId="0" hierarchy="58" level="1">
      <sharedItems count="10">
        <s v="Australia"/>
        <s v="Austria"/>
        <s v="Canada"/>
        <s v="Finland"/>
        <s v="France"/>
        <s v="Italy"/>
        <s v="Singapore"/>
        <s v="Spain"/>
        <s v="UK"/>
        <s v="USA"/>
      </sharedItems>
    </cacheField>
    <cacheField name="[Sales_Table].[Product_Name].[Product_Name]" caption="Product_Name" numFmtId="0" hierarchy="62" level="1">
      <sharedItems count="10">
        <s v="BabyGrow 1"/>
        <s v="BabyGrow 2"/>
        <s v="Brew Black Coffee"/>
        <s v="BrewSip Classic Coffee"/>
        <s v="Butterly"/>
        <s v="Cold Bean Coffee"/>
        <s v="Milko Gold"/>
        <s v="PastaJoy"/>
        <s v="TinyBite Cereal"/>
        <s v="Zest Lemon Tea"/>
      </sharedItems>
    </cacheField>
    <cacheField name="[Sales_Table].[City].[City]" caption="City" numFmtId="0" hierarchy="57" level="1">
      <sharedItems count="1">
        <s v="Madrid"/>
      </sharedItems>
    </cacheField>
    <cacheField name="[Measures].[Sum of Sales]" caption="Sum of Sales" numFmtId="0" hierarchy="90" level="32767"/>
    <cacheField name="[Date_Table].[Year].[Year]" caption="Year" numFmtId="0" hierarchy="6" level="1">
      <sharedItems containsSemiMixedTypes="0" containsNonDate="0" containsString="0"/>
    </cacheField>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4"/>
      </fieldsUsage>
    </cacheHierarchy>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0" memberValueDatatype="130" unbalanced="0"/>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0" memberValueDatatype="130" unbalanced="0"/>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0" memberValueDatatype="130" unbalanced="0"/>
    <cacheHierarchy uniqueName="[Marketing_Table].[Year (Quarter)]" caption="Year (Quarter)" attribute="1" defaultMemberUniqueName="[Marketing_Table].[Year (Quarter)].[All]" allUniqueName="[Marketing_Table].[Year (Quarter)].[All]" dimensionUniqueName="[Marketing_Table]" displayFolder="" count="0" memberValueDatatype="130" unbalanced="0"/>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0" memberValueDatatype="130" unbalanced="0"/>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0" memberValueDatatype="130" unbalanced="0"/>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0" memberValueDatatype="130" unbalanced="0"/>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0" memberValueDatatype="130" unbalanced="0"/>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0" memberValueDatatype="130" unbalanced="0"/>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0" memberValueDatatype="130" unbalanced="0"/>
    <cacheHierarchy uniqueName="[Sales_Table].[City]" caption="City" attribute="1" defaultMemberUniqueName="[Sales_Table].[City].[All]" allUniqueName="[Sales_Table].[City].[All]" dimensionUniqueName="[Sales_Table]" displayFolder="" count="2" memberValueDatatype="130" unbalanced="0">
      <fieldsUsage count="2">
        <fieldUsage x="-1"/>
        <fieldUsage x="2"/>
      </fieldsUsage>
    </cacheHierarchy>
    <cacheHierarchy uniqueName="[Sales_Table].[Country]" caption="Country" attribute="1" defaultMemberUniqueName="[Sales_Table].[Country].[All]" allUniqueName="[Sales_Table].[Country].[All]" dimensionUniqueName="[Sales_Table]" displayFolder="" count="2" memberValueDatatype="130" unbalanced="0">
      <fieldsUsage count="2">
        <fieldUsage x="-1"/>
        <fieldUsage x="0"/>
      </fieldsUsage>
    </cacheHierarchy>
    <cacheHierarchy uniqueName="[Sales_Table].[Territory]" caption="Territory" attribute="1" defaultMemberUniqueName="[Sales_Table].[Territory].[All]" allUniqueName="[Sales_Table].[Territory].[All]" dimensionUniqueName="[Sales_Table]" displayFolder="" count="0" memberValueDatatype="130" unbalanced="0"/>
    <cacheHierarchy uniqueName="[Sales_Table].[Product_Category]" caption="Product_Category" attribute="1" defaultMemberUniqueName="[Sales_Table].[Product_Category].[All]" allUniqueName="[Sales_Table].[Product_Category].[All]" dimensionUniqueName="[Sales_Table]" displayFolder="" count="0" memberValueDatatype="130" unbalanced="0"/>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2" memberValueDatatype="130" unbalanced="0">
      <fieldsUsage count="2">
        <fieldUsage x="-1"/>
        <fieldUsage x="1"/>
      </fieldsUsage>
    </cacheHierarchy>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cacheHierarchy uniqueName="[Measures].[Return_Rate]" caption="Return_Rate" measure="1" displayFolder="" measureGroup="Returns_Table" count="0"/>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oneField="1" hidden="1">
      <fieldsUsage count="1">
        <fieldUsage x="3"/>
      </fieldsUsage>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hidden="1">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hidden="1">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6000.741774305556" createdVersion="5" refreshedVersion="8" minRefreshableVersion="3" recordCount="0" supportSubquery="1" supportAdvancedDrill="1" xr:uid="{2A869A36-3D19-4D21-AF6F-8916EBF129E5}">
  <cacheSource type="external" connectionId="1"/>
  <cacheFields count="5">
    <cacheField name="[Sales_Table].[Country].[Country]" caption="Country" numFmtId="0" hierarchy="58" level="1">
      <sharedItems count="1">
        <s v="USA"/>
      </sharedItems>
    </cacheField>
    <cacheField name="[Sales_Table].[Product_Name].[Product_Name]" caption="Product_Name" numFmtId="0" hierarchy="62" level="1">
      <sharedItems count="10">
        <s v="BabyGrow 1"/>
        <s v="BabyGrow 2"/>
        <s v="Brew Black Coffee"/>
        <s v="BrewSip Classic Coffee"/>
        <s v="Butterly"/>
        <s v="Cold Bean Coffee"/>
        <s v="Milko Gold"/>
        <s v="PastaJoy"/>
        <s v="TinyBite Cereal"/>
        <s v="Zest Lemon Tea"/>
      </sharedItems>
    </cacheField>
    <cacheField name="[Sales_Table].[City].[City]" caption="City" numFmtId="0" hierarchy="57" level="1">
      <sharedItems count="1">
        <s v="Madrid"/>
      </sharedItems>
    </cacheField>
    <cacheField name="[Measures].[Sum of Sales]" caption="Sum of Sales" numFmtId="0" hierarchy="90" level="32767"/>
    <cacheField name="[Date_Table].[Year].[Year]" caption="Year" numFmtId="0" hierarchy="6" level="1">
      <sharedItems containsSemiMixedTypes="0" containsNonDate="0" containsString="0"/>
    </cacheField>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4"/>
      </fieldsUsage>
    </cacheHierarchy>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0" memberValueDatatype="130" unbalanced="0"/>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0" memberValueDatatype="130" unbalanced="0"/>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0" memberValueDatatype="130" unbalanced="0"/>
    <cacheHierarchy uniqueName="[Marketing_Table].[Year (Quarter)]" caption="Year (Quarter)" attribute="1" defaultMemberUniqueName="[Marketing_Table].[Year (Quarter)].[All]" allUniqueName="[Marketing_Table].[Year (Quarter)].[All]" dimensionUniqueName="[Marketing_Table]" displayFolder="" count="0" memberValueDatatype="130" unbalanced="0"/>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0" memberValueDatatype="130" unbalanced="0"/>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0" memberValueDatatype="130" unbalanced="0"/>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0" memberValueDatatype="130" unbalanced="0"/>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0" memberValueDatatype="130" unbalanced="0"/>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0" memberValueDatatype="130" unbalanced="0"/>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0" memberValueDatatype="130" unbalanced="0"/>
    <cacheHierarchy uniqueName="[Sales_Table].[City]" caption="City" attribute="1" defaultMemberUniqueName="[Sales_Table].[City].[All]" allUniqueName="[Sales_Table].[City].[All]" dimensionUniqueName="[Sales_Table]" displayFolder="" count="2" memberValueDatatype="130" unbalanced="0">
      <fieldsUsage count="2">
        <fieldUsage x="-1"/>
        <fieldUsage x="2"/>
      </fieldsUsage>
    </cacheHierarchy>
    <cacheHierarchy uniqueName="[Sales_Table].[Country]" caption="Country" attribute="1" defaultMemberUniqueName="[Sales_Table].[Country].[All]" allUniqueName="[Sales_Table].[Country].[All]" dimensionUniqueName="[Sales_Table]" displayFolder="" count="2" memberValueDatatype="130" unbalanced="0">
      <fieldsUsage count="2">
        <fieldUsage x="-1"/>
        <fieldUsage x="0"/>
      </fieldsUsage>
    </cacheHierarchy>
    <cacheHierarchy uniqueName="[Sales_Table].[Territory]" caption="Territory" attribute="1" defaultMemberUniqueName="[Sales_Table].[Territory].[All]" allUniqueName="[Sales_Table].[Territory].[All]" dimensionUniqueName="[Sales_Table]" displayFolder="" count="0" memberValueDatatype="130" unbalanced="0"/>
    <cacheHierarchy uniqueName="[Sales_Table].[Product_Category]" caption="Product_Category" attribute="1" defaultMemberUniqueName="[Sales_Table].[Product_Category].[All]" allUniqueName="[Sales_Table].[Product_Category].[All]" dimensionUniqueName="[Sales_Table]" displayFolder="" count="0" memberValueDatatype="130" unbalanced="0"/>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2" memberValueDatatype="130" unbalanced="0">
      <fieldsUsage count="2">
        <fieldUsage x="-1"/>
        <fieldUsage x="1"/>
      </fieldsUsage>
    </cacheHierarchy>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cacheHierarchy uniqueName="[Measures].[Return_Rate]" caption="Return_Rate" measure="1" displayFolder="" measureGroup="Returns_Table" count="0"/>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oneField="1" hidden="1">
      <fieldsUsage count="1">
        <fieldUsage x="3"/>
      </fieldsUsage>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hidden="1">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hidden="1">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6000.741774884256" createdVersion="5" refreshedVersion="8" minRefreshableVersion="3" recordCount="0" supportSubquery="1" supportAdvancedDrill="1" xr:uid="{22394F80-3631-462D-A661-AB896CD5CDE7}">
  <cacheSource type="external" connectionId="1"/>
  <cacheFields count="6">
    <cacheField name="[Sales_Table].[Country].[Country]" caption="Country" numFmtId="0" hierarchy="58" level="1">
      <sharedItems count="1">
        <s v="USA"/>
      </sharedItems>
    </cacheField>
    <cacheField name="[Sales_Table].[Product_Name].[Product_Name]" caption="Product_Name" numFmtId="0" hierarchy="62" level="1">
      <sharedItems count="10">
        <s v="BabyGrow 1"/>
        <s v="BabyGrow 2"/>
        <s v="Brew Black Coffee"/>
        <s v="BrewSip Classic Coffee"/>
        <s v="Butterly"/>
        <s v="Cold Bean Coffee"/>
        <s v="Milko Gold"/>
        <s v="PastaJoy"/>
        <s v="TinyBite Cereal"/>
        <s v="Zest Lemon Tea"/>
      </sharedItems>
    </cacheField>
    <cacheField name="[Sales_Table].[City].[City]" caption="City" numFmtId="0" hierarchy="57" level="1">
      <sharedItems count="1">
        <s v="Madrid"/>
      </sharedItems>
    </cacheField>
    <cacheField name="[Measures].[Sum of Sales]" caption="Sum of Sales" numFmtId="0" hierarchy="90" level="32767"/>
    <cacheField name="[Sales_Table].[Territory].[Territory]" caption="Territory" numFmtId="0" hierarchy="59" level="1">
      <sharedItems count="1">
        <s v="EMEA"/>
      </sharedItems>
    </cacheField>
    <cacheField name="[Date_Table].[Year].[Year]" caption="Year" numFmtId="0" hierarchy="6" level="1">
      <sharedItems containsSemiMixedTypes="0" containsNonDate="0" containsString="0"/>
    </cacheField>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5"/>
      </fieldsUsage>
    </cacheHierarchy>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0" memberValueDatatype="130" unbalanced="0"/>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0" memberValueDatatype="130" unbalanced="0"/>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0" memberValueDatatype="130" unbalanced="0"/>
    <cacheHierarchy uniqueName="[Marketing_Table].[Year (Quarter)]" caption="Year (Quarter)" attribute="1" defaultMemberUniqueName="[Marketing_Table].[Year (Quarter)].[All]" allUniqueName="[Marketing_Table].[Year (Quarter)].[All]" dimensionUniqueName="[Marketing_Table]" displayFolder="" count="0" memberValueDatatype="130" unbalanced="0"/>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0" memberValueDatatype="130" unbalanced="0"/>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0" memberValueDatatype="130" unbalanced="0"/>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0" memberValueDatatype="130" unbalanced="0"/>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0" memberValueDatatype="130" unbalanced="0"/>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0" memberValueDatatype="130" unbalanced="0"/>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0" memberValueDatatype="130" unbalanced="0"/>
    <cacheHierarchy uniqueName="[Sales_Table].[City]" caption="City" attribute="1" defaultMemberUniqueName="[Sales_Table].[City].[All]" allUniqueName="[Sales_Table].[City].[All]" dimensionUniqueName="[Sales_Table]" displayFolder="" count="2" memberValueDatatype="130" unbalanced="0">
      <fieldsUsage count="2">
        <fieldUsage x="-1"/>
        <fieldUsage x="2"/>
      </fieldsUsage>
    </cacheHierarchy>
    <cacheHierarchy uniqueName="[Sales_Table].[Country]" caption="Country" attribute="1" defaultMemberUniqueName="[Sales_Table].[Country].[All]" allUniqueName="[Sales_Table].[Country].[All]" dimensionUniqueName="[Sales_Table]" displayFolder="" count="2" memberValueDatatype="130" unbalanced="0">
      <fieldsUsage count="2">
        <fieldUsage x="-1"/>
        <fieldUsage x="0"/>
      </fieldsUsage>
    </cacheHierarchy>
    <cacheHierarchy uniqueName="[Sales_Table].[Territory]" caption="Territory" attribute="1" defaultMemberUniqueName="[Sales_Table].[Territory].[All]" allUniqueName="[Sales_Table].[Territory].[All]" dimensionUniqueName="[Sales_Table]" displayFolder="" count="2" memberValueDatatype="130" unbalanced="0">
      <fieldsUsage count="2">
        <fieldUsage x="-1"/>
        <fieldUsage x="4"/>
      </fieldsUsage>
    </cacheHierarchy>
    <cacheHierarchy uniqueName="[Sales_Table].[Product_Category]" caption="Product_Category" attribute="1" defaultMemberUniqueName="[Sales_Table].[Product_Category].[All]" allUniqueName="[Sales_Table].[Product_Category].[All]" dimensionUniqueName="[Sales_Table]" displayFolder="" count="0" memberValueDatatype="130" unbalanced="0"/>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2" memberValueDatatype="130" unbalanced="0">
      <fieldsUsage count="2">
        <fieldUsage x="-1"/>
        <fieldUsage x="1"/>
      </fieldsUsage>
    </cacheHierarchy>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cacheHierarchy uniqueName="[Measures].[Return_Rate]" caption="Return_Rate" measure="1" displayFolder="" measureGroup="Returns_Table" count="0"/>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oneField="1" hidden="1">
      <fieldsUsage count="1">
        <fieldUsage x="3"/>
      </fieldsUsage>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hidden="1">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hidden="1">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6000.741775462964" createdVersion="5" refreshedVersion="8" minRefreshableVersion="3" recordCount="0" supportSubquery="1" supportAdvancedDrill="1" xr:uid="{93B291FE-8B9A-41D0-874A-F88EE1481D6B}">
  <cacheSource type="external" connectionId="1"/>
  <cacheFields count="7">
    <cacheField name="[Sales_Table].[Country].[Country]" caption="Country" numFmtId="0" hierarchy="58" level="1">
      <sharedItems count="1">
        <s v="USA"/>
      </sharedItems>
    </cacheField>
    <cacheField name="[Sales_Table].[Product_Name].[Product_Name]" caption="Product_Name" numFmtId="0" hierarchy="62" level="1">
      <sharedItems count="10">
        <s v="BabyGrow 1"/>
        <s v="BabyGrow 2"/>
        <s v="Brew Black Coffee"/>
        <s v="BrewSip Classic Coffee"/>
        <s v="Butterly"/>
        <s v="Cold Bean Coffee"/>
        <s v="Milko Gold"/>
        <s v="PastaJoy"/>
        <s v="TinyBite Cereal"/>
        <s v="Zest Lemon Tea"/>
      </sharedItems>
    </cacheField>
    <cacheField name="[Sales_Table].[City].[City]" caption="City" numFmtId="0" hierarchy="57" level="1">
      <sharedItems count="1">
        <s v="Madrid"/>
      </sharedItems>
    </cacheField>
    <cacheField name="[Measures].[Sum of Sales]" caption="Sum of Sales" numFmtId="0" hierarchy="90" level="32767"/>
    <cacheField name="[Sales_Table].[Territory].[Territory]" caption="Territory" numFmtId="0" hierarchy="59" level="1">
      <sharedItems count="1">
        <s v="EMEA"/>
      </sharedItems>
    </cacheField>
    <cacheField name="[Sales_Table].[Product_Category].[Product_Category]" caption="Product_Category" numFmtId="0" hierarchy="60" level="1">
      <sharedItems count="1">
        <s v="Beverages"/>
      </sharedItems>
    </cacheField>
    <cacheField name="[Date_Table].[Year].[Year]" caption="Year" numFmtId="0" hierarchy="6" level="1">
      <sharedItems containsSemiMixedTypes="0" containsNonDate="0" containsString="0"/>
    </cacheField>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6"/>
      </fieldsUsage>
    </cacheHierarchy>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0" memberValueDatatype="130" unbalanced="0"/>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0" memberValueDatatype="130" unbalanced="0"/>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0" memberValueDatatype="130" unbalanced="0"/>
    <cacheHierarchy uniqueName="[Marketing_Table].[Year (Quarter)]" caption="Year (Quarter)" attribute="1" defaultMemberUniqueName="[Marketing_Table].[Year (Quarter)].[All]" allUniqueName="[Marketing_Table].[Year (Quarter)].[All]" dimensionUniqueName="[Marketing_Table]" displayFolder="" count="0" memberValueDatatype="130" unbalanced="0"/>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0" memberValueDatatype="130" unbalanced="0"/>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0" memberValueDatatype="130" unbalanced="0"/>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0" memberValueDatatype="130" unbalanced="0"/>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0" memberValueDatatype="130" unbalanced="0"/>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0" memberValueDatatype="130" unbalanced="0"/>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0" memberValueDatatype="130" unbalanced="0"/>
    <cacheHierarchy uniqueName="[Sales_Table].[City]" caption="City" attribute="1" defaultMemberUniqueName="[Sales_Table].[City].[All]" allUniqueName="[Sales_Table].[City].[All]" dimensionUniqueName="[Sales_Table]" displayFolder="" count="2" memberValueDatatype="130" unbalanced="0">
      <fieldsUsage count="2">
        <fieldUsage x="-1"/>
        <fieldUsage x="2"/>
      </fieldsUsage>
    </cacheHierarchy>
    <cacheHierarchy uniqueName="[Sales_Table].[Country]" caption="Country" attribute="1" defaultMemberUniqueName="[Sales_Table].[Country].[All]" allUniqueName="[Sales_Table].[Country].[All]" dimensionUniqueName="[Sales_Table]" displayFolder="" count="2" memberValueDatatype="130" unbalanced="0">
      <fieldsUsage count="2">
        <fieldUsage x="-1"/>
        <fieldUsage x="0"/>
      </fieldsUsage>
    </cacheHierarchy>
    <cacheHierarchy uniqueName="[Sales_Table].[Territory]" caption="Territory" attribute="1" defaultMemberUniqueName="[Sales_Table].[Territory].[All]" allUniqueName="[Sales_Table].[Territory].[All]" dimensionUniqueName="[Sales_Table]" displayFolder="" count="2" memberValueDatatype="130" unbalanced="0">
      <fieldsUsage count="2">
        <fieldUsage x="-1"/>
        <fieldUsage x="4"/>
      </fieldsUsage>
    </cacheHierarchy>
    <cacheHierarchy uniqueName="[Sales_Table].[Product_Category]" caption="Product_Category" attribute="1" defaultMemberUniqueName="[Sales_Table].[Product_Category].[All]" allUniqueName="[Sales_Table].[Product_Category].[All]" dimensionUniqueName="[Sales_Table]" displayFolder="" count="2" memberValueDatatype="130" unbalanced="0">
      <fieldsUsage count="2">
        <fieldUsage x="-1"/>
        <fieldUsage x="5"/>
      </fieldsUsage>
    </cacheHierarchy>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2" memberValueDatatype="130" unbalanced="0">
      <fieldsUsage count="2">
        <fieldUsage x="-1"/>
        <fieldUsage x="1"/>
      </fieldsUsage>
    </cacheHierarchy>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cacheHierarchy uniqueName="[Measures].[Return_Rate]" caption="Return_Rate" measure="1" displayFolder="" measureGroup="Returns_Table" count="0"/>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oneField="1" hidden="1">
      <fieldsUsage count="1">
        <fieldUsage x="3"/>
      </fieldsUsage>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hidden="1">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hidden="1">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6000.741775810187" createdVersion="5" refreshedVersion="8" minRefreshableVersion="3" recordCount="0" supportSubquery="1" supportAdvancedDrill="1" xr:uid="{05CF81F7-8429-4723-8132-710ED6424FA4}">
  <cacheSource type="external" connectionId="1"/>
  <cacheFields count="7">
    <cacheField name="[Sales_Table].[Country].[Country]" caption="Country" numFmtId="0" hierarchy="58" level="1">
      <sharedItems count="1">
        <s v="USA"/>
      </sharedItems>
    </cacheField>
    <cacheField name="[Sales_Table].[Product_Name].[Product_Name]" caption="Product_Name" numFmtId="0" hierarchy="62" level="1">
      <sharedItems count="1">
        <s v="BrewSip Classic Coffee"/>
      </sharedItems>
    </cacheField>
    <cacheField name="[Sales_Table].[City].[City]" caption="City" numFmtId="0" hierarchy="57" level="1">
      <sharedItems count="1">
        <s v="Madrid"/>
      </sharedItems>
    </cacheField>
    <cacheField name="[Measures].[Sum of Sales]" caption="Sum of Sales" numFmtId="0" hierarchy="90" level="32767"/>
    <cacheField name="[Sales_Table].[Territory].[Territory]" caption="Territory" numFmtId="0" hierarchy="59" level="1">
      <sharedItems count="1">
        <s v="EMEA"/>
      </sharedItems>
    </cacheField>
    <cacheField name="[Sales_Table].[Product_Category].[Product_Category]" caption="Product_Category" numFmtId="0" hierarchy="60" level="1">
      <sharedItems count="1">
        <s v="Beverages"/>
      </sharedItems>
    </cacheField>
    <cacheField name="[Date_Table].[Year].[Year]" caption="Year" numFmtId="0" hierarchy="6" level="1">
      <sharedItems containsSemiMixedTypes="0" containsNonDate="0" containsString="0"/>
    </cacheField>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6"/>
      </fieldsUsage>
    </cacheHierarchy>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0" memberValueDatatype="130" unbalanced="0"/>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0" memberValueDatatype="130" unbalanced="0"/>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0" memberValueDatatype="130" unbalanced="0"/>
    <cacheHierarchy uniqueName="[Marketing_Table].[Year (Quarter)]" caption="Year (Quarter)" attribute="1" defaultMemberUniqueName="[Marketing_Table].[Year (Quarter)].[All]" allUniqueName="[Marketing_Table].[Year (Quarter)].[All]" dimensionUniqueName="[Marketing_Table]" displayFolder="" count="0" memberValueDatatype="130" unbalanced="0"/>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0" memberValueDatatype="130" unbalanced="0"/>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0" memberValueDatatype="130" unbalanced="0"/>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0" memberValueDatatype="130" unbalanced="0"/>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0" memberValueDatatype="130" unbalanced="0"/>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0" memberValueDatatype="130" unbalanced="0"/>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0" memberValueDatatype="130" unbalanced="0"/>
    <cacheHierarchy uniqueName="[Sales_Table].[City]" caption="City" attribute="1" defaultMemberUniqueName="[Sales_Table].[City].[All]" allUniqueName="[Sales_Table].[City].[All]" dimensionUniqueName="[Sales_Table]" displayFolder="" count="2" memberValueDatatype="130" unbalanced="0">
      <fieldsUsage count="2">
        <fieldUsage x="-1"/>
        <fieldUsage x="2"/>
      </fieldsUsage>
    </cacheHierarchy>
    <cacheHierarchy uniqueName="[Sales_Table].[Country]" caption="Country" attribute="1" defaultMemberUniqueName="[Sales_Table].[Country].[All]" allUniqueName="[Sales_Table].[Country].[All]" dimensionUniqueName="[Sales_Table]" displayFolder="" count="2" memberValueDatatype="130" unbalanced="0">
      <fieldsUsage count="2">
        <fieldUsage x="-1"/>
        <fieldUsage x="0"/>
      </fieldsUsage>
    </cacheHierarchy>
    <cacheHierarchy uniqueName="[Sales_Table].[Territory]" caption="Territory" attribute="1" defaultMemberUniqueName="[Sales_Table].[Territory].[All]" allUniqueName="[Sales_Table].[Territory].[All]" dimensionUniqueName="[Sales_Table]" displayFolder="" count="2" memberValueDatatype="130" unbalanced="0">
      <fieldsUsage count="2">
        <fieldUsage x="-1"/>
        <fieldUsage x="4"/>
      </fieldsUsage>
    </cacheHierarchy>
    <cacheHierarchy uniqueName="[Sales_Table].[Product_Category]" caption="Product_Category" attribute="1" defaultMemberUniqueName="[Sales_Table].[Product_Category].[All]" allUniqueName="[Sales_Table].[Product_Category].[All]" dimensionUniqueName="[Sales_Table]" displayFolder="" count="2" memberValueDatatype="130" unbalanced="0">
      <fieldsUsage count="2">
        <fieldUsage x="-1"/>
        <fieldUsage x="5"/>
      </fieldsUsage>
    </cacheHierarchy>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2" memberValueDatatype="130" unbalanced="0">
      <fieldsUsage count="2">
        <fieldUsage x="-1"/>
        <fieldUsage x="1"/>
      </fieldsUsage>
    </cacheHierarchy>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cacheHierarchy uniqueName="[Measures].[Return_Rate]" caption="Return_Rate" measure="1" displayFolder="" measureGroup="Returns_Table" count="0"/>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oneField="1" hidden="1">
      <fieldsUsage count="1">
        <fieldUsage x="3"/>
      </fieldsUsage>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hidden="1">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hidden="1">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6000.741776041665" createdVersion="5" refreshedVersion="8" minRefreshableVersion="3" recordCount="0" supportSubquery="1" supportAdvancedDrill="1" xr:uid="{0D6F781A-CEBF-496D-A6A3-D36256059C6E}">
  <cacheSource type="external" connectionId="1"/>
  <cacheFields count="7">
    <cacheField name="[Sales_Table].[Country].[Country]" caption="Country" numFmtId="0" hierarchy="58" level="1">
      <sharedItems count="1">
        <s v="USA"/>
      </sharedItems>
    </cacheField>
    <cacheField name="[Sales_Table].[Product_Name].[Product_Name]" caption="Product_Name" numFmtId="0" hierarchy="62" level="1">
      <sharedItems count="1">
        <s v="BrewSip Classic Coffee"/>
      </sharedItems>
    </cacheField>
    <cacheField name="[Sales_Table].[City].[City]" caption="City" numFmtId="0" hierarchy="57" level="1">
      <sharedItems count="1">
        <s v="Madrid"/>
      </sharedItems>
    </cacheField>
    <cacheField name="[Sales_Table].[Territory].[Territory]" caption="Territory" numFmtId="0" hierarchy="59" level="1">
      <sharedItems count="1">
        <s v="EMEA"/>
      </sharedItems>
    </cacheField>
    <cacheField name="[Sales_Table].[Product_Category].[Product_Category]" caption="Product_Category" numFmtId="0" hierarchy="60" level="1">
      <sharedItems count="1">
        <s v="Beverages"/>
      </sharedItems>
    </cacheField>
    <cacheField name="[Measures].[Sum of Quantity_Ordered 2]" caption="Sum of Quantity_Ordered 2" numFmtId="0" hierarchy="105" level="32767"/>
    <cacheField name="[Date_Table].[Year].[Year]" caption="Year" numFmtId="0" hierarchy="6" level="1">
      <sharedItems containsSemiMixedTypes="0" containsNonDate="0" containsString="0"/>
    </cacheField>
  </cacheFields>
  <cacheHierarchies count="11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6"/>
      </fieldsUsage>
    </cacheHierarchy>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0"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0"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0" memberValueDatatype="130" unbalanced="0"/>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0" memberValueDatatype="130" unbalanced="0"/>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0" memberValueDatatype="130" unbalanced="0"/>
    <cacheHierarchy uniqueName="[Marketing_Table].[Year (Quarter)]" caption="Year (Quarter)" attribute="1" defaultMemberUniqueName="[Marketing_Table].[Year (Quarter)].[All]" allUniqueName="[Marketing_Table].[Year (Quarter)].[All]" dimensionUniqueName="[Marketing_Table]" displayFolder="" count="0" memberValueDatatype="130" unbalanced="0"/>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0"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0" memberValueDatatype="130" unbalanced="0"/>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0" memberValueDatatype="130" unbalanced="0"/>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0" memberValueDatatype="130" unbalanced="0"/>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0" memberValueDatatype="130" unbalanced="0"/>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0" memberValueDatatype="130" unbalanced="0"/>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0" memberValueDatatype="130" unbalanced="0"/>
    <cacheHierarchy uniqueName="[Sales_Table].[City]" caption="City" attribute="1" defaultMemberUniqueName="[Sales_Table].[City].[All]" allUniqueName="[Sales_Table].[City].[All]" dimensionUniqueName="[Sales_Table]" displayFolder="" count="2" memberValueDatatype="130" unbalanced="0">
      <fieldsUsage count="2">
        <fieldUsage x="-1"/>
        <fieldUsage x="2"/>
      </fieldsUsage>
    </cacheHierarchy>
    <cacheHierarchy uniqueName="[Sales_Table].[Country]" caption="Country" attribute="1" defaultMemberUniqueName="[Sales_Table].[Country].[All]" allUniqueName="[Sales_Table].[Country].[All]" dimensionUniqueName="[Sales_Table]" displayFolder="" count="2" memberValueDatatype="130" unbalanced="0">
      <fieldsUsage count="2">
        <fieldUsage x="-1"/>
        <fieldUsage x="0"/>
      </fieldsUsage>
    </cacheHierarchy>
    <cacheHierarchy uniqueName="[Sales_Table].[Territory]" caption="Territory" attribute="1" defaultMemberUniqueName="[Sales_Table].[Territory].[All]" allUniqueName="[Sales_Table].[Territory].[All]" dimensionUniqueName="[Sales_Table]" displayFolder="" count="2" memberValueDatatype="130" unbalanced="0">
      <fieldsUsage count="2">
        <fieldUsage x="-1"/>
        <fieldUsage x="3"/>
      </fieldsUsage>
    </cacheHierarchy>
    <cacheHierarchy uniqueName="[Sales_Table].[Product_Category]" caption="Product_Category" attribute="1" defaultMemberUniqueName="[Sales_Table].[Product_Category].[All]" allUniqueName="[Sales_Table].[Product_Category].[All]" dimensionUniqueName="[Sales_Table]" displayFolder="" count="2" memberValueDatatype="130" unbalanced="0">
      <fieldsUsage count="2">
        <fieldUsage x="-1"/>
        <fieldUsage x="4"/>
      </fieldsUsage>
    </cacheHierarchy>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2" memberValueDatatype="130" unbalanced="0">
      <fieldsUsage count="2">
        <fieldUsage x="-1"/>
        <fieldUsage x="1"/>
      </fieldsUsage>
    </cacheHierarchy>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Avg_Marketing_Spend_Qtr]" caption="Avg_Marketing_Spend_Qtr" measure="1" displayFolder="" measureGroup="Marketing_Table" count="0"/>
    <cacheHierarchy uniqueName="[Measures].[Return_Rate]" caption="Return_Rate" measure="1" displayFolder="" measureGroup="Returns_Table" count="0"/>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y uniqueName="[Measures].[Sum of Sales]" caption="Sum of Sales" measure="1" displayFolder="" measureGroup="Sales_Table" count="0" hidden="1">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hidden="1">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hidden="1">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hidden="1">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hidden="1">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hidden="1">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hidden="1">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hidden="1">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hidden="1">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hidden="1">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oneField="1" hidden="1">
      <fieldsUsage count="1">
        <fieldUsage x="5"/>
      </fieldsUsage>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hidden="1">
      <extLst>
        <ext xmlns:x15="http://schemas.microsoft.com/office/spreadsheetml/2010/11/main" uri="{B97F6D7D-B522-45F9-BDA1-12C45D357490}">
          <x15:cacheHierarchy aggregatedColumn="71"/>
        </ext>
      </extLst>
    </cacheHierarchy>
    <cacheHierarchy uniqueName="[Measures].[Count of Return_ID]" caption="Count of Return_ID" measure="1" displayFolder="" measureGroup="Returns_Table" count="0" hidden="1">
      <extLst>
        <ext xmlns:x15="http://schemas.microsoft.com/office/spreadsheetml/2010/11/main" uri="{B97F6D7D-B522-45F9-BDA1-12C45D357490}">
          <x15:cacheHierarchy aggregatedColumn="35"/>
        </ext>
      </extLst>
    </cacheHierarchy>
    <cacheHierarchy uniqueName="[Measures].[Count of Customer_Name]" caption="Count of Customer_Name" measure="1" displayFolder="" measureGroup="Sales_Table" count="0" hidden="1">
      <extLst>
        <ext xmlns:x15="http://schemas.microsoft.com/office/spreadsheetml/2010/11/main" uri="{B97F6D7D-B522-45F9-BDA1-12C45D357490}">
          <x15:cacheHierarchy aggregatedColumn="56"/>
        </ext>
      </extLst>
    </cacheHierarchy>
    <cacheHierarchy uniqueName="[Measures].[Distinct Count of Customer_Name]" caption="Distinct Count of Customer_Name" measure="1" displayFolder="" measureGroup="Sales_Table" count="0" hidden="1">
      <extLst>
        <ext xmlns:x15="http://schemas.microsoft.com/office/spreadsheetml/2010/11/main" uri="{B97F6D7D-B522-45F9-BDA1-12C45D357490}">
          <x15:cacheHierarchy aggregatedColumn="56"/>
        </ext>
      </extLst>
    </cacheHierarchy>
  </cacheHierarchies>
  <kpis count="0"/>
  <dimensions count="11">
    <dimension name="Customers_Table" uniqueName="[Customers_Table]" caption="Customers_Table"/>
    <dimension name="Date_Table" uniqueName="[Date_Table]" caption="Date_Table"/>
    <dimension name="Deal_Size_Table" uniqueName="[Deal_Size_Table]" caption="Deal_Size_Table"/>
    <dimension name="Location_Table" uniqueName="[Location_Table]" caption="Location_Table"/>
    <dimension name="Marketing_Table" uniqueName="[Marketing_Table]" caption="Marketing_Table"/>
    <dimension measure="1" name="Measures" uniqueName="[Measures]" caption="Measures"/>
    <dimension name="Product_Category_Table" uniqueName="[Product_Category_Table]" caption="Product_Category_Table"/>
    <dimension name="Products_Table" uniqueName="[Products_Table]" caption="Products_Table"/>
    <dimension name="Returns_Table" uniqueName="[Returns_Table]" caption="Returns_Table"/>
    <dimension name="Sales_Table" uniqueName="[Sales_Table]" caption="Sales_Table"/>
    <dimension name="Status_Table" uniqueName="[Status_Table]" caption="Status_Table"/>
  </dimensions>
  <measureGroups count="10">
    <measureGroup name="Customers_Table" caption="Customers_Table"/>
    <measureGroup name="Date_Table" caption="Date_Table"/>
    <measureGroup name="Deal_Size_Table" caption="Deal_Size_Table"/>
    <measureGroup name="Location_Table" caption="Location_Table"/>
    <measureGroup name="Marketing_Table" caption="Marketing_Table"/>
    <measureGroup name="Product_Category_Table" caption="Product_Category_Table"/>
    <measureGroup name="Products_Table" caption="Products_Table"/>
    <measureGroup name="Returns_Table" caption="Returns_Table"/>
    <measureGroup name="Sales_Table" caption="Sales_Table"/>
    <measureGroup name="Status_Table" caption="Status_Table"/>
  </measureGroups>
  <maps count="27">
    <map measureGroup="0" dimension="0"/>
    <map measureGroup="1" dimension="1"/>
    <map measureGroup="2" dimension="2"/>
    <map measureGroup="3" dimension="3"/>
    <map measureGroup="4" dimension="1"/>
    <map measureGroup="4" dimension="4"/>
    <map measureGroup="4" dimension="6"/>
    <map measureGroup="4" dimension="7"/>
    <map measureGroup="5" dimension="6"/>
    <map measureGroup="6" dimension="7"/>
    <map measureGroup="7" dimension="0"/>
    <map measureGroup="7" dimension="1"/>
    <map measureGroup="7" dimension="2"/>
    <map measureGroup="7" dimension="3"/>
    <map measureGroup="7" dimension="6"/>
    <map measureGroup="7" dimension="7"/>
    <map measureGroup="7" dimension="8"/>
    <map measureGroup="7" dimension="10"/>
    <map measureGroup="8" dimension="0"/>
    <map measureGroup="8" dimension="1"/>
    <map measureGroup="8" dimension="2"/>
    <map measureGroup="8" dimension="3"/>
    <map measureGroup="8" dimension="6"/>
    <map measureGroup="8" dimension="7"/>
    <map measureGroup="8" dimension="9"/>
    <map measureGroup="8" dimension="10"/>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shar" refreshedDate="45873.048949768519" createdVersion="3" refreshedVersion="8" minRefreshableVersion="3" recordCount="0" supportSubquery="1" supportAdvancedDrill="1" xr:uid="{142C68D2-1518-4CD3-B30D-59790DB10A68}">
  <cacheSource type="external" connectionId="1">
    <extLst>
      <ext xmlns:x14="http://schemas.microsoft.com/office/spreadsheetml/2009/9/main" uri="{F057638F-6D5F-4e77-A914-E7F072B9BCA8}">
        <x14:sourceConnection name="ThisWorkbookDataModel"/>
      </ext>
    </extLst>
  </cacheSource>
  <cacheFields count="0"/>
  <cacheHierarchies count="107">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Customer_Name]" caption="Customer_Name" attribute="1" defaultMemberUniqueName="[Customers_Table].[Customer_Name].[All]" allUniqueName="[Customers_Table].[Customer_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untry]" caption="Country" attribute="1" defaultMemberUniqueName="[Customers_Table].[Country].[All]" allUniqueName="[Customers_Table].[Country].[All]" dimensionUniqueName="[Customers_Table]" displayFolder="" count="0" memberValueDatatype="130" unbalanced="0"/>
    <cacheHierarchy uniqueName="[Customers_Table].[Territory]" caption="Territory" attribute="1" defaultMemberUniqueName="[Customers_Table].[Territory].[All]" allUniqueName="[Customers_Table].[Territory].[All]" dimensionUniqueName="[Customers_Table]" displayFolder="" count="0"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cacheHierarchy uniqueName="[Date_Table].[Month No.]" caption="Month No." attribute="1" defaultMemberUniqueName="[Date_Table].[Month No.].[All]" allUniqueName="[Date_Table].[Month No.].[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2" memberValueDatatype="130" unbalanced="0"/>
    <cacheHierarchy uniqueName="[Date_Table].[Day]" caption="Day" attribute="1" defaultMemberUniqueName="[Date_Table].[Day].[All]" allUniqueName="[Date_Table].[Day].[All]" dimensionUniqueName="[Date_Table]" displayFolder="" count="0" memberValueDatatype="20" unbalanced="0"/>
    <cacheHierarchy uniqueName="[Date_Table].[Weekday Name]" caption="Weekday Name" attribute="1" defaultMemberUniqueName="[Date_Table].[Weekday Name].[All]" allUniqueName="[Date_Table].[Weekday Name].[All]" dimensionUniqueName="[Date_Table]" displayFolder="" count="0" memberValueDatatype="130" unbalanced="0"/>
    <cacheHierarchy uniqueName="[Date_Table].[Weekend]" caption="Weekend" attribute="1" defaultMemberUniqueName="[Date_Table].[Weekend].[All]" allUniqueName="[Date_Table].[Weekend].[All]" dimensionUniqueName="[Date_Table]" displayFolder="" count="0" memberValueDatatype="20" unbalanced="0"/>
    <cacheHierarchy uniqueName="[Deal_Size_Table].[Deal_Size]" caption="Deal_Size" attribute="1" defaultMemberUniqueName="[Deal_Size_Table].[Deal_Size].[All]" allUniqueName="[Deal_Size_Table].[Deal_Size].[All]" dimensionUniqueName="[Deal_Size_Table]" displayFolder="" count="2" memberValueDatatype="130" unbalanced="0"/>
    <cacheHierarchy uniqueName="[Location_Table].[City]" caption="City" attribute="1" defaultMemberUniqueName="[Location_Table].[City].[All]" allUniqueName="[Location_Table].[City].[All]" dimensionUniqueName="[Location_Table]" displayFolder="" count="0" memberValueDatatype="130" unbalanced="0"/>
    <cacheHierarchy uniqueName="[Location_Table].[Country]" caption="Country" attribute="1" defaultMemberUniqueName="[Location_Table].[Country].[All]" allUniqueName="[Location_Table].[Country].[All]" dimensionUniqueName="[Location_Table]" displayFolder="" count="2" memberValueDatatype="130" unbalanced="0"/>
    <cacheHierarchy uniqueName="[Location_Table].[Territory]" caption="Territory" attribute="1" defaultMemberUniqueName="[Location_Table].[Territory].[All]" allUniqueName="[Location_Table].[Territory].[All]" dimensionUniqueName="[Location_Table]" displayFolder="" count="0" memberValueDatatype="130" unbalanced="0"/>
    <cacheHierarchy uniqueName="[Marketing_Table].[Date]" caption="Date" attribute="1" time="1" defaultMemberUniqueName="[Marketing_Table].[Date].[All]" allUniqueName="[Marketing_Table].[Date].[All]" dimensionUniqueName="[Marketing_Table]" displayFolder="" count="0" memberValueDatatype="7" unbalanced="0"/>
    <cacheHierarchy uniqueName="[Marketing_Table].[Quarter]" caption="Quarter" attribute="1" defaultMemberUniqueName="[Marketing_Table].[Quarter].[All]" allUniqueName="[Marketing_Table].[Quarter].[All]" dimensionUniqueName="[Marketing_Table]" displayFolder="" count="0" memberValueDatatype="130" unbalanced="0"/>
    <cacheHierarchy uniqueName="[Marketing_Table].[Product_Category]" caption="Product_Category" attribute="1" defaultMemberUniqueName="[Marketing_Table].[Product_Category].[All]" allUniqueName="[Marketing_Table].[Product_Category].[All]" dimensionUniqueName="[Marketing_Table]" displayFolder="" count="0" memberValueDatatype="130" unbalanced="0"/>
    <cacheHierarchy uniqueName="[Marketing_Table].[Product_Code]" caption="Product_Code" attribute="1" defaultMemberUniqueName="[Marketing_Table].[Product_Code].[All]" allUniqueName="[Marketing_Table].[Product_Code].[All]" dimensionUniqueName="[Marketing_Table]" displayFolder="" count="0" memberValueDatatype="130" unbalanced="0"/>
    <cacheHierarchy uniqueName="[Marketing_Table].[Product_Name]" caption="Product_Name" attribute="1" defaultMemberUniqueName="[Marketing_Table].[Product_Name].[All]" allUniqueName="[Marketing_Table].[Product_Name].[All]" dimensionUniqueName="[Marketing_Table]" displayFolder="" count="0" memberValueDatatype="130" unbalanced="0"/>
    <cacheHierarchy uniqueName="[Marketing_Table].[Annual Sales]" caption="Annual Sales" attribute="1" defaultMemberUniqueName="[Marketing_Table].[Annual Sales].[All]" allUniqueName="[Marketing_Table].[Annual Sales].[All]" dimensionUniqueName="[Marketing_Table]" displayFolder="" count="0" memberValueDatatype="20" unbalanced="0"/>
    <cacheHierarchy uniqueName="[Marketing_Table].[Annual Marketing_Spend % of Sales]" caption="Annual Marketing_Spend % of Sales" attribute="1" defaultMemberUniqueName="[Marketing_Table].[Annual Marketing_Spend % of Sales].[All]" allUniqueName="[Marketing_Table].[Annual Marketing_Spend % of Sales].[All]" dimensionUniqueName="[Marketing_Table]" displayFolder="" count="0" memberValueDatatype="5" unbalanced="0"/>
    <cacheHierarchy uniqueName="[Marketing_Table].[Amt]" caption="Amt" attribute="1" defaultMemberUniqueName="[Marketing_Table].[Amt].[All]" allUniqueName="[Marketing_Table].[Amt].[All]" dimensionUniqueName="[Marketing_Table]" displayFolder="" count="0" memberValueDatatype="5" unbalanced="0"/>
    <cacheHierarchy uniqueName="[Marketing_Table].[Year (Year)]" caption="Year (Year)" attribute="1" defaultMemberUniqueName="[Marketing_Table].[Year (Year)].[All]" allUniqueName="[Marketing_Table].[Year (Year)].[All]" dimensionUniqueName="[Marketing_Table]" displayFolder="" count="0" memberValueDatatype="130" unbalanced="0"/>
    <cacheHierarchy uniqueName="[Marketing_Table].[Year (Quarter)]" caption="Year (Quarter)" attribute="1" defaultMemberUniqueName="[Marketing_Table].[Year (Quarter)].[All]" allUniqueName="[Marketing_Table].[Year (Quarter)].[All]" dimensionUniqueName="[Marketing_Table]" displayFolder="" count="0" memberValueDatatype="130" unbalanced="0"/>
    <cacheHierarchy uniqueName="[Marketing_Table].[Year (Month)]" caption="Year (Month)" attribute="1" defaultMemberUniqueName="[Marketing_Table].[Year (Month)].[All]" allUniqueName="[Marketing_Table].[Year (Month)].[All]" dimensionUniqueName="[Marketing_Table]" displayFolder="" count="0" memberValueDatatype="130" unbalanced="0"/>
    <cacheHierarchy uniqueName="[Marketing_Table].[Avg_Marketing_Spend_Per_Qtr]" caption="Avg_Marketing_Spend_Per_Qtr" attribute="1" defaultMemberUniqueName="[Marketing_Table].[Avg_Marketing_Spend_Per_Qtr].[All]" allUniqueName="[Marketing_Table].[Avg_Marketing_Spend_Per_Qtr].[All]" dimensionUniqueName="[Marketing_Table]" displayFolder="" count="0" memberValueDatatype="130" unbalanced="0"/>
    <cacheHierarchy uniqueName="[Product_Category_Table].[Product_Category]" caption="Product_Category" attribute="1" defaultMemberUniqueName="[Product_Category_Table].[Product_Category].[All]" allUniqueName="[Product_Category_Table].[Product_Category].[All]" dimensionUniqueName="[Product_Category_Table]" displayFolder="" count="2" memberValueDatatype="130" unbalanced="0"/>
    <cacheHierarchy uniqueName="[Products_Table].[Product_Code]" caption="Product_Code" attribute="1" defaultMemberUniqueName="[Products_Table].[Product_Code].[All]" allUniqueName="[Products_Table].[Product_Code].[All]" dimensionUniqueName="[Products_Table]" displayFolder="" count="0" memberValueDatatype="130" unbalanced="0"/>
    <cacheHierarchy uniqueName="[Products_Table].[Product_Category]" caption="Product_Category" attribute="1" defaultMemberUniqueName="[Products_Table].[Product_Category].[All]" allUniqueName="[Products_Table].[Product_Category].[All]" dimensionUniqueName="[Products_Table]" displayFolder="" count="0" memberValueDatatype="13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Price_Each]" caption="Price_Each" attribute="1" defaultMemberUniqueName="[Products_Table].[Price_Each].[All]" allUniqueName="[Products_Table].[Price_Each].[All]" dimensionUniqueName="[Products_Table]" displayFolder="" count="0" memberValueDatatype="20" unbalanced="0"/>
    <cacheHierarchy uniqueName="[Returns_Table].[Order_Number]" caption="Order_Number" attribute="1" defaultMemberUniqueName="[Returns_Table].[Order_Number].[All]" allUniqueName="[Returns_Table].[Order_Number].[All]" dimensionUniqueName="[Returns_Table]" displayFolder="" count="0" memberValueDatatype="20" unbalanced="0"/>
    <cacheHierarchy uniqueName="[Returns_Table].[Return_ID]" caption="Return_ID" attribute="1" defaultMemberUniqueName="[Returns_Table].[Return_ID].[All]" allUniqueName="[Returns_Table].[Return_ID].[All]" dimensionUniqueName="[Returns_Table]" displayFolder="" count="0" memberValueDatatype="130" unbalanced="0"/>
    <cacheHierarchy uniqueName="[Returns_Table].[Order_Date]" caption="Order_Date" attribute="1" time="1" defaultMemberUniqueName="[Returns_Table].[Order_Date].[All]" allUniqueName="[Returns_Table].[Order_Date].[All]" dimensionUniqueName="[Returns_Table]" displayFolder="" count="0" memberValueDatatype="7" unbalanced="0"/>
    <cacheHierarchy uniqueName="[Returns_Table].[Customer_ID]" caption="Customer_ID" attribute="1" defaultMemberUniqueName="[Returns_Table].[Customer_ID].[All]" allUniqueName="[Returns_Table].[Customer_ID].[All]" dimensionUniqueName="[Returns_Table]" displayFolder="" count="0" memberValueDatatype="130" unbalanced="0"/>
    <cacheHierarchy uniqueName="[Returns_Table].[Customer_Name]" caption="Customer_Name" attribute="1" defaultMemberUniqueName="[Returns_Table].[Customer_Name].[All]" allUniqueName="[Returns_Table].[Customer_Name].[All]" dimensionUniqueName="[Returns_Table]" displayFolder="" count="0" memberValueDatatype="130" unbalanced="0"/>
    <cacheHierarchy uniqueName="[Returns_Table].[City]" caption="City" attribute="1" defaultMemberUniqueName="[Returns_Table].[City].[All]" allUniqueName="[Returns_Table].[City].[All]" dimensionUniqueName="[Returns_Table]" displayFolder="" count="0" memberValueDatatype="130" unbalanced="0"/>
    <cacheHierarchy uniqueName="[Returns_Table].[Country]" caption="Country" attribute="1" defaultMemberUniqueName="[Returns_Table].[Country].[All]" allUniqueName="[Returns_Table].[Country].[All]" dimensionUniqueName="[Returns_Table]" displayFolder="" count="0" memberValueDatatype="130" unbalanced="0"/>
    <cacheHierarchy uniqueName="[Returns_Table].[Territory]" caption="Territory" attribute="1" defaultMemberUniqueName="[Returns_Table].[Territory].[All]" allUniqueName="[Returns_Table].[Territory].[All]" dimensionUniqueName="[Returns_Table]" displayFolder="" count="0" memberValueDatatype="130" unbalanced="0"/>
    <cacheHierarchy uniqueName="[Returns_Table].[Product_Category]" caption="Product_Category" attribute="1" defaultMemberUniqueName="[Returns_Table].[Product_Category].[All]" allUniqueName="[Returns_Table].[Product_Category].[All]" dimensionUniqueName="[Returns_Table]" displayFolder="" count="0" memberValueDatatype="130" unbalanced="0"/>
    <cacheHierarchy uniqueName="[Returns_Table].[Product_Code]" caption="Product_Code" attribute="1" defaultMemberUniqueName="[Returns_Table].[Product_Code].[All]" allUniqueName="[Returns_Table].[Product_Code].[All]" dimensionUniqueName="[Returns_Table]" displayFolder="" count="0" memberValueDatatype="130" unbalanced="0"/>
    <cacheHierarchy uniqueName="[Returns_Table].[Product_Name]" caption="Product_Name" attribute="1" defaultMemberUniqueName="[Returns_Table].[Product_Name].[All]" allUniqueName="[Returns_Table].[Product_Name].[All]" dimensionUniqueName="[Returns_Table]" displayFolder="" count="0" memberValueDatatype="130" unbalanced="0"/>
    <cacheHierarchy uniqueName="[Returns_Table].[Quantity_Ordered]" caption="Quantity_Ordered" attribute="1" defaultMemberUniqueName="[Returns_Table].[Quantity_Ordered].[All]" allUniqueName="[Returns_Table].[Quantity_Ordered].[All]" dimensionUniqueName="[Returns_Table]" displayFolder="" count="0" memberValueDatatype="20" unbalanced="0"/>
    <cacheHierarchy uniqueName="[Returns_Table].[Price_Each]" caption="Price_Each" attribute="1" defaultMemberUniqueName="[Returns_Table].[Price_Each].[All]" allUniqueName="[Returns_Table].[Price_Each].[All]" dimensionUniqueName="[Returns_Table]" displayFolder="" count="0" memberValueDatatype="20" unbalanced="0"/>
    <cacheHierarchy uniqueName="[Returns_Table].[Sales]" caption="Sales" attribute="1" defaultMemberUniqueName="[Returns_Table].[Sales].[All]" allUniqueName="[Returns_Table].[Sales].[All]" dimensionUniqueName="[Returns_Table]" displayFolder="" count="0" memberValueDatatype="20" unbalanced="0"/>
    <cacheHierarchy uniqueName="[Returns_Table].[Deal_Size]" caption="Deal_Size" attribute="1" defaultMemberUniqueName="[Returns_Table].[Deal_Size].[All]" allUniqueName="[Returns_Table].[Deal_Size].[All]" dimensionUniqueName="[Returns_Table]" displayFolder="" count="0" memberValueDatatype="130" unbalanced="0"/>
    <cacheHierarchy uniqueName="[Returns_Table].[Status]" caption="Status" attribute="1" defaultMemberUniqueName="[Returns_Table].[Status].[All]" allUniqueName="[Returns_Table].[Status].[All]" dimensionUniqueName="[Returns_Table]" displayFolder="" count="0" memberValueDatatype="130" unbalanced="0"/>
    <cacheHierarchy uniqueName="[Returns_Table].[Order_Date (Year)]" caption="Order_Date (Year)" attribute="1" defaultMemberUniqueName="[Returns_Table].[Order_Date (Year)].[All]" allUniqueName="[Returns_Table].[Order_Date (Year)].[All]" dimensionUniqueName="[Returns_Table]" displayFolder="" count="0" memberValueDatatype="130" unbalanced="0"/>
    <cacheHierarchy uniqueName="[Returns_Table].[Order_Date (Quarter)]" caption="Order_Date (Quarter)" attribute="1" defaultMemberUniqueName="[Returns_Table].[Order_Date (Quarter)].[All]" allUniqueName="[Returns_Table].[Order_Date (Quarter)].[All]" dimensionUniqueName="[Returns_Table]" displayFolder="" count="0" memberValueDatatype="130" unbalanced="0"/>
    <cacheHierarchy uniqueName="[Returns_Table].[Order_Date (Month)]" caption="Order_Date (Month)" attribute="1" defaultMemberUniqueName="[Returns_Table].[Order_Date (Month)].[All]" allUniqueName="[Returns_Table].[Order_Date (Month)].[All]" dimensionUniqueName="[Returns_Table]" displayFolder="" count="0" memberValueDatatype="130" unbalanced="0"/>
    <cacheHierarchy uniqueName="[Sales_Table].[Order_Number]" caption="Order_Number" attribute="1" defaultMemberUniqueName="[Sales_Table].[Order_Number].[All]" allUniqueName="[Sales_Table].[Order_Number].[All]" dimensionUniqueName="[Sales_Table]" displayFolder="" count="0" memberValueDatatype="20" unbalanced="0"/>
    <cacheHierarchy uniqueName="[Sales_Table].[Order_Date]" caption="Order_Date" attribute="1" time="1" defaultMemberUniqueName="[Sales_Table].[Order_Date].[All]" allUniqueName="[Sales_Table].[Order_Date].[All]" dimensionUniqueName="[Sales_Table]" displayFolder="" count="0" memberValueDatatype="7" unbalanced="0"/>
    <cacheHierarchy uniqueName="[Sales_Table].[Customer_ID]" caption="Customer_ID" attribute="1" defaultMemberUniqueName="[Sales_Table].[Customer_ID].[All]" allUniqueName="[Sales_Table].[Customer_ID].[All]" dimensionUniqueName="[Sales_Table]" displayFolder="" count="0" memberValueDatatype="130" unbalanced="0"/>
    <cacheHierarchy uniqueName="[Sales_Table].[Customer_Name]" caption="Customer_Name" attribute="1" defaultMemberUniqueName="[Sales_Table].[Customer_Name].[All]" allUniqueName="[Sales_Table].[Customer_Name].[All]" dimensionUniqueName="[Sales_Table]" displayFolder="" count="0" memberValueDatatype="130" unbalanced="0"/>
    <cacheHierarchy uniqueName="[Sales_Table].[City]" caption="City" attribute="1" defaultMemberUniqueName="[Sales_Table].[City].[All]" allUniqueName="[Sales_Table].[City].[All]" dimensionUniqueName="[Sales_Table]" displayFolder="" count="0" memberValueDatatype="130" unbalanced="0"/>
    <cacheHierarchy uniqueName="[Sales_Table].[Country]" caption="Country" attribute="1" defaultMemberUniqueName="[Sales_Table].[Country].[All]" allUniqueName="[Sales_Table].[Country].[All]" dimensionUniqueName="[Sales_Table]" displayFolder="" count="0" memberValueDatatype="130" unbalanced="0"/>
    <cacheHierarchy uniqueName="[Sales_Table].[Territory]" caption="Territory" attribute="1" defaultMemberUniqueName="[Sales_Table].[Territory].[All]" allUniqueName="[Sales_Table].[Territory].[All]" dimensionUniqueName="[Sales_Table]" displayFolder="" count="0" memberValueDatatype="130" unbalanced="0"/>
    <cacheHierarchy uniqueName="[Sales_Table].[Product_Category]" caption="Product_Category" attribute="1" defaultMemberUniqueName="[Sales_Table].[Product_Category].[All]" allUniqueName="[Sales_Table].[Product_Category].[All]" dimensionUniqueName="[Sales_Table]" displayFolder="" count="0" memberValueDatatype="130" unbalanced="0"/>
    <cacheHierarchy uniqueName="[Sales_Table].[Product_Code]" caption="Product_Code" attribute="1" defaultMemberUniqueName="[Sales_Table].[Product_Code].[All]" allUniqueName="[Sales_Table].[Product_Code].[All]" dimensionUniqueName="[Sales_Table]" displayFolder="" count="0" memberValueDatatype="130" unbalanced="0"/>
    <cacheHierarchy uniqueName="[Sales_Table].[Product_Name]" caption="Product_Name" attribute="1" defaultMemberUniqueName="[Sales_Table].[Product_Name].[All]" allUniqueName="[Sales_Table].[Product_Name].[All]" dimensionUniqueName="[Sales_Table]" displayFolder="" count="0" memberValueDatatype="130" unbalanced="0"/>
    <cacheHierarchy uniqueName="[Sales_Table].[Quantity_Ordered]" caption="Quantity_Ordered" attribute="1" defaultMemberUniqueName="[Sales_Table].[Quantity_Ordered].[All]" allUniqueName="[Sales_Table].[Quantity_Ordered].[All]" dimensionUniqueName="[Sales_Table]" displayFolder="" count="0" memberValueDatatype="20" unbalanced="0"/>
    <cacheHierarchy uniqueName="[Sales_Table].[Price_Each]" caption="Price_Each" attribute="1" defaultMemberUniqueName="[Sales_Table].[Price_Each].[All]" allUniqueName="[Sales_Table].[Price_Each].[All]" dimensionUniqueName="[Sales_Table]" displayFolder="" count="0" memberValueDatatype="20" unbalanced="0"/>
    <cacheHierarchy uniqueName="[Sales_Table].[Sales]" caption="Sales" attribute="1" defaultMemberUniqueName="[Sales_Table].[Sales].[All]" allUniqueName="[Sales_Table].[Sales].[All]" dimensionUniqueName="[Sales_Table]" displayFolder="" count="0" memberValueDatatype="20" unbalanced="0"/>
    <cacheHierarchy uniqueName="[Sales_Table].[Deal_Size]" caption="Deal_Size" attribute="1" defaultMemberUniqueName="[Sales_Table].[Deal_Size].[All]" allUniqueName="[Sales_Table].[Deal_Size].[All]" dimensionUniqueName="[Sales_Table]" displayFolder="" count="0" memberValueDatatype="130" unbalanced="0"/>
    <cacheHierarchy uniqueName="[Sales_Table].[Status]" caption="Status" attribute="1" defaultMemberUniqueName="[Sales_Table].[Status].[All]" allUniqueName="[Sales_Table].[Status].[All]" dimensionUniqueName="[Sales_Table]" displayFolder="" count="0" memberValueDatatype="130" unbalanced="0"/>
    <cacheHierarchy uniqueName="[Sales_Table].[Order_Date (Year)]" caption="Order_Date (Year)" attribute="1" defaultMemberUniqueName="[Sales_Table].[Order_Date (Year)].[All]" allUniqueName="[Sales_Table].[Order_Date (Year)].[All]" dimensionUniqueName="[Sales_Table]" displayFolder="" count="0" memberValueDatatype="130" unbalanced="0"/>
    <cacheHierarchy uniqueName="[Sales_Table].[Order_Date (Quarter)]" caption="Order_Date (Quarter)" attribute="1" defaultMemberUniqueName="[Sales_Table].[Order_Date (Quarter)].[All]" allUniqueName="[Sales_Table].[Order_Date (Quarter)].[All]" dimensionUniqueName="[Sales_Table]" displayFolder="" count="0" memberValueDatatype="130" unbalanced="0"/>
    <cacheHierarchy uniqueName="[Sales_Table].[Order_Date (Month)]" caption="Order_Date (Month)" attribute="1" defaultMemberUniqueName="[Sales_Table].[Order_Date (Month)].[All]" allUniqueName="[Sales_Table].[Order_Date (Month)].[All]" dimensionUniqueName="[Sales_Table]" displayFolder="" count="0" memberValueDatatype="130" unbalanced="0"/>
    <cacheHierarchy uniqueName="[Sales_Table].[Avg_Sales_Per_Qtr]" caption="Avg_Sales_Per_Qtr" attribute="1" defaultMemberUniqueName="[Sales_Table].[Avg_Sales_Per_Qtr].[All]" allUniqueName="[Sales_Table].[Avg_Sales_Per_Qtr].[All]" dimensionUniqueName="[Sales_Table]" displayFolder="" count="0" memberValueDatatype="130" unbalanced="0"/>
    <cacheHierarchy uniqueName="[Status_Table].[Status]" caption="Status" attribute="1" defaultMemberUniqueName="[Status_Table].[Status].[All]" allUniqueName="[Status_Table].[Status].[All]" dimensionUniqueName="[Status_Table]" displayFolder="" count="0" memberValueDatatype="130" unbalanced="0"/>
    <cacheHierarchy uniqueName="[Marketing_Table].[Year (Month Index)]" caption="Year (Month Index)" attribute="1" defaultMemberUniqueName="[Marketing_Table].[Year (Month Index)].[All]" allUniqueName="[Marketing_Table].[Year (Month Index)].[All]" dimensionUniqueName="[Marketing_Table]" displayFolder="" count="0" memberValueDatatype="20" unbalanced="0" hidden="1"/>
    <cacheHierarchy uniqueName="[Returns_Table].[Order_Date (Month Index)]" caption="Order_Date (Month Index)" attribute="1" defaultMemberUniqueName="[Returns_Table].[Order_Date (Month Index)].[All]" allUniqueName="[Returns_Table].[Order_Date (Month Index)].[All]" dimensionUniqueName="[Returns_Table]" displayFolder="" count="0" memberValueDatatype="20" unbalanced="0" hidden="1"/>
    <cacheHierarchy uniqueName="[Sales_Table].[Order_Date (Month Index)]" caption="Order_Date (Month Index)" attribute="1" defaultMemberUniqueName="[Sales_Table].[Order_Date (Month Index)].[All]" allUniqueName="[Sales_Table].[Order_Date (Month Index)].[All]" dimensionUniqueName="[Sales_Table]" displayFolder="" count="0" memberValueDatatype="20" unbalanced="0" hidden="1"/>
    <cacheHierarchy uniqueName="[Measures].[Sum of Sales]" caption="Sum of Sales" measure="1" displayFolder="" measureGroup="Sales_Table" count="0">
      <extLst>
        <ext xmlns:x15="http://schemas.microsoft.com/office/spreadsheetml/2010/11/main" uri="{B97F6D7D-B522-45F9-BDA1-12C45D357490}">
          <x15:cacheHierarchy aggregatedColumn="65"/>
        </ext>
      </extLst>
    </cacheHierarchy>
    <cacheHierarchy uniqueName="[Measures].[Sum of Annual Marketing_Spend % of Sales]" caption="Sum of Annual Marketing_Spend % of Sales" measure="1" displayFolder="" measureGroup="Marketing_Table" count="0">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_Table" count="0">
      <extLst>
        <ext xmlns:x15="http://schemas.microsoft.com/office/spreadsheetml/2010/11/main" uri="{B97F6D7D-B522-45F9-BDA1-12C45D357490}">
          <x15:cacheHierarchy aggregatedColumn="49"/>
        </ext>
      </extLst>
    </cacheHierarchy>
    <cacheHierarchy uniqueName="[Measures].[Sum of Amt]" caption="Sum of Amt" measure="1" displayFolder="" measureGroup="Marketing_Table" count="0">
      <extLst>
        <ext xmlns:x15="http://schemas.microsoft.com/office/spreadsheetml/2010/11/main" uri="{B97F6D7D-B522-45F9-BDA1-12C45D357490}">
          <x15:cacheHierarchy aggregatedColumn="24"/>
        </ext>
      </extLst>
    </cacheHierarchy>
    <cacheHierarchy uniqueName="[Measures].[Sum of Annual Sales]" caption="Sum of Annual Sales" measure="1" displayFolder="" measureGroup="Marketing_Table" count="0">
      <extLst>
        <ext xmlns:x15="http://schemas.microsoft.com/office/spreadsheetml/2010/11/main" uri="{B97F6D7D-B522-45F9-BDA1-12C45D357490}">
          <x15:cacheHierarchy aggregatedColumn="22"/>
        </ext>
      </extLst>
    </cacheHierarchy>
    <cacheHierarchy uniqueName="[Measures].[Count of Deal_Size]" caption="Count of Deal_Size" measure="1" displayFolder="" measureGroup="Sales_Table" count="0">
      <extLst>
        <ext xmlns:x15="http://schemas.microsoft.com/office/spreadsheetml/2010/11/main" uri="{B97F6D7D-B522-45F9-BDA1-12C45D357490}">
          <x15:cacheHierarchy aggregatedColumn="66"/>
        </ext>
      </extLst>
    </cacheHierarchy>
    <cacheHierarchy uniqueName="[Measures].[Distinct Count of Deal_Size]" caption="Distinct Count of Deal_Size" measure="1" displayFolder="" measureGroup="Sales_Table" count="0">
      <extLst>
        <ext xmlns:x15="http://schemas.microsoft.com/office/spreadsheetml/2010/11/main" uri="{B97F6D7D-B522-45F9-BDA1-12C45D357490}">
          <x15:cacheHierarchy aggregatedColumn="66"/>
        </ext>
      </extLst>
    </cacheHierarchy>
    <cacheHierarchy uniqueName="[Measures].[Count of Status 2]" caption="Count of Status 2" measure="1" displayFolder="" measureGroup="Sales_Table" count="0">
      <extLst>
        <ext xmlns:x15="http://schemas.microsoft.com/office/spreadsheetml/2010/11/main" uri="{B97F6D7D-B522-45F9-BDA1-12C45D357490}">
          <x15:cacheHierarchy aggregatedColumn="67"/>
        </ext>
      </extLst>
    </cacheHierarchy>
    <cacheHierarchy uniqueName="[Measures].[Sum of Sales 2]" caption="Sum of Sales 2" measure="1" displayFolder="" measureGroup="Returns_Table" count="0">
      <extLst>
        <ext xmlns:x15="http://schemas.microsoft.com/office/spreadsheetml/2010/11/main" uri="{B97F6D7D-B522-45F9-BDA1-12C45D357490}">
          <x15:cacheHierarchy aggregatedColumn="47"/>
        </ext>
      </extLst>
    </cacheHierarchy>
    <cacheHierarchy uniqueName="[Measures].[Average of Annual Marketing_Spend % of Sales]" caption="Average of Annual Marketing_Spend % of Sales" measure="1" displayFolder="" measureGroup="Marketing_Table" count="0">
      <extLst>
        <ext xmlns:x15="http://schemas.microsoft.com/office/spreadsheetml/2010/11/main" uri="{B97F6D7D-B522-45F9-BDA1-12C45D357490}">
          <x15:cacheHierarchy aggregatedColumn="23"/>
        </ext>
      </extLst>
    </cacheHierarchy>
    <cacheHierarchy uniqueName="[Measures].[Distinct Count of Annual Marketing_Spend % of Sales]" caption="Distinct Count of Annual Marketing_Spend % of Sales" measure="1" displayFolder="" measureGroup="Marketing_Table" count="0">
      <extLst>
        <ext xmlns:x15="http://schemas.microsoft.com/office/spreadsheetml/2010/11/main" uri="{B97F6D7D-B522-45F9-BDA1-12C45D357490}">
          <x15:cacheHierarchy aggregatedColumn="23"/>
        </ext>
      </extLst>
    </cacheHierarchy>
    <cacheHierarchy uniqueName="[Measures].[Sum of Year]" caption="Sum of Year" measure="1" displayFolder="" measureGroup="Date_Table" count="0">
      <extLst>
        <ext xmlns:x15="http://schemas.microsoft.com/office/spreadsheetml/2010/11/main" uri="{B97F6D7D-B522-45F9-BDA1-12C45D357490}">
          <x15:cacheHierarchy aggregatedColumn="6"/>
        </ext>
      </extLst>
    </cacheHierarchy>
    <cacheHierarchy uniqueName="[Measures].[Average of Amt]" caption="Average of Amt" measure="1" displayFolder="" measureGroup="Marketing_Table" count="0">
      <extLst>
        <ext xmlns:x15="http://schemas.microsoft.com/office/spreadsheetml/2010/11/main" uri="{B97F6D7D-B522-45F9-BDA1-12C45D357490}">
          <x15:cacheHierarchy aggregatedColumn="24"/>
        </ext>
      </extLst>
    </cacheHierarchy>
    <cacheHierarchy uniqueName="[Measures].[Sum of Quantity_Ordered]" caption="Sum of Quantity_Ordered" measure="1" displayFolder="" measureGroup="Returns_Table" count="0">
      <extLst>
        <ext xmlns:x15="http://schemas.microsoft.com/office/spreadsheetml/2010/11/main" uri="{B97F6D7D-B522-45F9-BDA1-12C45D357490}">
          <x15:cacheHierarchy aggregatedColumn="45"/>
        </ext>
      </extLst>
    </cacheHierarchy>
    <cacheHierarchy uniqueName="[Measures].[Count of Avg_Marketing_Spend_Per_Qtr]" caption="Count of Avg_Marketing_Spend_Per_Qtr" measure="1" displayFolder="" measureGroup="Marketing_Table" count="0">
      <extLst>
        <ext xmlns:x15="http://schemas.microsoft.com/office/spreadsheetml/2010/11/main" uri="{B97F6D7D-B522-45F9-BDA1-12C45D357490}">
          <x15:cacheHierarchy aggregatedColumn="28"/>
        </ext>
      </extLst>
    </cacheHierarchy>
    <cacheHierarchy uniqueName="[Measures].[Sum of Quantity_Ordered 2]" caption="Sum of Quantity_Ordered 2" measure="1" displayFolder="" measureGroup="Sales_Table" count="0">
      <extLst>
        <ext xmlns:x15="http://schemas.microsoft.com/office/spreadsheetml/2010/11/main" uri="{B97F6D7D-B522-45F9-BDA1-12C45D357490}">
          <x15:cacheHierarchy aggregatedColumn="63"/>
        </ext>
      </extLst>
    </cacheHierarchy>
    <cacheHierarchy uniqueName="[Measures].[Count of Avg_Sales_Per_Qtr]" caption="Count of Avg_Sales_Per_Qtr" measure="1" displayFolder="" measureGroup="Sales_Table" count="0">
      <extLst>
        <ext xmlns:x15="http://schemas.microsoft.com/office/spreadsheetml/2010/11/main" uri="{B97F6D7D-B522-45F9-BDA1-12C45D357490}">
          <x15:cacheHierarchy aggregatedColumn="71"/>
        </ext>
      </extLst>
    </cacheHierarchy>
    <cacheHierarchy uniqueName="[Measures].[Avg_Marketing_Spend_Qtr]" caption="Avg_Marketing_Spend_Qtr" measure="1" displayFolder="" measureGroup="Marketing_Table" count="0"/>
    <cacheHierarchy uniqueName="[Measures].[Return_Rate]" caption="Return_Rate" measure="1" displayFolder="" measureGroup="Returns_Table" count="0"/>
    <cacheHierarchy uniqueName="[Measures].[Measure_Avg_Sales_Per_Qtr]" caption="Measure_Avg_Sales_Per_Qtr" measure="1" displayFolder="" measureGroup="Sales_Table" count="0"/>
    <cacheHierarchy uniqueName="[Measures].[__XL_Count Sales_Table]" caption="__XL_Count Sales_Table" measure="1" displayFolder="" measureGroup="Sales_Table" count="0" hidden="1"/>
    <cacheHierarchy uniqueName="[Measures].[__XL_Count Marketing_Table]" caption="__XL_Count Marketing_Table" measure="1" displayFolder="" measureGroup="Marketing_Table" count="0" hidden="1"/>
    <cacheHierarchy uniqueName="[Measures].[__XL_Count Customers_Table]" caption="__XL_Count Customers_Table" measure="1" displayFolder="" measureGroup="Customers_Table" count="0" hidden="1"/>
    <cacheHierarchy uniqueName="[Measures].[__XL_Count Products_Table]" caption="__XL_Count Products_Table" measure="1" displayFolder="" measureGroup="Products_Table" count="0" hidden="1"/>
    <cacheHierarchy uniqueName="[Measures].[__XL_Count Returns_Table]" caption="__XL_Count Returns_Table" measure="1" displayFolder="" measureGroup="Returns_Table" count="0" hidden="1"/>
    <cacheHierarchy uniqueName="[Measures].[__XL_Count Date_Table]" caption="__XL_Count Date_Table" measure="1" displayFolder="" measureGroup="Date_Table" count="0" hidden="1"/>
    <cacheHierarchy uniqueName="[Measures].[__XL_Count Location_Table]" caption="__XL_Count Location_Table" measure="1" displayFolder="" measureGroup="Location_Table" count="0" hidden="1"/>
    <cacheHierarchy uniqueName="[Measures].[__XL_Count Product_Category_Table]" caption="__XL_Count Product_Category_Table" measure="1" displayFolder="" measureGroup="Product_Category_Table" count="0" hidden="1"/>
    <cacheHierarchy uniqueName="[Measures].[__XL_Count Deal_Size_Table]" caption="__XL_Count Deal_Size_Table" measure="1" displayFolder="" measureGroup="Deal_Size_Table" count="0" hidden="1"/>
    <cacheHierarchy uniqueName="[Measures].[__XL_Count Status_Table]" caption="__XL_Count Status_Table" measure="1" displayFolder="" measureGroup="Status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9944688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F9397B-703C-4FF5-8DC7-827FB51A68B0}" name="PivotTable2" cacheId="0" applyNumberFormats="0" applyBorderFormats="0" applyFontFormats="0" applyPatternFormats="0" applyAlignmentFormats="0" applyWidthHeightFormats="1" dataCaption="Values" tag="77b9c858-676e-4bc4-82b4-4339e17cdca0" updatedVersion="8" minRefreshableVersion="3" showDrill="0" useAutoFormatting="1" subtotalHiddenItems="1" itemPrintTitles="1" createdVersion="5" indent="0" outline="1" outlineData="1" multipleFieldFilters="0" chartFormat="31">
  <location ref="BS6:BT25" firstHeaderRow="1" firstDataRow="1" firstDataCol="1"/>
  <pivotFields count="3">
    <pivotField dataField="1" subtotalTop="0" showAll="0" defaultSubtotal="0"/>
    <pivotField axis="axisRow" allDrilled="1" subtotalTop="0" showAll="0" dataSourceSort="1" defaultAttributeDrillState="1">
      <items count="5">
        <item x="0"/>
        <item x="1"/>
        <item x="2"/>
        <item x="3"/>
        <item t="default"/>
      </items>
    </pivotField>
    <pivotField axis="axisRow" allDrilled="1" subtotalTop="0" showAll="0" dataSourceSort="1" defaultAttributeDrillState="1">
      <items count="4">
        <item x="0"/>
        <item x="1"/>
        <item x="2"/>
        <item t="default"/>
      </items>
    </pivotField>
  </pivotFields>
  <rowFields count="2">
    <field x="2"/>
    <field x="1"/>
  </rowFields>
  <rowItems count="19">
    <i>
      <x/>
    </i>
    <i r="1">
      <x/>
    </i>
    <i r="1">
      <x v="1"/>
    </i>
    <i r="1">
      <x v="2"/>
    </i>
    <i r="1">
      <x v="3"/>
    </i>
    <i t="default">
      <x/>
    </i>
    <i>
      <x v="1"/>
    </i>
    <i r="1">
      <x/>
    </i>
    <i r="1">
      <x v="1"/>
    </i>
    <i r="1">
      <x v="2"/>
    </i>
    <i r="1">
      <x v="3"/>
    </i>
    <i t="default">
      <x v="1"/>
    </i>
    <i>
      <x v="2"/>
    </i>
    <i r="1">
      <x/>
    </i>
    <i r="1">
      <x v="1"/>
    </i>
    <i r="1">
      <x v="2"/>
    </i>
    <i r="1">
      <x v="3"/>
    </i>
    <i t="default">
      <x v="2"/>
    </i>
    <i t="grand">
      <x/>
    </i>
  </rowItems>
  <colItems count="1">
    <i/>
  </colItems>
  <dataFields count="1">
    <dataField name="Sum of Sales" fld="0" baseField="0" baseItem="0"/>
  </dataFields>
  <formats count="6">
    <format dxfId="99">
      <pivotArea grandRow="1" outline="0" collapsedLevelsAreSubtotals="1" fieldPosition="0"/>
    </format>
    <format dxfId="98">
      <pivotArea collapsedLevelsAreSubtotals="1" fieldPosition="0">
        <references count="2">
          <reference field="1" count="0"/>
          <reference field="2" count="1" selected="0">
            <x v="0"/>
          </reference>
        </references>
      </pivotArea>
    </format>
    <format dxfId="97">
      <pivotArea collapsedLevelsAreSubtotals="1" fieldPosition="0">
        <references count="1">
          <reference field="2" count="1">
            <x v="1"/>
          </reference>
        </references>
      </pivotArea>
    </format>
    <format dxfId="96">
      <pivotArea collapsedLevelsAreSubtotals="1" fieldPosition="0">
        <references count="2">
          <reference field="1" count="0"/>
          <reference field="2" count="1" selected="0">
            <x v="1"/>
          </reference>
        </references>
      </pivotArea>
    </format>
    <format dxfId="95">
      <pivotArea collapsedLevelsAreSubtotals="1" fieldPosition="0">
        <references count="1">
          <reference field="2" count="1">
            <x v="2"/>
          </reference>
        </references>
      </pivotArea>
    </format>
    <format dxfId="94">
      <pivotArea collapsedLevelsAreSubtotals="1" fieldPosition="0">
        <references count="2">
          <reference field="1" count="0"/>
          <reference field="2" count="1" selected="0">
            <x v="2"/>
          </reference>
        </references>
      </pivotArea>
    </format>
  </formats>
  <chartFormats count="6">
    <chartFormat chart="0"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26" format="8"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8"/>
    <rowHierarchyUsage hierarchyUsage="6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activeTabTopLevelEntity name="[Marketing_Table]"/>
      </x15:pivotTableUISettings>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C7D46A-727F-43F0-A349-0A89A00B7DB2}" name="PivotTable6" cacheId="6" applyNumberFormats="0" applyBorderFormats="0" applyFontFormats="0" applyPatternFormats="0" applyAlignmentFormats="0" applyWidthHeightFormats="1" dataCaption="Values" tag="77b9c858-676e-4bc4-82b4-4339e17cdca0" updatedVersion="8" minRefreshableVersion="3" showDrill="0" useAutoFormatting="1" subtotalHiddenItems="1" itemPrintTitles="1" createdVersion="5" indent="0" outline="1" outlineData="1" multipleFieldFilters="0" chartFormat="45">
  <location ref="EF6:EG17" firstHeaderRow="1" firstDataRow="1" firstDataCol="1"/>
  <pivotFields count="5">
    <pivotField dataField="1" subtotalTop="0" showAll="0" defaultSubtotal="0"/>
    <pivotField allDrilled="1" subtotalTop="0"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llDrilled="1" subtotalTop="0" showAll="0" sortType="ascending" defaultAttributeDrillState="1">
      <items count="20">
        <item x="0"/>
        <item x="1"/>
        <item x="2"/>
        <item x="3"/>
        <item x="4"/>
        <item x="5"/>
        <item x="6"/>
        <item x="7"/>
        <item x="8"/>
        <item x="9"/>
        <item x="10"/>
        <item x="11"/>
        <item x="12"/>
        <item x="13"/>
        <item x="14"/>
        <item x="15"/>
        <item x="16"/>
        <item x="17"/>
        <item x="18"/>
        <item t="default"/>
      </items>
      <autoSortScope>
        <pivotArea dataOnly="0" outline="0" fieldPosition="0">
          <references count="1">
            <reference field="4294967294" count="1" selected="0">
              <x v="0"/>
            </reference>
          </references>
        </pivotArea>
      </autoSortScope>
    </pivotField>
    <pivotField allDrilled="1" subtotalTop="0" showAll="0"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axis="axisRow" allDrilled="1" subtotalTop="0"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s>
  <rowFields count="1">
    <field x="4"/>
  </rowFields>
  <rowItems count="11">
    <i>
      <x v="4"/>
    </i>
    <i>
      <x v="7"/>
    </i>
    <i>
      <x v="9"/>
    </i>
    <i>
      <x v="8"/>
    </i>
    <i>
      <x/>
    </i>
    <i>
      <x v="6"/>
    </i>
    <i>
      <x v="1"/>
    </i>
    <i>
      <x v="2"/>
    </i>
    <i>
      <x v="5"/>
    </i>
    <i>
      <x v="3"/>
    </i>
    <i t="grand">
      <x/>
    </i>
  </rowItems>
  <colItems count="1">
    <i/>
  </colItems>
  <dataFields count="1">
    <dataField name="Sum of Sales" fld="0" baseField="0" baseItem="0"/>
  </dataFields>
  <formats count="2">
    <format dxfId="101">
      <pivotArea grandRow="1" outline="0" collapsedLevelsAreSubtotals="1" fieldPosition="0"/>
    </format>
    <format dxfId="100">
      <pivotArea collapsedLevelsAreSubtotals="1" fieldPosition="0">
        <references count="1">
          <reference field="4" count="0"/>
        </references>
      </pivotArea>
    </format>
  </formats>
  <chartFormats count="12">
    <chartFormat chart="0"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26" format="8"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90">
      <autoFilter ref="A1">
        <filterColumn colId="0">
          <top10 val="10" filterVal="10"/>
        </filterColumn>
      </autoFilter>
    </filter>
    <filter fld="4" type="count" id="2" iMeasureHier="90">
      <autoFilter ref="A1">
        <filterColumn colId="0">
          <top10 val="10" filterVal="10"/>
        </filterColumn>
      </autoFilter>
    </filter>
  </filters>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activeTabTopLevelEntity name="[Marketing_Table]"/>
      </x15:pivotTableUISettings>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81384C-C55B-4871-92CF-3EB929B4DD73}" name="Return By City" cacheId="19" applyNumberFormats="0" applyBorderFormats="0" applyFontFormats="0" applyPatternFormats="0" applyAlignmentFormats="0" applyWidthHeightFormats="1" dataCaption="Values" tag="503517a6-c1a6-4e03-a5bb-e5485acafdbe" updatedVersion="8" minRefreshableVersion="3" showDrill="0" useAutoFormatting="1" subtotalHiddenItems="1" itemPrintTitles="1" createdVersion="5" indent="0" outline="1" outlineData="1" multipleFieldFilters="0" chartFormat="28">
  <location ref="P4:Q15"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5"/>
    </i>
    <i>
      <x v="3"/>
    </i>
    <i>
      <x v="7"/>
    </i>
    <i>
      <x v="8"/>
    </i>
    <i>
      <x v="1"/>
    </i>
    <i>
      <x v="2"/>
    </i>
    <i>
      <x/>
    </i>
    <i>
      <x v="9"/>
    </i>
    <i>
      <x v="6"/>
    </i>
    <i>
      <x v="4"/>
    </i>
    <i t="grand">
      <x/>
    </i>
  </rowItems>
  <colItems count="1">
    <i/>
  </colItems>
  <dataFields count="1">
    <dataField name="Sum of Quantity_Ordered" fld="1" baseField="0" baseItem="0"/>
  </dataFields>
  <formats count="2">
    <format dxfId="103">
      <pivotArea outline="0" collapsedLevelsAreSubtotals="1" fieldPosition="0"/>
    </format>
    <format dxfId="102">
      <pivotArea collapsedLevelsAreSubtotals="1" fieldPosition="0">
        <references count="1">
          <reference field="0" count="0"/>
        </references>
      </pivotArea>
    </format>
  </formats>
  <chartFormats count="5">
    <chartFormat chart="6" format="1" series="1">
      <pivotArea type="data" outline="0" fieldPosition="0">
        <references count="1">
          <reference field="4294967294" count="1" selected="0">
            <x v="0"/>
          </reference>
        </references>
      </pivotArea>
    </chartFormat>
    <chartFormat chart="27" format="14" series="1">
      <pivotArea type="data" outline="0" fieldPosition="0">
        <references count="1">
          <reference field="4294967294" count="1" selected="0">
            <x v="0"/>
          </reference>
        </references>
      </pivotArea>
    </chartFormat>
    <chartFormat chart="27" format="15">
      <pivotArea type="data" outline="0" fieldPosition="0">
        <references count="2">
          <reference field="4294967294" count="1" selected="0">
            <x v="0"/>
          </reference>
          <reference field="0" count="1" selected="0">
            <x v="9"/>
          </reference>
        </references>
      </pivotArea>
    </chartFormat>
    <chartFormat chart="27" format="16">
      <pivotArea type="data" outline="0" fieldPosition="0">
        <references count="2">
          <reference field="4294967294" count="1" selected="0">
            <x v="0"/>
          </reference>
          <reference field="0" count="1" selected="0">
            <x v="6"/>
          </reference>
        </references>
      </pivotArea>
    </chartFormat>
    <chartFormat chart="27" format="17">
      <pivotArea type="data" outline="0" fieldPosition="0">
        <references count="2">
          <reference field="4294967294" count="1" selected="0">
            <x v="0"/>
          </reference>
          <reference field="0" count="1" selected="0">
            <x v="4"/>
          </reference>
        </references>
      </pivotArea>
    </chartFormat>
  </chart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92">
      <autoFilter ref="A1">
        <filterColumn colId="0">
          <top10 val="10" filterVal="10"/>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Returns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2A4AA2-3A9B-41CE-A542-B4AB86C64672}" name="Marketing Spend(Amt) On Products" cacheId="23" applyNumberFormats="0" applyBorderFormats="0" applyFontFormats="0" applyPatternFormats="0" applyAlignmentFormats="0" applyWidthHeightFormats="1" dataCaption="Values" tag="9fe7b7d8-91d2-4392-87ac-26e5899e0dfe" updatedVersion="8" minRefreshableVersion="3" showDrill="0" useAutoFormatting="1" subtotalHiddenItems="1" itemPrintTitles="1" createdVersion="5" indent="0" outline="1" outlineData="1" multipleFieldFilters="0" chartFormat="51">
  <location ref="AK26:AL37"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11">
    <i>
      <x v="5"/>
    </i>
    <i>
      <x v="7"/>
    </i>
    <i>
      <x v="8"/>
    </i>
    <i>
      <x v="6"/>
    </i>
    <i>
      <x v="9"/>
    </i>
    <i>
      <x/>
    </i>
    <i>
      <x v="1"/>
    </i>
    <i>
      <x v="4"/>
    </i>
    <i>
      <x v="2"/>
    </i>
    <i>
      <x v="3"/>
    </i>
    <i t="grand">
      <x/>
    </i>
  </rowItems>
  <colItems count="1">
    <i/>
  </colItems>
  <dataFields count="1">
    <dataField name="Sum of Amt" fld="2" baseField="0" baseItem="0" numFmtId="164"/>
  </dataFields>
  <formats count="2">
    <format dxfId="105">
      <pivotArea grandRow="1" outline="0" collapsedLevelsAreSubtotals="1" fieldPosition="0"/>
    </format>
    <format dxfId="104">
      <pivotArea outline="0" collapsedLevelsAreSubtotals="1" fieldPosition="0"/>
    </format>
  </formats>
  <chartFormats count="9">
    <chartFormat chart="23"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50" format="14" series="1">
      <pivotArea type="data" outline="0" fieldPosition="0">
        <references count="1">
          <reference field="4294967294" count="1" selected="0">
            <x v="0"/>
          </reference>
        </references>
      </pivotArea>
    </chartFormat>
    <chartFormat chart="50" format="15">
      <pivotArea type="data" outline="0" fieldPosition="0">
        <references count="2">
          <reference field="4294967294" count="1" selected="0">
            <x v="0"/>
          </reference>
          <reference field="3" count="1" selected="0">
            <x v="4"/>
          </reference>
        </references>
      </pivotArea>
    </chartFormat>
    <chartFormat chart="50" format="16">
      <pivotArea type="data" outline="0" fieldPosition="0">
        <references count="2">
          <reference field="4294967294" count="1" selected="0">
            <x v="0"/>
          </reference>
          <reference field="3" count="1" selected="0">
            <x v="2"/>
          </reference>
        </references>
      </pivotArea>
    </chartFormat>
    <chartFormat chart="50" format="17">
      <pivotArea type="data" outline="0" fieldPosition="0">
        <references count="2">
          <reference field="4294967294" count="1" selected="0">
            <x v="0"/>
          </reference>
          <reference field="3" count="1" selected="0">
            <x v="3"/>
          </reference>
        </references>
      </pivotArea>
    </chartFormat>
  </chart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Deal_Size"/>
    <pivotHierarchy dragToData="1"/>
    <pivotHierarchy dragToData="1"/>
    <pivotHierarchy dragToData="1" caption="Average of Annual Marketing_Spend % of Sales"/>
    <pivotHierarchy dragToData="1" caption="Distinct Count of Annual Marketing_Spend % of 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90">
      <autoFilter ref="A1">
        <filterColumn colId="0">
          <top10 val="10" filterVal="10"/>
        </filterColumn>
      </autoFilter>
    </filter>
    <filter fld="1" type="count" id="2" iMeasureHier="90">
      <autoFilter ref="A1">
        <filterColumn colId="0">
          <top10 val="10" filterVal="10"/>
        </filterColumn>
      </autoFilter>
    </filter>
    <filter fld="3" type="count" id="3" iMeasureHier="93">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Returns_Table]"/>
        <x15:activeTabTopLevelEntity name="[Marketing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6E4E87-BD5A-4229-9AA4-F365006628BD}" name="PivotTable4" cacheId="4" applyNumberFormats="0" applyBorderFormats="0" applyFontFormats="0" applyPatternFormats="0" applyAlignmentFormats="0" applyWidthHeightFormats="1" dataCaption="Values" tag="77b9c858-676e-4bc4-82b4-4339e17cdca0" updatedVersion="8" minRefreshableVersion="3" showDrill="0" useAutoFormatting="1" subtotalHiddenItems="1" itemPrintTitles="1" createdVersion="5" indent="0" outline="1" outlineData="1" multipleFieldFilters="0" chartFormat="36">
  <location ref="CV6:CW26" firstHeaderRow="1" firstDataRow="1" firstDataCol="1"/>
  <pivotFields count="3">
    <pivotField dataField="1" subtotalTop="0" showAll="0" defaultSubtotal="0"/>
    <pivotField allDrilled="1" subtotalTop="0"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xis="axisRow" allDrilled="1" subtotalTop="0" showAll="0" sortType="ascending" defaultAttributeDrillState="1">
      <items count="20">
        <item x="0"/>
        <item x="1"/>
        <item x="2"/>
        <item x="3"/>
        <item x="4"/>
        <item x="5"/>
        <item x="6"/>
        <item x="7"/>
        <item x="8"/>
        <item x="9"/>
        <item x="10"/>
        <item x="11"/>
        <item x="12"/>
        <item x="13"/>
        <item x="14"/>
        <item x="15"/>
        <item x="16"/>
        <item x="17"/>
        <item x="18"/>
        <item t="default"/>
      </items>
      <autoSortScope>
        <pivotArea dataOnly="0" outline="0" fieldPosition="0">
          <references count="1">
            <reference field="4294967294" count="1" selected="0">
              <x v="0"/>
            </reference>
          </references>
        </pivotArea>
      </autoSortScope>
    </pivotField>
  </pivotFields>
  <rowFields count="1">
    <field x="2"/>
  </rowFields>
  <rowItems count="20">
    <i>
      <x v="8"/>
    </i>
    <i>
      <x v="12"/>
    </i>
    <i>
      <x v="16"/>
    </i>
    <i>
      <x v="15"/>
    </i>
    <i>
      <x v="2"/>
    </i>
    <i>
      <x v="7"/>
    </i>
    <i>
      <x v="11"/>
    </i>
    <i>
      <x v="10"/>
    </i>
    <i>
      <x v="4"/>
    </i>
    <i>
      <x v="1"/>
    </i>
    <i>
      <x v="3"/>
    </i>
    <i>
      <x v="13"/>
    </i>
    <i>
      <x v="9"/>
    </i>
    <i>
      <x/>
    </i>
    <i>
      <x v="5"/>
    </i>
    <i>
      <x v="17"/>
    </i>
    <i>
      <x v="6"/>
    </i>
    <i>
      <x v="14"/>
    </i>
    <i>
      <x v="18"/>
    </i>
    <i t="grand">
      <x/>
    </i>
  </rowItems>
  <colItems count="1">
    <i/>
  </colItems>
  <dataFields count="1">
    <dataField name="Sum of Sales" fld="0" baseField="0" baseItem="0"/>
  </dataFields>
  <formats count="2">
    <format dxfId="107">
      <pivotArea grandRow="1" outline="0" collapsedLevelsAreSubtotals="1" fieldPosition="0"/>
    </format>
    <format dxfId="106">
      <pivotArea collapsedLevelsAreSubtotals="1" fieldPosition="0">
        <references count="1">
          <reference field="2" count="0"/>
        </references>
      </pivotArea>
    </format>
  </formats>
  <chartFormats count="8">
    <chartFormat chart="0"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26" format="8"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90">
      <autoFilter ref="A1">
        <filterColumn colId="0">
          <top10 val="10" filterVal="10"/>
        </filterColumn>
      </autoFilter>
    </filter>
  </filters>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activeTabTopLevelEntity name="[Marketing_Table]"/>
      </x15:pivotTableUISettings>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6CD8F8-78BC-4366-8B9B-E8CC70BE83E4}" name="PivotTable11" cacheId="13" applyNumberFormats="0" applyBorderFormats="0" applyFontFormats="0" applyPatternFormats="0" applyAlignmentFormats="0" applyWidthHeightFormats="1" dataCaption="Values" tag="77b9c858-676e-4bc4-82b4-4339e17cdca0" updatedVersion="8" minRefreshableVersion="3" showDrill="0" useAutoFormatting="1" subtotalHiddenItems="1" itemPrintTitles="1" createdVersion="5" indent="0" outline="1" outlineData="1" multipleFieldFilters="0" chartFormat="51">
  <location ref="FY6:FZ10" firstHeaderRow="1" firstDataRow="1" firstDataCol="1"/>
  <pivotFields count="4">
    <pivotField allDrilled="1" subtotalTop="0" showAll="0" measureFilter="1" defaultAttributeDrillState="1">
      <items count="11">
        <item x="0"/>
        <item x="1"/>
        <item x="2"/>
        <item x="3"/>
        <item x="4"/>
        <item x="5"/>
        <item x="6"/>
        <item x="7"/>
        <item x="8"/>
        <item x="9"/>
        <item t="default"/>
      </items>
    </pivotField>
    <pivotField allDrilled="1" subtotalTop="0" showAll="0" measureFilter="1" defaultAttributeDrillState="1">
      <items count="11">
        <item x="0"/>
        <item x="1"/>
        <item x="2"/>
        <item x="3"/>
        <item x="4"/>
        <item x="5"/>
        <item x="6"/>
        <item x="7"/>
        <item x="8"/>
        <item x="9"/>
        <item t="default"/>
      </items>
    </pivotField>
    <pivotField axis="axisRow" allDrilled="1" subtotalTop="0" showAll="0" dataSourceSort="1" defaultAttributeDrillState="1">
      <items count="4">
        <item x="0"/>
        <item x="1"/>
        <item x="2"/>
        <item t="default"/>
      </items>
    </pivotField>
    <pivotField dataField="1" subtotalTop="0" showAll="0"/>
  </pivotFields>
  <rowFields count="1">
    <field x="2"/>
  </rowFields>
  <rowItems count="4">
    <i>
      <x/>
    </i>
    <i>
      <x v="1"/>
    </i>
    <i>
      <x v="2"/>
    </i>
    <i t="grand">
      <x/>
    </i>
  </rowItems>
  <colItems count="1">
    <i/>
  </colItems>
  <dataFields count="1">
    <dataField name="Sum of Quantity_Ordered" fld="3" baseField="0" baseItem="0"/>
  </dataFields>
  <formats count="1">
    <format dxfId="108">
      <pivotArea grandRow="1" outline="0" collapsedLevelsAreSubtotals="1" fieldPosition="0"/>
    </format>
  </formats>
  <chartFormats count="4">
    <chartFormat chart="49" format="0" series="1">
      <pivotArea type="data" outline="0" fieldPosition="0">
        <references count="1">
          <reference field="4294967294" count="1" selected="0">
            <x v="0"/>
          </reference>
        </references>
      </pivotArea>
    </chartFormat>
    <chartFormat chart="49" format="1">
      <pivotArea type="data" outline="0" fieldPosition="0">
        <references count="2">
          <reference field="4294967294" count="1" selected="0">
            <x v="0"/>
          </reference>
          <reference field="2" count="1" selected="0">
            <x v="2"/>
          </reference>
        </references>
      </pivotArea>
    </chartFormat>
    <chartFormat chart="49" format="2">
      <pivotArea type="data" outline="0" fieldPosition="0">
        <references count="2">
          <reference field="4294967294" count="1" selected="0">
            <x v="0"/>
          </reference>
          <reference field="2" count="1" selected="0">
            <x v="1"/>
          </reference>
        </references>
      </pivotArea>
    </chartFormat>
    <chartFormat chart="49" format="3">
      <pivotArea type="data" outline="0" fieldPosition="0">
        <references count="2">
          <reference field="4294967294" count="1" selected="0">
            <x v="0"/>
          </reference>
          <reference field="2"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turns"/>
    <pivotHierarchy dragToData="1"/>
    <pivotHierarchy dragToData="1"/>
  </pivotHierarchies>
  <pivotTableStyleInfo name="PivotStyleLight16" showRowHeaders="1" showColHeaders="1" showRowStripes="0" showColStripes="0" showLastColumn="1"/>
  <filters count="2">
    <filter fld="0" type="count" id="1" iMeasureHier="90">
      <autoFilter ref="A1">
        <filterColumn colId="0">
          <top10 val="10" filterVal="10"/>
        </filterColumn>
      </autoFilter>
    </filter>
    <filter fld="1" type="count" id="2" iMeasureHier="90">
      <autoFilter ref="A1">
        <filterColumn colId="0">
          <top10 val="10" filterVal="10"/>
        </filterColumn>
      </autoFilter>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activeTabTopLevelEntity name="[Marketing_Table]"/>
        <x15:activeTabTopLevelEntity name="[Returns_Table]"/>
      </x15:pivotTableUISettings>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9427F6-1D39-427E-A042-5AA5D014FF6A}" name="Avg_Marketing_Spend_Per_Qtr" cacheId="25" applyNumberFormats="0" applyBorderFormats="0" applyFontFormats="0" applyPatternFormats="0" applyAlignmentFormats="0" applyWidthHeightFormats="1" dataCaption="Values" tag="99f45b26-d2bd-4e1d-84ca-68ed037a8fa8" updatedVersion="8" minRefreshableVersion="3" showDrill="0" useAutoFormatting="1" subtotalHiddenItems="1" itemPrintTitles="1" createdVersion="5" indent="0" outline="1" outlineData="1" multipleFieldFilters="0" chartFormat="32">
  <location ref="BG14:BG15" firstHeaderRow="1" firstDataRow="1" firstDataCol="0"/>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2" subtotal="count" baseField="0" baseItem="0"/>
  </dataFields>
  <formats count="5">
    <format dxfId="113">
      <pivotArea grandRow="1" outline="0" collapsedLevelsAreSubtotals="1" fieldPosition="0"/>
    </format>
    <format dxfId="112">
      <pivotArea outline="0" collapsedLevelsAreSubtotals="1" fieldPosition="0"/>
    </format>
    <format dxfId="111">
      <pivotArea outline="0" collapsedLevelsAreSubtotals="1" fieldPosition="0"/>
    </format>
    <format dxfId="110">
      <pivotArea outline="0" collapsedLevelsAreSubtotals="1" fieldPosition="0"/>
    </format>
    <format dxfId="109">
      <pivotArea outline="0" collapsedLevelsAreSubtotals="1" fieldPosition="0"/>
    </format>
  </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Deal_Size"/>
    <pivotHierarchy dragToData="1"/>
    <pivotHierarchy dragToData="1"/>
    <pivotHierarchy dragToData="1" caption="Average of Annual Marketing_Spend % of Sales"/>
    <pivotHierarchy dragToData="1" caption="Distinct Count of Annual Marketing_Spend % of 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90">
      <autoFilter ref="A1">
        <filterColumn colId="0">
          <top10 val="10" filterVal="10"/>
        </filterColumn>
      </autoFilter>
    </filter>
    <filter fld="1" type="count" id="2" iMeasureHier="9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ales_Table]"/>
        <x15:activeTabTopLevelEntity name="[Returns_Table]"/>
        <x15:activeTabTopLevelEntity name="[Marketing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15FF6C-4E72-41EB-8671-82DBE6E09D8A}" name="PivotTable13" cacheId="15" applyNumberFormats="0" applyBorderFormats="0" applyFontFormats="0" applyPatternFormats="0" applyAlignmentFormats="0" applyWidthHeightFormats="1" dataCaption="Values" tag="77b9c858-676e-4bc4-82b4-4339e17cdca0" updatedVersion="8" minRefreshableVersion="3" showDrill="0" useAutoFormatting="1" subtotalHiddenItems="1" itemPrintTitles="1" createdVersion="5" indent="0" outline="1" outlineData="1" multipleFieldFilters="0" chartFormat="55">
  <location ref="HC7:HD37" firstHeaderRow="1" firstDataRow="1" firstDataCol="1"/>
  <pivotFields count="7">
    <pivotField allDrilled="1" subtotalTop="0" showAll="0" measureFilter="1" defaultAttributeDrillState="1">
      <items count="11">
        <item x="0"/>
        <item x="1"/>
        <item x="2"/>
        <item x="3"/>
        <item x="4"/>
        <item x="5"/>
        <item x="6"/>
        <item x="7"/>
        <item x="8"/>
        <item x="9"/>
        <item t="default"/>
      </items>
    </pivotField>
    <pivotField allDrilled="1" subtotalTop="0" showAll="0" measureFilter="1" defaultAttributeDrillState="1">
      <items count="11">
        <item x="0"/>
        <item x="1"/>
        <item x="2"/>
        <item x="3"/>
        <item x="4"/>
        <item x="5"/>
        <item x="6"/>
        <item x="7"/>
        <item x="8"/>
        <item x="9"/>
        <item t="default"/>
      </items>
    </pivotField>
    <pivotField dataField="1" subtotalTop="0" showAll="0"/>
    <pivotField allDrilled="1" subtotalTop="0" showAll="0" sortType="ascending" defaultAttributeDrillState="1">
      <items count="18">
        <item x="0"/>
        <item x="1"/>
        <item x="2"/>
        <item x="3"/>
        <item x="4"/>
        <item x="5"/>
        <item x="6"/>
        <item x="7"/>
        <item x="8"/>
        <item x="9"/>
        <item x="10"/>
        <item x="11"/>
        <item x="12"/>
        <item x="13"/>
        <item x="14"/>
        <item x="15"/>
        <item x="16"/>
        <item t="default"/>
      </items>
      <autoSortScope>
        <pivotArea dataOnly="0" outline="0" fieldPosition="0">
          <references count="1">
            <reference field="4294967294" count="1" selected="0">
              <x v="0"/>
            </reference>
          </references>
        </pivotArea>
      </autoSortScope>
    </pivotField>
    <pivotField allDrilled="1" subtotalTop="0" showAll="0" sortType="ascending" defaultAttributeDrillState="1">
      <items count="10">
        <item x="0"/>
        <item x="1"/>
        <item x="2"/>
        <item x="3"/>
        <item x="4"/>
        <item x="5"/>
        <item x="6"/>
        <item x="7"/>
        <item x="8"/>
        <item t="default"/>
      </items>
      <autoSortScope>
        <pivotArea dataOnly="0" outline="0" fieldPosition="0">
          <references count="1">
            <reference field="4294967294" count="1" selected="0">
              <x v="0"/>
            </reference>
          </references>
        </pivotArea>
      </autoSortScope>
    </pivotField>
    <pivotField allDrilled="1" subtotalTop="0" showAll="0" sortType="a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axis="axisRow" allDrilled="1" subtotalTop="0" showAll="0" sortType="ascending"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autoSortScope>
        <pivotArea dataOnly="0" outline="0" fieldPosition="0">
          <references count="1">
            <reference field="4294967294" count="1" selected="0">
              <x v="0"/>
            </reference>
          </references>
        </pivotArea>
      </autoSortScope>
    </pivotField>
  </pivotFields>
  <rowFields count="1">
    <field x="6"/>
  </rowFields>
  <rowItems count="30">
    <i>
      <x v="23"/>
    </i>
    <i>
      <x v="25"/>
    </i>
    <i>
      <x v="19"/>
    </i>
    <i>
      <x v="17"/>
    </i>
    <i>
      <x v="13"/>
    </i>
    <i>
      <x v="4"/>
    </i>
    <i>
      <x v="26"/>
    </i>
    <i>
      <x v="12"/>
    </i>
    <i>
      <x v="18"/>
    </i>
    <i>
      <x v="10"/>
    </i>
    <i>
      <x v="16"/>
    </i>
    <i>
      <x v="20"/>
    </i>
    <i>
      <x v="14"/>
    </i>
    <i>
      <x v="8"/>
    </i>
    <i>
      <x v="28"/>
    </i>
    <i>
      <x v="22"/>
    </i>
    <i>
      <x v="27"/>
    </i>
    <i>
      <x v="24"/>
    </i>
    <i>
      <x v="21"/>
    </i>
    <i>
      <x v="11"/>
    </i>
    <i>
      <x v="3"/>
    </i>
    <i>
      <x v="7"/>
    </i>
    <i>
      <x/>
    </i>
    <i>
      <x v="6"/>
    </i>
    <i>
      <x v="9"/>
    </i>
    <i>
      <x v="1"/>
    </i>
    <i>
      <x v="5"/>
    </i>
    <i>
      <x v="2"/>
    </i>
    <i>
      <x v="15"/>
    </i>
    <i t="grand">
      <x/>
    </i>
  </rowItems>
  <colItems count="1">
    <i/>
  </colItems>
  <dataFields count="1">
    <dataField name="Sum of Quantity_Ordered" fld="2" baseField="0" baseItem="0"/>
  </dataFields>
  <formats count="7">
    <format dxfId="120">
      <pivotArea grandRow="1" outline="0" collapsedLevelsAreSubtotals="1" fieldPosition="0"/>
    </format>
    <format dxfId="119">
      <pivotArea type="all" dataOnly="0" outline="0" fieldPosition="0"/>
    </format>
    <format dxfId="118">
      <pivotArea outline="0" collapsedLevelsAreSubtotals="1" fieldPosition="0"/>
    </format>
    <format dxfId="117">
      <pivotArea field="6" type="button" dataOnly="0" labelOnly="1" outline="0" axis="axisRow" fieldPosition="0"/>
    </format>
    <format dxfId="116">
      <pivotArea dataOnly="0" labelOnly="1" fieldPosition="0">
        <references count="1">
          <reference field="6" count="0"/>
        </references>
      </pivotArea>
    </format>
    <format dxfId="115">
      <pivotArea dataOnly="0" labelOnly="1" grandRow="1" outline="0" fieldPosition="0"/>
    </format>
    <format dxfId="114">
      <pivotArea dataOnly="0" labelOnly="1" outline="0" axis="axisValues" fieldPosition="0"/>
    </format>
  </formats>
  <chartFormats count="3">
    <chartFormat chart="49" format="0"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turns"/>
    <pivotHierarchy dragToData="1"/>
    <pivotHierarchy dragToData="1"/>
  </pivotHierarchies>
  <pivotTableStyleInfo name="PivotStyleLight16" showRowHeaders="1" showColHeaders="1" showRowStripes="0" showColStripes="0" showLastColumn="1"/>
  <filters count="2">
    <filter fld="0" type="count" id="1" iMeasureHier="90">
      <autoFilter ref="A1">
        <filterColumn colId="0">
          <top10 val="10" filterVal="10"/>
        </filterColumn>
      </autoFilter>
    </filter>
    <filter fld="1" type="count" id="2" iMeasureHier="90">
      <autoFilter ref="A1">
        <filterColumn colId="0">
          <top10 val="10" filterVal="10"/>
        </filterColumn>
      </autoFilter>
    </filter>
  </filters>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activeTabTopLevelEntity name="[Marketing_Table]"/>
        <x15:activeTabTopLevelEntity name="[Returns_Table]"/>
      </x15:pivotTableUISettings>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8775E9-F98F-4684-8A8A-78E1190E6F47}" name="PivotTable12" cacheId="7" applyNumberFormats="0" applyBorderFormats="0" applyFontFormats="0" applyPatternFormats="0" applyAlignmentFormats="0" applyWidthHeightFormats="1" dataCaption="Values" tag="77b9c858-676e-4bc4-82b4-4339e17cdca0" updatedVersion="8" minRefreshableVersion="3" showDrill="0" useAutoFormatting="1" subtotalHiddenItems="1" itemPrintTitles="1" createdVersion="5" indent="0" outline="1" outlineData="1" multipleFieldFilters="0" chartFormat="53">
  <location ref="GN6:GO14" firstHeaderRow="1" firstDataRow="1" firstDataCol="1"/>
  <pivotFields count="6">
    <pivotField allDrilled="1" subtotalTop="0" showAll="0" measureFilter="1" defaultAttributeDrillState="1">
      <items count="11">
        <item x="0"/>
        <item x="1"/>
        <item x="2"/>
        <item x="3"/>
        <item x="4"/>
        <item x="5"/>
        <item x="6"/>
        <item x="7"/>
        <item x="8"/>
        <item x="9"/>
        <item t="default"/>
      </items>
    </pivotField>
    <pivotField allDrilled="1" subtotalTop="0" showAll="0" measureFilter="1" defaultAttributeDrillState="1">
      <items count="11">
        <item x="0"/>
        <item x="1"/>
        <item x="2"/>
        <item x="3"/>
        <item x="4"/>
        <item x="5"/>
        <item x="6"/>
        <item x="7"/>
        <item x="8"/>
        <item x="9"/>
        <item t="default"/>
      </items>
    </pivotField>
    <pivotField dataField="1" subtotalTop="0" showAll="0"/>
    <pivotField allDrilled="1" subtotalTop="0" showAll="0" sortType="ascending" defaultAttributeDrillState="1">
      <items count="18">
        <item x="0"/>
        <item x="1"/>
        <item x="2"/>
        <item x="3"/>
        <item x="4"/>
        <item x="5"/>
        <item x="6"/>
        <item x="7"/>
        <item x="8"/>
        <item x="9"/>
        <item x="10"/>
        <item x="11"/>
        <item x="12"/>
        <item x="13"/>
        <item x="14"/>
        <item x="15"/>
        <item x="16"/>
        <item t="default"/>
      </items>
      <autoSortScope>
        <pivotArea dataOnly="0" outline="0" fieldPosition="0">
          <references count="1">
            <reference field="4294967294" count="1" selected="0">
              <x v="0"/>
            </reference>
          </references>
        </pivotArea>
      </autoSortScope>
    </pivotField>
    <pivotField allDrilled="1" subtotalTop="0" showAll="0" sortType="ascending" defaultAttributeDrillState="1">
      <items count="10">
        <item x="0"/>
        <item x="1"/>
        <item x="2"/>
        <item x="3"/>
        <item x="4"/>
        <item x="5"/>
        <item x="6"/>
        <item x="7"/>
        <item x="8"/>
        <item t="default"/>
      </items>
      <autoSortScope>
        <pivotArea dataOnly="0" outline="0" fieldPosition="0">
          <references count="1">
            <reference field="4294967294" count="1" selected="0">
              <x v="0"/>
            </reference>
          </references>
        </pivotArea>
      </autoSortScope>
    </pivotField>
    <pivotField axis="axisRow" allDrilled="1" subtotalTop="0" showAll="0" sortType="a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s>
  <rowFields count="1">
    <field x="5"/>
  </rowFields>
  <rowItems count="8">
    <i>
      <x v="2"/>
    </i>
    <i>
      <x v="4"/>
    </i>
    <i>
      <x v="5"/>
    </i>
    <i>
      <x v="3"/>
    </i>
    <i>
      <x v="6"/>
    </i>
    <i>
      <x v="1"/>
    </i>
    <i>
      <x/>
    </i>
    <i t="grand">
      <x/>
    </i>
  </rowItems>
  <colItems count="1">
    <i/>
  </colItems>
  <dataFields count="1">
    <dataField name="Sum of Quantity_Ordered" fld="2" baseField="0" baseItem="0"/>
  </dataFields>
  <formats count="1">
    <format dxfId="121">
      <pivotArea grandRow="1" outline="0" collapsedLevelsAreSubtotals="1" fieldPosition="0"/>
    </format>
  </formats>
  <chartFormats count="2">
    <chartFormat chart="49" format="0"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turns"/>
    <pivotHierarchy dragToData="1"/>
    <pivotHierarchy dragToData="1"/>
  </pivotHierarchies>
  <pivotTableStyleInfo name="PivotStyleLight16" showRowHeaders="1" showColHeaders="1" showRowStripes="0" showColStripes="0" showLastColumn="1"/>
  <filters count="2">
    <filter fld="0" type="count" id="1" iMeasureHier="90">
      <autoFilter ref="A1">
        <filterColumn colId="0">
          <top10 val="10" filterVal="10"/>
        </filterColumn>
      </autoFilter>
    </filter>
    <filter fld="1" type="count" id="2" iMeasureHier="90">
      <autoFilter ref="A1">
        <filterColumn colId="0">
          <top10 val="10" filterVal="10"/>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activeTabTopLevelEntity name="[Marketing_Table]"/>
        <x15:activeTabTopLevelEntity name="[Returns_Table]"/>
      </x15:pivotTableUISettings>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2F8430A-C4AD-4660-8158-0548771CD967}" name="PivotTable7" cacheId="8" applyNumberFormats="0" applyBorderFormats="0" applyFontFormats="0" applyPatternFormats="0" applyAlignmentFormats="0" applyWidthHeightFormats="1" dataCaption="Values" tag="77b9c858-676e-4bc4-82b4-4339e17cdca0" updatedVersion="8" minRefreshableVersion="3" showDrill="0" useAutoFormatting="1" subtotalHiddenItems="1" itemPrintTitles="1" createdVersion="5" indent="0" outline="1" outlineData="1" multipleFieldFilters="0" chartFormat="43">
  <location ref="DU6:DV14" firstHeaderRow="1" firstDataRow="1" firstDataCol="1"/>
  <pivotFields count="4">
    <pivotField dataField="1" subtotalTop="0" showAll="0" defaultSubtotal="0"/>
    <pivotField allDrilled="1" subtotalTop="0"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llDrilled="1" subtotalTop="0" showAll="0" sortType="ascending" defaultAttributeDrillState="1">
      <items count="20">
        <item x="0"/>
        <item x="1"/>
        <item x="2"/>
        <item x="3"/>
        <item x="4"/>
        <item x="5"/>
        <item x="6"/>
        <item x="7"/>
        <item x="8"/>
        <item x="9"/>
        <item x="10"/>
        <item x="11"/>
        <item x="12"/>
        <item x="13"/>
        <item x="14"/>
        <item x="15"/>
        <item x="16"/>
        <item x="17"/>
        <item x="18"/>
        <item t="default"/>
      </items>
      <autoSortScope>
        <pivotArea dataOnly="0" outline="0" fieldPosition="0">
          <references count="1">
            <reference field="4294967294" count="1" selected="0">
              <x v="0"/>
            </reference>
          </references>
        </pivotArea>
      </autoSortScope>
    </pivotField>
    <pivotField axis="axisRow" allDrilled="1" subtotalTop="0" showAll="0"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s>
  <rowFields count="1">
    <field x="3"/>
  </rowFields>
  <rowItems count="8">
    <i>
      <x/>
    </i>
    <i>
      <x v="3"/>
    </i>
    <i>
      <x v="1"/>
    </i>
    <i>
      <x v="4"/>
    </i>
    <i>
      <x v="6"/>
    </i>
    <i>
      <x v="5"/>
    </i>
    <i>
      <x v="2"/>
    </i>
    <i t="grand">
      <x/>
    </i>
  </rowItems>
  <colItems count="1">
    <i/>
  </colItems>
  <dataFields count="1">
    <dataField name="Sum of Sales" fld="0" baseField="0" baseItem="0"/>
  </dataFields>
  <formats count="2">
    <format dxfId="123">
      <pivotArea grandRow="1" outline="0" collapsedLevelsAreSubtotals="1" fieldPosition="0"/>
    </format>
    <format dxfId="122">
      <pivotArea collapsedLevelsAreSubtotals="1" fieldPosition="0">
        <references count="1">
          <reference field="3" count="0"/>
        </references>
      </pivotArea>
    </format>
  </formats>
  <chartFormats count="17">
    <chartFormat chart="0"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26" format="8"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1" format="1">
      <pivotArea type="data" outline="0" fieldPosition="0">
        <references count="2">
          <reference field="4294967294" count="1" selected="0">
            <x v="0"/>
          </reference>
          <reference field="3" count="1" selected="0">
            <x v="0"/>
          </reference>
        </references>
      </pivotArea>
    </chartFormat>
    <chartFormat chart="41" format="2">
      <pivotArea type="data" outline="0" fieldPosition="0">
        <references count="2">
          <reference field="4294967294" count="1" selected="0">
            <x v="0"/>
          </reference>
          <reference field="3" count="1" selected="0">
            <x v="1"/>
          </reference>
        </references>
      </pivotArea>
    </chartFormat>
    <chartFormat chart="41" format="3">
      <pivotArea type="data" outline="0" fieldPosition="0">
        <references count="2">
          <reference field="4294967294" count="1" selected="0">
            <x v="0"/>
          </reference>
          <reference field="3" count="1" selected="0">
            <x v="3"/>
          </reference>
        </references>
      </pivotArea>
    </chartFormat>
    <chartFormat chart="41" format="4">
      <pivotArea type="data" outline="0" fieldPosition="0">
        <references count="2">
          <reference field="4294967294" count="1" selected="0">
            <x v="0"/>
          </reference>
          <reference field="3" count="1" selected="0">
            <x v="2"/>
          </reference>
        </references>
      </pivotArea>
    </chartFormat>
    <chartFormat chart="41" format="5">
      <pivotArea type="data" outline="0" fieldPosition="0">
        <references count="2">
          <reference field="4294967294" count="1" selected="0">
            <x v="0"/>
          </reference>
          <reference field="3" count="1" selected="0">
            <x v="6"/>
          </reference>
        </references>
      </pivotArea>
    </chartFormat>
    <chartFormat chart="41" format="6">
      <pivotArea type="data" outline="0" fieldPosition="0">
        <references count="2">
          <reference field="4294967294" count="1" selected="0">
            <x v="0"/>
          </reference>
          <reference field="3" count="1" selected="0">
            <x v="5"/>
          </reference>
        </references>
      </pivotArea>
    </chartFormat>
    <chartFormat chart="41" format="7">
      <pivotArea type="data" outline="0" fieldPosition="0">
        <references count="2">
          <reference field="4294967294" count="1" selected="0">
            <x v="0"/>
          </reference>
          <reference field="3" count="1" selected="0">
            <x v="4"/>
          </reference>
        </references>
      </pivotArea>
    </chartFormat>
  </chart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90">
      <autoFilter ref="A1">
        <filterColumn colId="0">
          <top10 val="10" filterVal="10"/>
        </filterColumn>
      </autoFilter>
    </filter>
  </filters>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activeTabTopLevelEntity name="[Marketing_Table]"/>
      </x15:pivotTableUISettings>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B5852D8-C210-4283-B03D-11F938819F14}" name="TOP CATEGORY" cacheId="30" applyNumberFormats="0" applyBorderFormats="0" applyFontFormats="0" applyPatternFormats="0" applyAlignmentFormats="0" applyWidthHeightFormats="1" dataCaption="Values" tag="03b5f9b7-e5b0-42ba-85f0-cee3ad0b5d7b" updatedVersion="8" minRefreshableVersion="3" showDrill="0" useAutoFormatting="1" subtotalHiddenItems="1" rowGrandTotals="0" colGrandTotals="0" itemPrintTitles="1" createdVersion="5" indent="0" outline="1" outlineData="1" multipleFieldFilters="0" chartFormat="32">
  <location ref="BG24:BH25" firstHeaderRow="1" firstDataRow="1" firstDataCol="1"/>
  <pivotFields count="7">
    <pivotField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dataSourceSort="1" defaultSubtotal="0" defaultAttributeDrillState="1">
      <items count="1">
        <item x="0"/>
      </items>
    </pivotField>
    <pivotField axis="axisRow" allDrilled="1" subtotalTop="0" showAll="0" measureFilter="1" dataSourceSort="1" defaultSubtotal="0" defaultAttributeDrillState="1">
      <items count="1">
        <item x="0"/>
      </items>
    </pivotField>
    <pivotField allDrilled="1" subtotalTop="0" showAll="0" dataSourceSort="1" defaultSubtotal="0" defaultAttributeDrillState="1"/>
  </pivotFields>
  <rowFields count="1">
    <field x="5"/>
  </rowFields>
  <rowItems count="1">
    <i>
      <x/>
    </i>
  </rowItems>
  <colItems count="1">
    <i/>
  </colItems>
  <dataFields count="1">
    <dataField name="Sum of Sales" fld="3" baseField="0" baseItem="0"/>
  </dataFields>
  <formats count="5">
    <format dxfId="128">
      <pivotArea grandRow="1" outline="0" collapsedLevelsAreSubtotals="1" fieldPosition="0"/>
    </format>
    <format dxfId="127">
      <pivotArea outline="0" collapsedLevelsAreSubtotals="1" fieldPosition="0"/>
    </format>
    <format dxfId="126">
      <pivotArea outline="0" collapsedLevelsAreSubtotals="1" fieldPosition="0"/>
    </format>
    <format dxfId="125">
      <pivotArea outline="0" collapsedLevelsAreSubtotals="1" fieldPosition="0"/>
    </format>
    <format dxfId="124">
      <pivotArea outline="0" collapsedLevelsAreSubtotals="1" fieldPosition="0"/>
    </format>
  </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Amt"/>
    <pivotHierarchy dragToData="1"/>
    <pivotHierarchy dragToData="1"/>
    <pivotHierarchy dragToData="1" caption="Distinct Count of Deal_Size"/>
    <pivotHierarchy dragToData="1"/>
    <pivotHierarchy dragToData="1"/>
    <pivotHierarchy dragToData="1" caption="Average of Annual Marketing_Spend % of Sales"/>
    <pivotHierarchy dragToData="1" caption="Distinct Count of Annual Marketing_Spend % of Sales"/>
    <pivotHierarchy dragToData="1"/>
    <pivotHierarchy dragToData="1" caption="Average of Am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5">
    <filter fld="1" type="count" id="2" iMeasureHier="90">
      <autoFilter ref="A1">
        <filterColumn colId="0">
          <top10 val="10" filterVal="10"/>
        </filterColumn>
      </autoFilter>
    </filter>
    <filter fld="2" type="count" id="5" iMeasureHier="90">
      <autoFilter ref="A1">
        <filterColumn colId="0">
          <top10 val="1" filterVal="1"/>
        </filterColumn>
      </autoFilter>
    </filter>
    <filter fld="0" type="count" id="6" iMeasureHier="90">
      <autoFilter ref="A1">
        <filterColumn colId="0">
          <top10 val="1" filterVal="1"/>
        </filterColumn>
      </autoFilter>
    </filter>
    <filter fld="4" type="count" id="7" iMeasureHier="90">
      <autoFilter ref="A1">
        <filterColumn colId="0">
          <top10 val="1" filterVal="1"/>
        </filterColumn>
      </autoFilter>
    </filter>
    <filter fld="5" type="count" id="8" iMeasureHier="90">
      <autoFilter ref="A1">
        <filterColumn colId="0">
          <top10 val="1" filterVal="1"/>
        </filterColumn>
      </autoFilter>
    </filter>
  </filters>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Returns_Table]"/>
        <x15:activeTabTopLevelEntity name="[Marketing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502A919-741A-4425-88F0-167F8EB376A7}" name="TOP COUNTRY" cacheId="28" applyNumberFormats="0" applyBorderFormats="0" applyFontFormats="0" applyPatternFormats="0" applyAlignmentFormats="0" applyWidthHeightFormats="1" dataCaption="Values" tag="03b5f9b7-e5b0-42ba-85f0-cee3ad0b5d7b" updatedVersion="8" minRefreshableVersion="3" showDrill="0" useAutoFormatting="1" subtotalHiddenItems="1" rowGrandTotals="0" colGrandTotals="0" itemPrintTitles="1" createdVersion="5" indent="0" outline="1" outlineData="1" multipleFieldFilters="0" chartFormat="32">
  <location ref="BG20:BH21" firstHeaderRow="1" firstDataRow="1" firstDataCol="1"/>
  <pivotFields count="5">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
    <i>
      <x/>
    </i>
  </rowItems>
  <colItems count="1">
    <i/>
  </colItems>
  <dataFields count="1">
    <dataField name="Sum of Sales" fld="3" baseField="0" baseItem="0"/>
  </dataFields>
  <formats count="5">
    <format dxfId="133">
      <pivotArea grandRow="1" outline="0" collapsedLevelsAreSubtotals="1" fieldPosition="0"/>
    </format>
    <format dxfId="132">
      <pivotArea outline="0" collapsedLevelsAreSubtotals="1" fieldPosition="0"/>
    </format>
    <format dxfId="131">
      <pivotArea outline="0" collapsedLevelsAreSubtotals="1" fieldPosition="0"/>
    </format>
    <format dxfId="130">
      <pivotArea outline="0" collapsedLevelsAreSubtotals="1" fieldPosition="0"/>
    </format>
    <format dxfId="129">
      <pivotArea outline="0" collapsedLevelsAreSubtotals="1" fieldPosition="0"/>
    </format>
  </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Amt"/>
    <pivotHierarchy dragToData="1"/>
    <pivotHierarchy dragToData="1"/>
    <pivotHierarchy dragToData="1" caption="Distinct Count of Deal_Size"/>
    <pivotHierarchy dragToData="1"/>
    <pivotHierarchy dragToData="1"/>
    <pivotHierarchy dragToData="1" caption="Average of Annual Marketing_Spend % of Sales"/>
    <pivotHierarchy dragToData="1" caption="Distinct Count of Annual Marketing_Spend % of Sales"/>
    <pivotHierarchy dragToData="1"/>
    <pivotHierarchy dragToData="1" caption="Average of Am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6" iMeasureHier="90">
      <autoFilter ref="A1">
        <filterColumn colId="0">
          <top10 val="1" filterVal="1"/>
        </filterColumn>
      </autoFilter>
    </filter>
    <filter fld="1" type="count" id="2" iMeasureHier="90">
      <autoFilter ref="A1">
        <filterColumn colId="0">
          <top10 val="10" filterVal="10"/>
        </filterColumn>
      </autoFilter>
    </filter>
    <filter fld="2" type="count" id="5" iMeasureHier="90">
      <autoFilter ref="A1">
        <filterColumn colId="0">
          <top10 val="1" filterVal="1"/>
        </filterColumn>
      </autoFilter>
    </filter>
  </filters>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Returns_Table]"/>
        <x15:activeTabTopLevelEntity name="[Marketing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61FDFEB-318A-4ED0-84A3-06EB0E11F2FB}" name="PivotTable10" cacheId="3" applyNumberFormats="0" applyBorderFormats="0" applyFontFormats="0" applyPatternFormats="0" applyAlignmentFormats="0" applyWidthHeightFormats="1" dataCaption="Values" tag="77b9c858-676e-4bc4-82b4-4339e17cdca0" updatedVersion="8" minRefreshableVersion="3" showDrill="0" useAutoFormatting="1" subtotalHiddenItems="1" itemPrintTitles="1" createdVersion="5" indent="0" outline="1" outlineData="1" multipleFieldFilters="0" chartFormat="49">
  <location ref="FJ6:FK10" firstHeaderRow="1" firstDataRow="1" firstDataCol="1"/>
  <pivotFields count="4">
    <pivotField allDrilled="1" subtotalTop="0" showAll="0" measureFilter="1" defaultAttributeDrillState="1">
      <items count="11">
        <item x="0"/>
        <item x="1"/>
        <item x="2"/>
        <item x="3"/>
        <item x="4"/>
        <item x="5"/>
        <item x="6"/>
        <item x="7"/>
        <item x="8"/>
        <item x="9"/>
        <item t="default"/>
      </items>
    </pivotField>
    <pivotField allDrilled="1" subtotalTop="0" showAll="0" measureFilter="1" defaultAttributeDrillState="1">
      <items count="11">
        <item x="0"/>
        <item x="1"/>
        <item x="2"/>
        <item x="3"/>
        <item x="4"/>
        <item x="5"/>
        <item x="6"/>
        <item x="7"/>
        <item x="8"/>
        <item x="9"/>
        <item t="default"/>
      </items>
    </pivotField>
    <pivotField dataField="1" subtotalTop="0" showAll="0"/>
    <pivotField axis="axisRow" allDrilled="1" subtotalTop="0" showAll="0" dataSourceSort="1" defaultAttributeDrillState="1">
      <items count="4">
        <item x="0"/>
        <item x="1"/>
        <item x="2"/>
        <item t="default"/>
      </items>
    </pivotField>
  </pivotFields>
  <rowFields count="1">
    <field x="3"/>
  </rowFields>
  <rowItems count="4">
    <i>
      <x/>
    </i>
    <i>
      <x v="1"/>
    </i>
    <i>
      <x v="2"/>
    </i>
    <i t="grand">
      <x/>
    </i>
  </rowItems>
  <colItems count="1">
    <i/>
  </colItems>
  <dataFields count="1">
    <dataField name="Count of Returns" fld="2" subtotal="count" baseField="0" baseItem="0"/>
  </dataFields>
  <formats count="1">
    <format dxfId="134">
      <pivotArea grandRow="1" outline="0" collapsedLevelsAreSubtotals="1" fieldPosition="0"/>
    </format>
  </formats>
  <chartFormats count="4">
    <chartFormat chart="47" format="0" series="1">
      <pivotArea type="data" outline="0" fieldPosition="0">
        <references count="1">
          <reference field="4294967294" count="1" selected="0">
            <x v="0"/>
          </reference>
        </references>
      </pivotArea>
    </chartFormat>
    <chartFormat chart="47" format="1">
      <pivotArea type="data" outline="0" fieldPosition="0">
        <references count="2">
          <reference field="4294967294" count="1" selected="0">
            <x v="0"/>
          </reference>
          <reference field="3" count="1" selected="0">
            <x v="2"/>
          </reference>
        </references>
      </pivotArea>
    </chartFormat>
    <chartFormat chart="47" format="2">
      <pivotArea type="data" outline="0" fieldPosition="0">
        <references count="2">
          <reference field="4294967294" count="1" selected="0">
            <x v="0"/>
          </reference>
          <reference field="3" count="1" selected="0">
            <x v="1"/>
          </reference>
        </references>
      </pivotArea>
    </chartFormat>
    <chartFormat chart="47" format="3">
      <pivotArea type="data" outline="0" fieldPosition="0">
        <references count="2">
          <reference field="4294967294" count="1" selected="0">
            <x v="0"/>
          </reference>
          <reference field="3"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turns"/>
    <pivotHierarchy dragToData="1"/>
    <pivotHierarchy dragToData="1"/>
  </pivotHierarchies>
  <pivotTableStyleInfo name="PivotStyleLight16" showRowHeaders="1" showColHeaders="1" showRowStripes="0" showColStripes="0" showLastColumn="1"/>
  <filters count="2">
    <filter fld="0" type="count" id="1" iMeasureHier="90">
      <autoFilter ref="A1">
        <filterColumn colId="0">
          <top10 val="10" filterVal="10"/>
        </filterColumn>
      </autoFilter>
    </filter>
    <filter fld="1" type="count" id="2" iMeasureHier="90">
      <autoFilter ref="A1">
        <filterColumn colId="0">
          <top10 val="10" filterVal="10"/>
        </filterColumn>
      </autoFilter>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activeTabTopLevelEntity name="[Marketing_Table]"/>
        <x15:activeTabTopLevelEntity name="[Returns_Table]"/>
      </x15:pivotTableUISettings>
    </ext>
    <ext xmlns:xpdl="http://schemas.microsoft.com/office/spreadsheetml/2016/pivotdefaultlayout" uri="{747A6164-185A-40DC-8AA5-F01512510D54}">
      <xpdl:pivotTableDefinition16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E60F662-8336-4920-BB30-CC0A793F9C65}" name="Marketing Spend(Amt) On Product Category" cacheId="22" applyNumberFormats="0" applyBorderFormats="0" applyFontFormats="0" applyPatternFormats="0" applyAlignmentFormats="0" applyWidthHeightFormats="1" dataCaption="Values" tag="5b6dec64-e53c-486c-9395-f9fc1608f1ab" updatedVersion="8" minRefreshableVersion="3" showDrill="0" useAutoFormatting="1" subtotalHiddenItems="1" itemPrintTitles="1" createdVersion="5" indent="0" outline="1" outlineData="1" multipleFieldFilters="0" chartFormat="34">
  <location ref="AQ4:AR12"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Amt" fld="2" baseField="0" baseItem="0" numFmtId="164"/>
  </dataFields>
  <formats count="2">
    <format dxfId="136">
      <pivotArea grandRow="1" outline="0" collapsedLevelsAreSubtotals="1" fieldPosition="0"/>
    </format>
    <format dxfId="135">
      <pivotArea outline="0" collapsedLevelsAreSubtotals="1" fieldPosition="0"/>
    </format>
  </formats>
  <chartFormats count="3">
    <chartFormat chart="23"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3" format="6"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Deal_Size"/>
    <pivotHierarchy dragToData="1"/>
    <pivotHierarchy dragToData="1"/>
    <pivotHierarchy dragToData="1" caption="Average of Annual Marketing_Spend % of Sales"/>
    <pivotHierarchy dragToData="1" caption="Distinct Count of Annual Marketing_Spend % of 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90">
      <autoFilter ref="A1">
        <filterColumn colId="0">
          <top10 val="10" filterVal="10"/>
        </filterColumn>
      </autoFilter>
    </filter>
    <filter fld="1" type="count" id="2" iMeasureHier="90">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Returns_Table]"/>
        <x15:activeTabTopLevelEntity name="[Marketing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887A53F-1F09-4784-A1C4-9DE2A1D1E3D0}" name="Return By Products" cacheId="18" applyNumberFormats="0" applyBorderFormats="0" applyFontFormats="0" applyPatternFormats="0" applyAlignmentFormats="0" applyWidthHeightFormats="1" dataCaption="Values" tag="f19f5333-f907-45e2-a259-52db3ed167ef" updatedVersion="8" minRefreshableVersion="3" showDrill="0" useAutoFormatting="1" subtotalHiddenItems="1" itemPrintTitles="1" createdVersion="5" indent="0" outline="1" outlineData="1" multipleFieldFilters="0" chartFormat="27">
  <location ref="P23:Q34"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11">
    <i>
      <x v="9"/>
    </i>
    <i>
      <x v="3"/>
    </i>
    <i>
      <x v="6"/>
    </i>
    <i>
      <x/>
    </i>
    <i>
      <x v="5"/>
    </i>
    <i>
      <x v="7"/>
    </i>
    <i>
      <x v="1"/>
    </i>
    <i>
      <x v="4"/>
    </i>
    <i>
      <x v="2"/>
    </i>
    <i>
      <x v="8"/>
    </i>
    <i t="grand">
      <x/>
    </i>
  </rowItems>
  <colItems count="1">
    <i/>
  </colItems>
  <dataFields count="1">
    <dataField name="Sum of Quantity_Ordered" fld="3" baseField="0" baseItem="0"/>
  </dataFields>
  <chartFormats count="5">
    <chartFormat chart="8" format="1" series="1">
      <pivotArea type="data" outline="0" fieldPosition="0">
        <references count="1">
          <reference field="4294967294" count="1" selected="0">
            <x v="0"/>
          </reference>
        </references>
      </pivotArea>
    </chartFormat>
    <chartFormat chart="26" format="15" series="1">
      <pivotArea type="data" outline="0" fieldPosition="0">
        <references count="1">
          <reference field="4294967294" count="1" selected="0">
            <x v="0"/>
          </reference>
        </references>
      </pivotArea>
    </chartFormat>
    <chartFormat chart="26" format="16">
      <pivotArea type="data" outline="0" fieldPosition="0">
        <references count="2">
          <reference field="4294967294" count="1" selected="0">
            <x v="0"/>
          </reference>
          <reference field="2" count="1" selected="0">
            <x v="4"/>
          </reference>
        </references>
      </pivotArea>
    </chartFormat>
    <chartFormat chart="26" format="17">
      <pivotArea type="data" outline="0" fieldPosition="0">
        <references count="2">
          <reference field="4294967294" count="1" selected="0">
            <x v="0"/>
          </reference>
          <reference field="2" count="1" selected="0">
            <x v="2"/>
          </reference>
        </references>
      </pivotArea>
    </chartFormat>
    <chartFormat chart="26" format="18">
      <pivotArea type="data" outline="0" fieldPosition="0">
        <references count="2">
          <reference field="4294967294" count="1" selected="0">
            <x v="0"/>
          </reference>
          <reference field="2" count="1" selected="0">
            <x v="8"/>
          </reference>
        </references>
      </pivotArea>
    </chartFormat>
  </chart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90">
      <autoFilter ref="A1">
        <filterColumn colId="0">
          <top10 val="10" filterVal="10"/>
        </filterColumn>
      </autoFilter>
    </filter>
    <filter fld="1" type="count" id="2" iMeasureHier="90">
      <autoFilter ref="A1">
        <filterColumn colId="0">
          <top10 val="10" filterVal="10"/>
        </filterColumn>
      </autoFilter>
    </filter>
    <filter fld="2" type="count" id="3" iMeasureHier="92">
      <autoFilter ref="A1">
        <filterColumn colId="0">
          <top10 val="10" filterVal="10"/>
        </filterColumn>
      </autoFilter>
    </filter>
  </filters>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Returns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32DE08-9178-497F-AF35-8E19C585E193}" name="PivotTable1" cacheId="9" applyNumberFormats="0" applyBorderFormats="0" applyFontFormats="0" applyPatternFormats="0" applyAlignmentFormats="0" applyWidthHeightFormats="1" dataCaption="Values" tag="03b5f9b7-e5b0-42ba-85f0-cee3ad0b5d7b" updatedVersion="8" minRefreshableVersion="3" showDrill="0" useAutoFormatting="1" subtotalHiddenItems="1" rowGrandTotals="0" colGrandTotals="0" itemPrintTitles="1" createdVersion="5" indent="0" outline="1" outlineData="1" multipleFieldFilters="0" chartFormat="32">
  <location ref="BG33:BG34" firstHeaderRow="1" firstDataRow="1" firstDataCol="0" rowPageCount="1" colPageCount="1"/>
  <pivotFields count="7">
    <pivotField allDrilled="1" subtotalTop="0" showAll="0" measureFilter="1" defaultSubtotal="0" defaultAttributeDrillState="1">
      <items count="1">
        <item x="0"/>
      </items>
    </pivotField>
    <pivotField allDrilled="1" subtotalTop="0" showAll="0" measureFilter="1" defaultSubtotal="0" defaultAttributeDrillState="1">
      <items count="1">
        <item x="0"/>
      </items>
    </pivotField>
    <pivotField allDrilled="1" subtotalTop="0" showAll="0" measureFilter="1" defaultSubtotal="0" defaultAttributeDrillState="1">
      <items count="1">
        <item x="0"/>
      </items>
    </pivotField>
    <pivotField allDrilled="1" subtotalTop="0" showAll="0" measureFilter="1" dataSourceSort="1" defaultSubtotal="0" defaultAttributeDrillState="1">
      <items count="1">
        <item x="0"/>
      </items>
    </pivotField>
    <pivotField allDrilled="1" subtotalTop="0" showAll="0" measureFilter="1" dataSourceSort="1" defaultSubtotal="0" defaultAttributeDrillState="1">
      <items count="1">
        <item x="0"/>
      </items>
    </pivotField>
    <pivotField dataField="1" subtotalTop="0" showAll="0" defaultSubtotal="0"/>
    <pivotField axis="axisPage" allDrilled="1" subtotalTop="0" showAll="0" dataSourceSort="1" defaultSubtotal="0" defaultAttributeDrillState="1"/>
  </pivotFields>
  <rowItems count="1">
    <i/>
  </rowItems>
  <colItems count="1">
    <i/>
  </colItems>
  <pageFields count="1">
    <pageField fld="6" hier="6" name="[Date_Table].[Year].[All]" cap="All"/>
  </pageFields>
  <dataFields count="1">
    <dataField name="Sum of Quantity_Ordered" fld="5" baseField="0" baseItem="0"/>
  </dataFields>
  <formats count="5">
    <format dxfId="141">
      <pivotArea grandRow="1" outline="0" collapsedLevelsAreSubtotals="1" fieldPosition="0"/>
    </format>
    <format dxfId="140">
      <pivotArea outline="0" collapsedLevelsAreSubtotals="1" fieldPosition="0"/>
    </format>
    <format dxfId="139">
      <pivotArea outline="0" collapsedLevelsAreSubtotals="1" fieldPosition="0"/>
    </format>
    <format dxfId="138">
      <pivotArea outline="0" collapsedLevelsAreSubtotals="1" fieldPosition="0"/>
    </format>
    <format dxfId="137">
      <pivotArea outline="0" collapsedLevelsAreSubtotals="1" fieldPosition="0"/>
    </format>
  </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Amt"/>
    <pivotHierarchy dragToData="1"/>
    <pivotHierarchy dragToData="1"/>
    <pivotHierarchy dragToData="1" caption="Distinct Count of Deal_Size"/>
    <pivotHierarchy dragToData="1"/>
    <pivotHierarchy dragToData="1"/>
    <pivotHierarchy dragToData="1" caption="Average of Annual Marketing_Spend % of Sales"/>
    <pivotHierarchy dragToData="1" caption="Distinct Count of Annual Marketing_Spend % of Sales"/>
    <pivotHierarchy dragToData="1"/>
    <pivotHierarchy dragToData="1" caption="Average of Am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5">
    <filter fld="2" type="count" id="5" iMeasureHier="90">
      <autoFilter ref="A1">
        <filterColumn colId="0">
          <top10 val="1" filterVal="1"/>
        </filterColumn>
      </autoFilter>
    </filter>
    <filter fld="0" type="count" id="6" iMeasureHier="90">
      <autoFilter ref="A1">
        <filterColumn colId="0">
          <top10 val="1" filterVal="1"/>
        </filterColumn>
      </autoFilter>
    </filter>
    <filter fld="3" type="count" id="7" iMeasureHier="90">
      <autoFilter ref="A1">
        <filterColumn colId="0">
          <top10 val="1" filterVal="1"/>
        </filterColumn>
      </autoFilter>
    </filter>
    <filter fld="4" type="count" id="8" iMeasureHier="90">
      <autoFilter ref="A1">
        <filterColumn colId="0">
          <top10 val="1" filterVal="1"/>
        </filterColumn>
      </autoFilter>
    </filter>
    <filter fld="1" type="count" id="9" iMeasureHier="9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Returns_Table]"/>
        <x15:activeTabTopLevelEntity name="[Marketing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E3FEE6B-9CF2-4575-8041-255BCCD9FA8F}" name="TOP PRODUCT" cacheId="31" applyNumberFormats="0" applyBorderFormats="0" applyFontFormats="0" applyPatternFormats="0" applyAlignmentFormats="0" applyWidthHeightFormats="1" dataCaption="Values" tag="03b5f9b7-e5b0-42ba-85f0-cee3ad0b5d7b" updatedVersion="8" minRefreshableVersion="3" showDrill="0" useAutoFormatting="1" subtotalHiddenItems="1" rowGrandTotals="0" colGrandTotals="0" itemPrintTitles="1" createdVersion="5" indent="0" outline="1" outlineData="1" multipleFieldFilters="0" chartFormat="32">
  <location ref="BG26:BH27" firstHeaderRow="1" firstDataRow="1" firstDataCol="1"/>
  <pivotFields count="7">
    <pivotField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axis="axisRow" allDrilled="1" subtotalTop="0" showAll="0" measureFilter="1" defaultSubtotal="0" defaultAttributeDrillState="1">
      <items count="1">
        <item x="0"/>
      </items>
    </pivotField>
    <pivotField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dataSourceSort="1" defaultSubtotal="0" defaultAttributeDrillState="1">
      <items count="1">
        <item x="0"/>
      </items>
    </pivotField>
    <pivotField allDrilled="1" subtotalTop="0" showAll="0" measureFilter="1" dataSourceSort="1" defaultSubtotal="0" defaultAttributeDrillState="1">
      <items count="1">
        <item x="0"/>
      </items>
    </pivotField>
    <pivotField allDrilled="1" subtotalTop="0" showAll="0" dataSourceSort="1" defaultSubtotal="0" defaultAttributeDrillState="1"/>
  </pivotFields>
  <rowFields count="1">
    <field x="1"/>
  </rowFields>
  <rowItems count="1">
    <i>
      <x/>
    </i>
  </rowItems>
  <colItems count="1">
    <i/>
  </colItems>
  <dataFields count="1">
    <dataField name="Sum of Sales" fld="3" baseField="0" baseItem="0"/>
  </dataFields>
  <formats count="5">
    <format dxfId="146">
      <pivotArea grandRow="1" outline="0" collapsedLevelsAreSubtotals="1" fieldPosition="0"/>
    </format>
    <format dxfId="145">
      <pivotArea outline="0" collapsedLevelsAreSubtotals="1" fieldPosition="0"/>
    </format>
    <format dxfId="144">
      <pivotArea outline="0" collapsedLevelsAreSubtotals="1" fieldPosition="0"/>
    </format>
    <format dxfId="143">
      <pivotArea outline="0" collapsedLevelsAreSubtotals="1" fieldPosition="0"/>
    </format>
    <format dxfId="142">
      <pivotArea outline="0" collapsedLevelsAreSubtotals="1" fieldPosition="0"/>
    </format>
  </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Amt"/>
    <pivotHierarchy dragToData="1"/>
    <pivotHierarchy dragToData="1"/>
    <pivotHierarchy dragToData="1" caption="Distinct Count of Deal_Size"/>
    <pivotHierarchy dragToData="1"/>
    <pivotHierarchy dragToData="1"/>
    <pivotHierarchy dragToData="1" caption="Average of Annual Marketing_Spend % of Sales"/>
    <pivotHierarchy dragToData="1" caption="Distinct Count of Annual Marketing_Spend % of Sales"/>
    <pivotHierarchy dragToData="1"/>
    <pivotHierarchy dragToData="1" caption="Average of Am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5">
    <filter fld="2" type="count" id="5" iMeasureHier="90">
      <autoFilter ref="A1">
        <filterColumn colId="0">
          <top10 val="1" filterVal="1"/>
        </filterColumn>
      </autoFilter>
    </filter>
    <filter fld="0" type="count" id="6" iMeasureHier="90">
      <autoFilter ref="A1">
        <filterColumn colId="0">
          <top10 val="1" filterVal="1"/>
        </filterColumn>
      </autoFilter>
    </filter>
    <filter fld="4" type="count" id="7" iMeasureHier="90">
      <autoFilter ref="A1">
        <filterColumn colId="0">
          <top10 val="1" filterVal="1"/>
        </filterColumn>
      </autoFilter>
    </filter>
    <filter fld="5" type="count" id="8" iMeasureHier="90">
      <autoFilter ref="A1">
        <filterColumn colId="0">
          <top10 val="1" filterVal="1"/>
        </filterColumn>
      </autoFilter>
    </filter>
    <filter fld="1" type="count" id="9" iMeasureHier="90">
      <autoFilter ref="A1">
        <filterColumn colId="0">
          <top10 val="1" filterVal="1"/>
        </filterColumn>
      </autoFilter>
    </filter>
  </filters>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Returns_Table]"/>
        <x15:activeTabTopLevelEntity name="[Marketing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82CBB62-A73C-4616-BD2C-E648ED980519}" name="TOP TERRITORY" cacheId="29" applyNumberFormats="0" applyBorderFormats="0" applyFontFormats="0" applyPatternFormats="0" applyAlignmentFormats="0" applyWidthHeightFormats="1" dataCaption="Values" tag="03b5f9b7-e5b0-42ba-85f0-cee3ad0b5d7b" updatedVersion="8" minRefreshableVersion="3" showDrill="0" useAutoFormatting="1" subtotalHiddenItems="1" rowGrandTotals="0" colGrandTotals="0" itemPrintTitles="1" createdVersion="5" indent="0" outline="1" outlineData="1" multipleFieldFilters="0" chartFormat="32">
  <location ref="BG22:BH23" firstHeaderRow="1" firstDataRow="1" firstDataCol="1"/>
  <pivotFields count="6">
    <pivotField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dataSourceSort="1" defaultSubtotal="0" defaultAttributeDrillState="1">
      <items count="1">
        <item x="0"/>
      </items>
    </pivotField>
    <pivotField allDrilled="1" subtotalTop="0" showAll="0" dataSourceSort="1" defaultSubtotal="0" defaultAttributeDrillState="1"/>
  </pivotFields>
  <rowFields count="1">
    <field x="4"/>
  </rowFields>
  <rowItems count="1">
    <i>
      <x/>
    </i>
  </rowItems>
  <colItems count="1">
    <i/>
  </colItems>
  <dataFields count="1">
    <dataField name="Sum of Sales" fld="3" baseField="0" baseItem="0"/>
  </dataFields>
  <formats count="5">
    <format dxfId="151">
      <pivotArea grandRow="1" outline="0" collapsedLevelsAreSubtotals="1" fieldPosition="0"/>
    </format>
    <format dxfId="150">
      <pivotArea outline="0" collapsedLevelsAreSubtotals="1" fieldPosition="0"/>
    </format>
    <format dxfId="149">
      <pivotArea outline="0" collapsedLevelsAreSubtotals="1" fieldPosition="0"/>
    </format>
    <format dxfId="148">
      <pivotArea outline="0" collapsedLevelsAreSubtotals="1" fieldPosition="0"/>
    </format>
    <format dxfId="147">
      <pivotArea outline="0" collapsedLevelsAreSubtotals="1" fieldPosition="0"/>
    </format>
  </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Amt"/>
    <pivotHierarchy dragToData="1"/>
    <pivotHierarchy dragToData="1"/>
    <pivotHierarchy dragToData="1" caption="Distinct Count of Deal_Size"/>
    <pivotHierarchy dragToData="1"/>
    <pivotHierarchy dragToData="1"/>
    <pivotHierarchy dragToData="1" caption="Average of Annual Marketing_Spend % of Sales"/>
    <pivotHierarchy dragToData="1" caption="Distinct Count of Annual Marketing_Spend % of Sales"/>
    <pivotHierarchy dragToData="1"/>
    <pivotHierarchy dragToData="1" caption="Average of Am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4">
    <filter fld="1" type="count" id="2" iMeasureHier="90">
      <autoFilter ref="A1">
        <filterColumn colId="0">
          <top10 val="10" filterVal="10"/>
        </filterColumn>
      </autoFilter>
    </filter>
    <filter fld="2" type="count" id="5" iMeasureHier="90">
      <autoFilter ref="A1">
        <filterColumn colId="0">
          <top10 val="1" filterVal="1"/>
        </filterColumn>
      </autoFilter>
    </filter>
    <filter fld="0" type="count" id="6" iMeasureHier="90">
      <autoFilter ref="A1">
        <filterColumn colId="0">
          <top10 val="1" filterVal="1"/>
        </filterColumn>
      </autoFilter>
    </filter>
    <filter fld="4" type="count" id="7" iMeasureHier="90">
      <autoFilter ref="A1">
        <filterColumn colId="0">
          <top10 val="1" filterVal="1"/>
        </filterColumn>
      </autoFilter>
    </filter>
  </filters>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Returns_Table]"/>
        <x15:activeTabTopLevelEntity name="[Marketing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57AFE61-E092-4BC8-B015-8742B237DE4B}" name="PivotTable3" cacheId="1" applyNumberFormats="0" applyBorderFormats="0" applyFontFormats="0" applyPatternFormats="0" applyAlignmentFormats="0" applyWidthHeightFormats="1" dataCaption="Values" tag="77b9c858-676e-4bc4-82b4-4339e17cdca0" updatedVersion="8" minRefreshableVersion="3" showDrill="0" useAutoFormatting="1" subtotalHiddenItems="1" itemPrintTitles="1" createdVersion="5" indent="0" outline="1" outlineData="1" multipleFieldFilters="0" chartFormat="34">
  <location ref="CI6:CJ17" firstHeaderRow="1" firstDataRow="1" firstDataCol="1"/>
  <pivotFields count="2">
    <pivotField dataField="1" subtotalTop="0" showAll="0" defaultSubtotal="0"/>
    <pivotField axis="axisRow" allDrilled="1" subtotalTop="0"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s>
  <rowFields count="1">
    <field x="1"/>
  </rowFields>
  <rowItems count="11">
    <i>
      <x v="1"/>
    </i>
    <i>
      <x v="6"/>
    </i>
    <i>
      <x v="9"/>
    </i>
    <i>
      <x v="5"/>
    </i>
    <i>
      <x v="8"/>
    </i>
    <i>
      <x v="3"/>
    </i>
    <i>
      <x/>
    </i>
    <i>
      <x v="7"/>
    </i>
    <i>
      <x v="4"/>
    </i>
    <i>
      <x v="2"/>
    </i>
    <i t="grand">
      <x/>
    </i>
  </rowItems>
  <colItems count="1">
    <i/>
  </colItems>
  <dataFields count="1">
    <dataField name="Sum of Sales" fld="0" baseField="0" baseItem="0"/>
  </dataFields>
  <formats count="2">
    <format dxfId="153">
      <pivotArea grandRow="1" outline="0" collapsedLevelsAreSubtotals="1" fieldPosition="0"/>
    </format>
    <format dxfId="152">
      <pivotArea collapsedLevelsAreSubtotals="1" fieldPosition="0">
        <references count="1">
          <reference field="1" count="0"/>
        </references>
      </pivotArea>
    </format>
  </formats>
  <chartFormats count="7">
    <chartFormat chart="0"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26" format="8"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90">
      <autoFilter ref="A1">
        <filterColumn colId="0">
          <top10 val="10" filterVal="10"/>
        </filterColumn>
      </autoFilter>
    </filter>
  </filters>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activeTabTopLevelEntity name="[Marketing_Table]"/>
      </x15:pivotTableUISettings>
    </ext>
    <ext xmlns:xpdl="http://schemas.microsoft.com/office/spreadsheetml/2016/pivotdefaultlayout" uri="{747A6164-185A-40DC-8AA5-F01512510D54}">
      <xpdl:pivotTableDefinition16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AB01EAE-3B9C-4252-902F-7CBE1D3E882A}" name="Marketing Spend (Amt) Overtime" cacheId="21" applyNumberFormats="0" applyBorderFormats="0" applyFontFormats="0" applyPatternFormats="0" applyAlignmentFormats="0" applyWidthHeightFormats="1" dataCaption="Values" tag="9918d134-bc1e-4b8e-8609-26d4d7a67046" updatedVersion="8" minRefreshableVersion="3" showDrill="0" useAutoFormatting="1" subtotalHiddenItems="1" itemPrintTitles="1" createdVersion="5" indent="0" outline="1" outlineData="1" multipleFieldFilters="0" chartFormat="38">
  <location ref="AK4:AL20" firstHeaderRow="1" firstDataRow="1" firstDataCol="1"/>
  <pivotFields count="6">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2"/>
    <field x="4"/>
  </rowFields>
  <rowItems count="16">
    <i>
      <x/>
    </i>
    <i r="1">
      <x/>
    </i>
    <i r="1">
      <x v="1"/>
    </i>
    <i r="1">
      <x v="2"/>
    </i>
    <i r="1">
      <x v="3"/>
    </i>
    <i>
      <x v="1"/>
    </i>
    <i r="1">
      <x/>
    </i>
    <i r="1">
      <x v="1"/>
    </i>
    <i r="1">
      <x v="2"/>
    </i>
    <i r="1">
      <x v="3"/>
    </i>
    <i>
      <x v="2"/>
    </i>
    <i r="1">
      <x/>
    </i>
    <i r="1">
      <x v="1"/>
    </i>
    <i r="1">
      <x v="2"/>
    </i>
    <i r="1">
      <x v="3"/>
    </i>
    <i t="grand">
      <x/>
    </i>
  </rowItems>
  <colItems count="1">
    <i/>
  </colItems>
  <dataFields count="1">
    <dataField name="Sum of Amt" fld="3" baseField="0" baseItem="0" numFmtId="165"/>
  </dataFields>
  <formats count="8">
    <format dxfId="161">
      <pivotArea collapsedLevelsAreSubtotals="1" fieldPosition="0">
        <references count="1">
          <reference field="2" count="1">
            <x v="0"/>
          </reference>
        </references>
      </pivotArea>
    </format>
    <format dxfId="160">
      <pivotArea outline="0" collapsedLevelsAreSubtotals="1" fieldPosition="0"/>
    </format>
    <format dxfId="159">
      <pivotArea collapsedLevelsAreSubtotals="1" fieldPosition="0">
        <references count="2">
          <reference field="2" count="1" selected="0">
            <x v="0"/>
          </reference>
          <reference field="4" count="0"/>
        </references>
      </pivotArea>
    </format>
    <format dxfId="158">
      <pivotArea collapsedLevelsAreSubtotals="1" fieldPosition="0">
        <references count="1">
          <reference field="2" count="1">
            <x v="1"/>
          </reference>
        </references>
      </pivotArea>
    </format>
    <format dxfId="157">
      <pivotArea collapsedLevelsAreSubtotals="1" fieldPosition="0">
        <references count="2">
          <reference field="2" count="1" selected="0">
            <x v="1"/>
          </reference>
          <reference field="4" count="0"/>
        </references>
      </pivotArea>
    </format>
    <format dxfId="156">
      <pivotArea collapsedLevelsAreSubtotals="1" fieldPosition="0">
        <references count="1">
          <reference field="2" count="1">
            <x v="2"/>
          </reference>
        </references>
      </pivotArea>
    </format>
    <format dxfId="155">
      <pivotArea collapsedLevelsAreSubtotals="1" fieldPosition="0">
        <references count="2">
          <reference field="2" count="1" selected="0">
            <x v="2"/>
          </reference>
          <reference field="4" count="0"/>
        </references>
      </pivotArea>
    </format>
    <format dxfId="154">
      <pivotArea grandRow="1" outline="0" collapsedLevelsAreSubtotals="1" fieldPosition="0"/>
    </format>
  </formats>
  <chartFormats count="4">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7" format="6"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Deal_Size"/>
    <pivotHierarchy dragToData="1"/>
    <pivotHierarchy dragToData="1"/>
    <pivotHierarchy dragToData="1" caption="Average of Annual Marketing_Spend % of Sales"/>
    <pivotHierarchy dragToData="1" caption="Distinct Count of Annual Marketing_Spend % of 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90">
      <autoFilter ref="A1">
        <filterColumn colId="0">
          <top10 val="10" filterVal="10"/>
        </filterColumn>
      </autoFilter>
    </filter>
    <filter fld="1" type="count" id="2" iMeasureHier="90">
      <autoFilter ref="A1">
        <filterColumn colId="0">
          <top10 val="10" filterVal="10"/>
        </filterColumn>
      </autoFilter>
    </filter>
  </filters>
  <rowHierarchiesUsage count="2">
    <rowHierarchyUsage hierarchyUsage="25"/>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Returns_Table]"/>
        <x15:activeTabTopLevelEntity name="[Marketing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C97CD56-0C28-4788-B0C3-D68465C0173E}" name="PivotTable16" cacheId="12" applyNumberFormats="0" applyBorderFormats="0" applyFontFormats="0" applyPatternFormats="0" applyAlignmentFormats="0" applyWidthHeightFormats="1" dataCaption="Values" tag="77b9c858-676e-4bc4-82b4-4339e17cdca0" updatedVersion="8" minRefreshableVersion="3" showDrill="0" useAutoFormatting="1" subtotalHiddenItems="1" itemPrintTitles="1" createdVersion="5" indent="0" outline="1" outlineData="1" multipleFieldFilters="0" chartFormat="61">
  <location ref="IG6:IH14" firstHeaderRow="1" firstDataRow="1" firstDataCol="1"/>
  <pivotFields count="5">
    <pivotField allDrilled="1" subtotalTop="0" showAll="0" measureFilter="1" defaultAttributeDrillState="1">
      <items count="11">
        <item x="0"/>
        <item x="1"/>
        <item x="2"/>
        <item x="3"/>
        <item x="4"/>
        <item x="5"/>
        <item x="6"/>
        <item x="7"/>
        <item x="8"/>
        <item x="9"/>
        <item t="default"/>
      </items>
    </pivotField>
    <pivotField allDrilled="1" subtotalTop="0" showAll="0" measureFilter="1" defaultAttributeDrillState="1">
      <items count="11">
        <item x="0"/>
        <item x="1"/>
        <item x="2"/>
        <item x="3"/>
        <item x="4"/>
        <item x="5"/>
        <item x="6"/>
        <item x="7"/>
        <item x="8"/>
        <item x="9"/>
        <item t="default"/>
      </items>
    </pivotField>
    <pivotField allDrilled="1" subtotalTop="0" showAll="0" measureFilter="1" defaultAttributeDrillState="1">
      <items count="11">
        <item x="0"/>
        <item x="1"/>
        <item x="2"/>
        <item x="3"/>
        <item x="4"/>
        <item x="5"/>
        <item x="6"/>
        <item x="7"/>
        <item x="8"/>
        <item x="9"/>
        <item t="default"/>
      </items>
    </pivotField>
    <pivotField dataField="1" subtotalTop="0" showAll="0"/>
    <pivotField axis="axisRow" allDrilled="1" subtotalTop="0" showAll="0" sortType="a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s>
  <rowFields count="1">
    <field x="4"/>
  </rowFields>
  <rowItems count="8">
    <i>
      <x v="2"/>
    </i>
    <i>
      <x v="6"/>
    </i>
    <i>
      <x v="5"/>
    </i>
    <i>
      <x v="4"/>
    </i>
    <i>
      <x v="1"/>
    </i>
    <i>
      <x v="3"/>
    </i>
    <i>
      <x/>
    </i>
    <i t="grand">
      <x/>
    </i>
  </rowItems>
  <colItems count="1">
    <i/>
  </colItems>
  <dataFields count="1">
    <dataField name="Sum of Amt" fld="3" baseField="0" baseItem="0" numFmtId="164"/>
  </dataFields>
  <formats count="5">
    <format dxfId="166">
      <pivotArea grandRow="1" outline="0" collapsedLevelsAreSubtotals="1" fieldPosition="0"/>
    </format>
    <format dxfId="165">
      <pivotArea outline="0" collapsedLevelsAreSubtotals="1" fieldPosition="0"/>
    </format>
    <format dxfId="164">
      <pivotArea field="4" type="button" dataOnly="0" labelOnly="1" outline="0" axis="axisRow" fieldPosition="0"/>
    </format>
    <format dxfId="163">
      <pivotArea dataOnly="0" labelOnly="1" fieldPosition="0">
        <references count="1">
          <reference field="4" count="0"/>
        </references>
      </pivotArea>
    </format>
    <format dxfId="162">
      <pivotArea dataOnly="0" labelOnly="1" grandRow="1" outline="0" fieldPosition="0"/>
    </format>
  </formats>
  <chartFormats count="3">
    <chartFormat chart="55" format="0"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59" format="3"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turns"/>
    <pivotHierarchy dragToData="1"/>
    <pivotHierarchy dragToData="1"/>
  </pivotHierarchies>
  <pivotTableStyleInfo name="PivotStyleLight16" showRowHeaders="1" showColHeaders="1" showRowStripes="0" showColStripes="0" showLastColumn="1"/>
  <filters count="3">
    <filter fld="0" type="count" id="1" iMeasureHier="90">
      <autoFilter ref="A1">
        <filterColumn colId="0">
          <top10 val="10" filterVal="10"/>
        </filterColumn>
      </autoFilter>
    </filter>
    <filter fld="1" type="count" id="2" iMeasureHier="90">
      <autoFilter ref="A1">
        <filterColumn colId="0">
          <top10 val="10" filterVal="10"/>
        </filterColumn>
      </autoFilter>
    </filter>
    <filter fld="2" type="count" id="3" iMeasureHier="103">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activeTabTopLevelEntity name="[Marketing_Table]"/>
        <x15:activeTabTopLevelEntity name="[Returns_Table]"/>
      </x15:pivotTableUISettings>
    </ext>
    <ext xmlns:xpdl="http://schemas.microsoft.com/office/spreadsheetml/2016/pivotdefaultlayout" uri="{747A6164-185A-40DC-8AA5-F01512510D54}">
      <xpdl:pivotTableDefinition16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C71C593-02B0-40B1-994F-17BE4D0C5336}" name="TOTAL ORDERED QUANTITY" cacheId="32" applyNumberFormats="0" applyBorderFormats="0" applyFontFormats="0" applyPatternFormats="0" applyAlignmentFormats="0" applyWidthHeightFormats="1" dataCaption="Values" tag="03b5f9b7-e5b0-42ba-85f0-cee3ad0b5d7b" updatedVersion="8" minRefreshableVersion="3" showDrill="0" useAutoFormatting="1" subtotalHiddenItems="1" rowGrandTotals="0" colGrandTotals="0" itemPrintTitles="1" createdVersion="5" indent="0" outline="1" outlineData="1" multipleFieldFilters="0" chartFormat="32">
  <location ref="BG28:BG29" firstHeaderRow="1" firstDataRow="1" firstDataCol="0"/>
  <pivotFields count="7">
    <pivotField allDrilled="1" subtotalTop="0" showAll="0" measureFilter="1" defaultSubtotal="0" defaultAttributeDrillState="1">
      <items count="1">
        <item x="0"/>
      </items>
    </pivotField>
    <pivotField allDrilled="1" subtotalTop="0" showAll="0" measureFilter="1" defaultSubtotal="0" defaultAttributeDrillState="1">
      <items count="1">
        <item x="0"/>
      </items>
    </pivotField>
    <pivotField allDrilled="1" subtotalTop="0" showAll="0" measureFilter="1" defaultSubtotal="0" defaultAttributeDrillState="1">
      <items count="1">
        <item x="0"/>
      </items>
    </pivotField>
    <pivotField allDrilled="1" subtotalTop="0" showAll="0" measureFilter="1" dataSourceSort="1" defaultSubtotal="0" defaultAttributeDrillState="1">
      <items count="1">
        <item x="0"/>
      </items>
    </pivotField>
    <pivotField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_Ordered" fld="5" baseField="0" baseItem="0"/>
  </dataFields>
  <formats count="5">
    <format dxfId="171">
      <pivotArea grandRow="1" outline="0" collapsedLevelsAreSubtotals="1" fieldPosition="0"/>
    </format>
    <format dxfId="170">
      <pivotArea outline="0" collapsedLevelsAreSubtotals="1" fieldPosition="0"/>
    </format>
    <format dxfId="169">
      <pivotArea outline="0" collapsedLevelsAreSubtotals="1" fieldPosition="0"/>
    </format>
    <format dxfId="168">
      <pivotArea outline="0" collapsedLevelsAreSubtotals="1" fieldPosition="0"/>
    </format>
    <format dxfId="167">
      <pivotArea outline="0" collapsedLevelsAreSubtotals="1" fieldPosition="0"/>
    </format>
  </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Amt"/>
    <pivotHierarchy dragToData="1"/>
    <pivotHierarchy dragToData="1"/>
    <pivotHierarchy dragToData="1" caption="Distinct Count of Deal_Size"/>
    <pivotHierarchy dragToData="1"/>
    <pivotHierarchy dragToData="1"/>
    <pivotHierarchy dragToData="1" caption="Average of Annual Marketing_Spend % of Sales"/>
    <pivotHierarchy dragToData="1" caption="Distinct Count of Annual Marketing_Spend % of Sales"/>
    <pivotHierarchy dragToData="1"/>
    <pivotHierarchy dragToData="1" caption="Average of Am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5">
    <filter fld="2" type="count" id="5" iMeasureHier="90">
      <autoFilter ref="A1">
        <filterColumn colId="0">
          <top10 val="1" filterVal="1"/>
        </filterColumn>
      </autoFilter>
    </filter>
    <filter fld="0" type="count" id="6" iMeasureHier="90">
      <autoFilter ref="A1">
        <filterColumn colId="0">
          <top10 val="1" filterVal="1"/>
        </filterColumn>
      </autoFilter>
    </filter>
    <filter fld="3" type="count" id="7" iMeasureHier="90">
      <autoFilter ref="A1">
        <filterColumn colId="0">
          <top10 val="1" filterVal="1"/>
        </filterColumn>
      </autoFilter>
    </filter>
    <filter fld="4" type="count" id="8" iMeasureHier="90">
      <autoFilter ref="A1">
        <filterColumn colId="0">
          <top10 val="1" filterVal="1"/>
        </filterColumn>
      </autoFilter>
    </filter>
    <filter fld="1" type="count" id="9" iMeasureHier="9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Returns_Table]"/>
        <x15:activeTabTopLevelEntity name="[Marketing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8F3CAD7-6BE3-4FF3-84B3-78188E73E5DB}" name="Sales In USD" cacheId="17" applyNumberFormats="0" applyBorderFormats="0" applyFontFormats="0" applyPatternFormats="0" applyAlignmentFormats="0" applyWidthHeightFormats="1" dataCaption="Values" tag="77b9c858-676e-4bc4-82b4-4339e17cdca0" updatedVersion="8" minRefreshableVersion="3" showDrill="0" useAutoFormatting="1" subtotalHiddenItems="1" itemPrintTitles="1" createdVersion="5" indent="0" outline="1" outlineData="1" multipleFieldFilters="0" chartFormat="27">
  <location ref="B4:C20"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2">
    <field x="2"/>
    <field x="1"/>
  </rowFields>
  <rowItems count="16">
    <i>
      <x/>
    </i>
    <i r="1">
      <x/>
    </i>
    <i r="1">
      <x v="1"/>
    </i>
    <i r="1">
      <x v="2"/>
    </i>
    <i r="1">
      <x v="3"/>
    </i>
    <i>
      <x v="1"/>
    </i>
    <i r="1">
      <x/>
    </i>
    <i r="1">
      <x v="1"/>
    </i>
    <i r="1">
      <x v="2"/>
    </i>
    <i r="1">
      <x v="3"/>
    </i>
    <i>
      <x v="2"/>
    </i>
    <i r="1">
      <x/>
    </i>
    <i r="1">
      <x v="1"/>
    </i>
    <i r="1">
      <x v="2"/>
    </i>
    <i r="1">
      <x v="3"/>
    </i>
    <i t="grand">
      <x/>
    </i>
  </rowItems>
  <colItems count="1">
    <i/>
  </colItems>
  <dataFields count="1">
    <dataField name="Sum of Sales" fld="0" baseField="0" baseItem="0"/>
  </dataFields>
  <formats count="6">
    <format dxfId="177">
      <pivotArea grandRow="1" outline="0" collapsedLevelsAreSubtotals="1" fieldPosition="0"/>
    </format>
    <format dxfId="176">
      <pivotArea collapsedLevelsAreSubtotals="1" fieldPosition="0">
        <references count="2">
          <reference field="1" count="0"/>
          <reference field="2" count="1" selected="0">
            <x v="0"/>
          </reference>
        </references>
      </pivotArea>
    </format>
    <format dxfId="175">
      <pivotArea collapsedLevelsAreSubtotals="1" fieldPosition="0">
        <references count="1">
          <reference field="2" count="1">
            <x v="1"/>
          </reference>
        </references>
      </pivotArea>
    </format>
    <format dxfId="174">
      <pivotArea collapsedLevelsAreSubtotals="1" fieldPosition="0">
        <references count="2">
          <reference field="1" count="0"/>
          <reference field="2" count="1" selected="0">
            <x v="1"/>
          </reference>
        </references>
      </pivotArea>
    </format>
    <format dxfId="173">
      <pivotArea collapsedLevelsAreSubtotals="1" fieldPosition="0">
        <references count="1">
          <reference field="2" count="1">
            <x v="2"/>
          </reference>
        </references>
      </pivotArea>
    </format>
    <format dxfId="172">
      <pivotArea collapsedLevelsAreSubtotals="1" fieldPosition="0">
        <references count="2">
          <reference field="1" count="0"/>
          <reference field="2" count="1" selected="0">
            <x v="2"/>
          </reference>
        </references>
      </pivotArea>
    </format>
  </formats>
  <chartFormats count="4">
    <chartFormat chart="0"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26" format="8"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8"/>
    <rowHierarchyUsage hierarchyUsage="6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activeTabTopLevelEntity name="[Marketing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30BB26D-DC10-48BF-91E6-A4B7155CB9FC}" name="PivotTable5" cacheId="5" applyNumberFormats="0" applyBorderFormats="0" applyFontFormats="0" applyPatternFormats="0" applyAlignmentFormats="0" applyWidthHeightFormats="1" dataCaption="Values" tag="77b9c858-676e-4bc4-82b4-4339e17cdca0" updatedVersion="8" minRefreshableVersion="3" showDrill="0" useAutoFormatting="1" subtotalHiddenItems="1" itemPrintTitles="1" createdVersion="5" indent="0" outline="1" outlineData="1" multipleFieldFilters="0" chartFormat="39">
  <location ref="DJ6:DK11" firstHeaderRow="1" firstDataRow="1" firstDataCol="1"/>
  <pivotFields count="4">
    <pivotField dataField="1" subtotalTop="0" showAll="0" defaultSubtotal="0"/>
    <pivotField allDrilled="1" subtotalTop="0"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llDrilled="1" subtotalTop="0" showAll="0" sortType="ascending" defaultAttributeDrillState="1">
      <items count="20">
        <item x="0"/>
        <item x="1"/>
        <item x="2"/>
        <item x="3"/>
        <item x="4"/>
        <item x="5"/>
        <item x="6"/>
        <item x="7"/>
        <item x="8"/>
        <item x="9"/>
        <item x="10"/>
        <item x="11"/>
        <item x="12"/>
        <item x="13"/>
        <item x="14"/>
        <item x="15"/>
        <item x="16"/>
        <item x="17"/>
        <item x="18"/>
        <item t="default"/>
      </items>
      <autoSortScope>
        <pivotArea dataOnly="0" outline="0" fieldPosition="0">
          <references count="1">
            <reference field="4294967294" count="1" selected="0">
              <x v="0"/>
            </reference>
          </references>
        </pivotArea>
      </autoSortScope>
    </pivotField>
    <pivotField axis="axisRow" allDrilled="1" subtotalTop="0" showAll="0" dataSourceSort="1" defaultAttributeDrillState="1">
      <items count="5">
        <item x="0"/>
        <item x="1"/>
        <item x="2"/>
        <item x="3"/>
        <item t="default"/>
      </items>
    </pivotField>
  </pivotFields>
  <rowFields count="1">
    <field x="3"/>
  </rowFields>
  <rowItems count="5">
    <i>
      <x/>
    </i>
    <i>
      <x v="1"/>
    </i>
    <i>
      <x v="2"/>
    </i>
    <i>
      <x v="3"/>
    </i>
    <i t="grand">
      <x/>
    </i>
  </rowItems>
  <colItems count="1">
    <i/>
  </colItems>
  <dataFields count="1">
    <dataField name="Sum of Sales" fld="0" baseField="0" baseItem="0"/>
  </dataFields>
  <formats count="2">
    <format dxfId="179">
      <pivotArea grandRow="1" outline="0" collapsedLevelsAreSubtotals="1" fieldPosition="0"/>
    </format>
    <format dxfId="178">
      <pivotArea collapsedLevelsAreSubtotals="1" fieldPosition="0">
        <references count="1">
          <reference field="3" count="0"/>
        </references>
      </pivotArea>
    </format>
  </formats>
  <chartFormats count="13">
    <chartFormat chart="0"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26" format="8"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6" format="1">
      <pivotArea type="data" outline="0" fieldPosition="0">
        <references count="2">
          <reference field="4294967294" count="1" selected="0">
            <x v="0"/>
          </reference>
          <reference field="3" count="1" selected="0">
            <x v="1"/>
          </reference>
        </references>
      </pivotArea>
    </chartFormat>
    <chartFormat chart="36" format="2">
      <pivotArea type="data" outline="0" fieldPosition="0">
        <references count="2">
          <reference field="4294967294" count="1" selected="0">
            <x v="0"/>
          </reference>
          <reference field="3" count="1" selected="0">
            <x v="3"/>
          </reference>
        </references>
      </pivotArea>
    </chartFormat>
    <chartFormat chart="36" format="3">
      <pivotArea type="data" outline="0" fieldPosition="0">
        <references count="2">
          <reference field="4294967294" count="1" selected="0">
            <x v="0"/>
          </reference>
          <reference field="3" count="1" selected="0">
            <x v="2"/>
          </reference>
        </references>
      </pivotArea>
    </chartFormat>
    <chartFormat chart="36" format="4">
      <pivotArea type="data" outline="0" fieldPosition="0">
        <references count="2">
          <reference field="4294967294" count="1" selected="0">
            <x v="0"/>
          </reference>
          <reference field="3"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90">
      <autoFilter ref="A1">
        <filterColumn colId="0">
          <top10 val="10" filterVal="10"/>
        </filterColumn>
      </autoFilter>
    </filter>
  </filters>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activeTabTopLevelEntity name="[Marketing_Table]"/>
      </x15:pivotTableUISettings>
    </ext>
    <ext xmlns:xpdl="http://schemas.microsoft.com/office/spreadsheetml/2016/pivotdefaultlayout" uri="{747A6164-185A-40DC-8AA5-F01512510D54}">
      <xpdl:pivotTableDefinition16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FC8C7890-E9C0-408A-9B6D-D0F0EF6D6859}" name="PivotTable15" cacheId="11" applyNumberFormats="0" applyBorderFormats="0" applyFontFormats="0" applyPatternFormats="0" applyAlignmentFormats="0" applyWidthHeightFormats="1" dataCaption="Values" tag="77b9c858-676e-4bc4-82b4-4339e17cdca0" updatedVersion="8" minRefreshableVersion="3" showDrill="0" useAutoFormatting="1" subtotalHiddenItems="1" itemPrintTitles="1" createdVersion="5" indent="0" outline="1" outlineData="1" multipleFieldFilters="0" chartFormat="59">
  <location ref="HR6:HS25" firstHeaderRow="1" firstDataRow="1" firstDataCol="1"/>
  <pivotFields count="6">
    <pivotField allDrilled="1" subtotalTop="0" showAll="0" measureFilter="1" defaultAttributeDrillState="1">
      <items count="11">
        <item x="0"/>
        <item x="1"/>
        <item x="2"/>
        <item x="3"/>
        <item x="4"/>
        <item x="5"/>
        <item x="6"/>
        <item x="7"/>
        <item x="8"/>
        <item x="9"/>
        <item t="default"/>
      </items>
    </pivotField>
    <pivotField allDrilled="1" subtotalTop="0" showAll="0" measureFilter="1" defaultAttributeDrillState="1">
      <items count="11">
        <item x="0"/>
        <item x="1"/>
        <item x="2"/>
        <item x="3"/>
        <item x="4"/>
        <item x="5"/>
        <item x="6"/>
        <item x="7"/>
        <item x="8"/>
        <item x="9"/>
        <item t="default"/>
      </items>
    </pivotField>
    <pivotField allDrilled="1" subtotalTop="0" showAll="0" measureFilter="1" defaultAttributeDrillState="1">
      <items count="11">
        <item x="0"/>
        <item x="1"/>
        <item x="2"/>
        <item x="3"/>
        <item x="4"/>
        <item x="5"/>
        <item x="6"/>
        <item x="7"/>
        <item x="8"/>
        <item x="9"/>
        <item t="default"/>
      </items>
    </pivotField>
    <pivotField dataField="1" subtotalTop="0" showAll="0"/>
    <pivotField axis="axisRow" allDrilled="1" subtotalTop="0" showAll="0" dataSourceSort="1" defaultAttributeDrillState="1">
      <items count="4">
        <item x="0"/>
        <item x="1"/>
        <item x="2"/>
        <item t="default"/>
      </items>
    </pivotField>
    <pivotField axis="axisRow" allDrilled="1" subtotalTop="0" showAll="0" dataSourceSort="1" defaultAttributeDrillState="1">
      <items count="5">
        <item x="0"/>
        <item x="1"/>
        <item x="2"/>
        <item x="3"/>
        <item t="default"/>
      </items>
    </pivotField>
  </pivotFields>
  <rowFields count="2">
    <field x="4"/>
    <field x="5"/>
  </rowFields>
  <rowItems count="19">
    <i>
      <x/>
    </i>
    <i r="1">
      <x/>
    </i>
    <i r="1">
      <x v="1"/>
    </i>
    <i r="1">
      <x v="2"/>
    </i>
    <i r="1">
      <x v="3"/>
    </i>
    <i t="default">
      <x/>
    </i>
    <i>
      <x v="1"/>
    </i>
    <i r="1">
      <x/>
    </i>
    <i r="1">
      <x v="1"/>
    </i>
    <i r="1">
      <x v="2"/>
    </i>
    <i r="1">
      <x v="3"/>
    </i>
    <i t="default">
      <x v="1"/>
    </i>
    <i>
      <x v="2"/>
    </i>
    <i r="1">
      <x/>
    </i>
    <i r="1">
      <x v="1"/>
    </i>
    <i r="1">
      <x v="2"/>
    </i>
    <i r="1">
      <x v="3"/>
    </i>
    <i t="default">
      <x v="2"/>
    </i>
    <i t="grand">
      <x/>
    </i>
  </rowItems>
  <colItems count="1">
    <i/>
  </colItems>
  <dataFields count="1">
    <dataField name="Sum of Amt" fld="3" baseField="0" baseItem="0" numFmtId="164"/>
  </dataFields>
  <formats count="12">
    <format dxfId="191">
      <pivotArea grandRow="1" outline="0" collapsedLevelsAreSubtotals="1" fieldPosition="0"/>
    </format>
    <format dxfId="190">
      <pivotArea outline="0" collapsedLevelsAreSubtotals="1" fieldPosition="0"/>
    </format>
    <format dxfId="189">
      <pivotArea type="all" dataOnly="0" outline="0" fieldPosition="0"/>
    </format>
    <format dxfId="188">
      <pivotArea outline="0" collapsedLevelsAreSubtotals="1" fieldPosition="0"/>
    </format>
    <format dxfId="187">
      <pivotArea field="4" type="button" dataOnly="0" labelOnly="1" outline="0" axis="axisRow" fieldPosition="0"/>
    </format>
    <format dxfId="186">
      <pivotArea dataOnly="0" labelOnly="1" fieldPosition="0">
        <references count="1">
          <reference field="4" count="0"/>
        </references>
      </pivotArea>
    </format>
    <format dxfId="185">
      <pivotArea dataOnly="0" labelOnly="1" fieldPosition="0">
        <references count="1">
          <reference field="4" count="0" defaultSubtotal="1"/>
        </references>
      </pivotArea>
    </format>
    <format dxfId="184">
      <pivotArea dataOnly="0" labelOnly="1" grandRow="1" outline="0" fieldPosition="0"/>
    </format>
    <format dxfId="183">
      <pivotArea dataOnly="0" labelOnly="1" fieldPosition="0">
        <references count="2">
          <reference field="4" count="1" selected="0">
            <x v="0"/>
          </reference>
          <reference field="5" count="0"/>
        </references>
      </pivotArea>
    </format>
    <format dxfId="182">
      <pivotArea dataOnly="0" labelOnly="1" fieldPosition="0">
        <references count="2">
          <reference field="4" count="1" selected="0">
            <x v="1"/>
          </reference>
          <reference field="5" count="0"/>
        </references>
      </pivotArea>
    </format>
    <format dxfId="181">
      <pivotArea dataOnly="0" labelOnly="1" fieldPosition="0">
        <references count="2">
          <reference field="4" count="1" selected="0">
            <x v="2"/>
          </reference>
          <reference field="5" count="0"/>
        </references>
      </pivotArea>
    </format>
    <format dxfId="180">
      <pivotArea dataOnly="0" labelOnly="1" outline="0" axis="axisValues" fieldPosition="0"/>
    </format>
  </formats>
  <chartFormats count="1">
    <chartFormat chart="57" format="0"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turns"/>
    <pivotHierarchy dragToData="1"/>
    <pivotHierarchy dragToData="1"/>
  </pivotHierarchies>
  <pivotTableStyleInfo name="PivotStyleLight16" showRowHeaders="1" showColHeaders="1" showRowStripes="0" showColStripes="0" showLastColumn="1"/>
  <filters count="3">
    <filter fld="0" type="count" id="1" iMeasureHier="90">
      <autoFilter ref="A1">
        <filterColumn colId="0">
          <top10 val="10" filterVal="10"/>
        </filterColumn>
      </autoFilter>
    </filter>
    <filter fld="1" type="count" id="2" iMeasureHier="90">
      <autoFilter ref="A1">
        <filterColumn colId="0">
          <top10 val="10" filterVal="10"/>
        </filterColumn>
      </autoFilter>
    </filter>
    <filter fld="2" type="count" id="3" iMeasureHier="103">
      <autoFilter ref="A1">
        <filterColumn colId="0">
          <top10 val="10" filterVal="10"/>
        </filterColumn>
      </autoFilter>
    </filter>
  </filters>
  <rowHierarchiesUsage count="2">
    <rowHierarchyUsage hierarchyUsage="25"/>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ales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activeTabTopLevelEntity name="[Marketing_Table]"/>
        <x15:activeTabTopLevelEntity name="[Returns_Table]"/>
      </x15:pivotTableUISettings>
    </ext>
    <ext xmlns:xpdl="http://schemas.microsoft.com/office/spreadsheetml/2016/pivotdefaultlayout" uri="{747A6164-185A-40DC-8AA5-F01512510D54}">
      <xpdl:pivotTableDefinition16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415BDAB2-13B0-4A94-A262-F94B9A56E9AE}" name="PivotTable17" cacheId="2" applyNumberFormats="0" applyBorderFormats="0" applyFontFormats="0" applyPatternFormats="0" applyAlignmentFormats="0" applyWidthHeightFormats="1" dataCaption="Values" tag="77b9c858-676e-4bc4-82b4-4339e17cdca0" updatedVersion="8" minRefreshableVersion="3" showDrill="0" useAutoFormatting="1" subtotalHiddenItems="1" itemPrintTitles="1" createdVersion="5" indent="0" outline="1" outlineData="1" multipleFieldFilters="0" chartFormat="63">
  <location ref="IT6:IU17" firstHeaderRow="1" firstDataRow="1" firstDataCol="1"/>
  <pivotFields count="6">
    <pivotField allDrilled="1" subtotalTop="0" showAll="0" measureFilter="1" defaultAttributeDrillState="1">
      <items count="11">
        <item x="0"/>
        <item x="1"/>
        <item x="2"/>
        <item x="3"/>
        <item x="4"/>
        <item x="5"/>
        <item x="6"/>
        <item x="7"/>
        <item x="8"/>
        <item x="9"/>
        <item t="default"/>
      </items>
    </pivotField>
    <pivotField allDrilled="1" subtotalTop="0" showAll="0" measureFilter="1" defaultAttributeDrillState="1">
      <items count="11">
        <item x="0"/>
        <item x="1"/>
        <item x="2"/>
        <item x="3"/>
        <item x="4"/>
        <item x="5"/>
        <item x="6"/>
        <item x="7"/>
        <item x="8"/>
        <item x="9"/>
        <item t="default"/>
      </items>
    </pivotField>
    <pivotField allDrilled="1" subtotalTop="0" showAll="0" measureFilter="1" defaultAttributeDrillState="1">
      <items count="11">
        <item x="0"/>
        <item x="1"/>
        <item x="2"/>
        <item x="3"/>
        <item x="4"/>
        <item x="5"/>
        <item x="6"/>
        <item x="7"/>
        <item x="8"/>
        <item x="9"/>
        <item t="default"/>
      </items>
    </pivotField>
    <pivotField dataField="1" subtotalTop="0" showAll="0"/>
    <pivotField allDrilled="1" subtotalTop="0" showAll="0" sortType="a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axis="axisRow" allDrilled="1" subtotalTop="0"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s>
  <rowFields count="1">
    <field x="5"/>
  </rowFields>
  <rowItems count="11">
    <i>
      <x v="5"/>
    </i>
    <i>
      <x v="7"/>
    </i>
    <i>
      <x v="8"/>
    </i>
    <i>
      <x v="6"/>
    </i>
    <i>
      <x v="9"/>
    </i>
    <i>
      <x/>
    </i>
    <i>
      <x v="1"/>
    </i>
    <i>
      <x v="4"/>
    </i>
    <i>
      <x v="2"/>
    </i>
    <i>
      <x v="3"/>
    </i>
    <i t="grand">
      <x/>
    </i>
  </rowItems>
  <colItems count="1">
    <i/>
  </colItems>
  <dataFields count="1">
    <dataField name="Sum of Amt" fld="3" baseField="0" baseItem="0" numFmtId="164"/>
  </dataFields>
  <formats count="2">
    <format dxfId="193">
      <pivotArea grandRow="1" outline="0" collapsedLevelsAreSubtotals="1" fieldPosition="0"/>
    </format>
    <format dxfId="192">
      <pivotArea outline="0" collapsedLevelsAreSubtotals="1" fieldPosition="0"/>
    </format>
  </formats>
  <chartFormats count="4">
    <chartFormat chart="55" format="0"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59" format="3" series="1">
      <pivotArea type="data" outline="0" fieldPosition="0">
        <references count="1">
          <reference field="4294967294" count="1" selected="0">
            <x v="0"/>
          </reference>
        </references>
      </pivotArea>
    </chartFormat>
    <chartFormat chart="61" format="0"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turns"/>
    <pivotHierarchy dragToData="1"/>
    <pivotHierarchy dragToData="1"/>
  </pivotHierarchies>
  <pivotTableStyleInfo name="PivotStyleLight16" showRowHeaders="1" showColHeaders="1" showRowStripes="0" showColStripes="0" showLastColumn="1"/>
  <filters count="4">
    <filter fld="0" type="count" id="1" iMeasureHier="90">
      <autoFilter ref="A1">
        <filterColumn colId="0">
          <top10 val="10" filterVal="10"/>
        </filterColumn>
      </autoFilter>
    </filter>
    <filter fld="1" type="count" id="2" iMeasureHier="90">
      <autoFilter ref="A1">
        <filterColumn colId="0">
          <top10 val="10" filterVal="10"/>
        </filterColumn>
      </autoFilter>
    </filter>
    <filter fld="2" type="count" id="3" iMeasureHier="103">
      <autoFilter ref="A1">
        <filterColumn colId="0">
          <top10 val="10" filterVal="10"/>
        </filterColumn>
      </autoFilter>
    </filter>
    <filter fld="5" type="count" id="4" iMeasureHier="93">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activeTabTopLevelEntity name="[Marketing_Table]"/>
        <x15:activeTabTopLevelEntity name="[Returns_Table]"/>
      </x15:pivotTableUISettings>
    </ext>
    <ext xmlns:xpdl="http://schemas.microsoft.com/office/spreadsheetml/2016/pivotdefaultlayout" uri="{747A6164-185A-40DC-8AA5-F01512510D54}">
      <xpdl:pivotTableDefinition16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FD1A6212-8B27-4441-A26B-71A7EB9D09A4}" name="TOP CITY" cacheId="27" applyNumberFormats="0" applyBorderFormats="0" applyFontFormats="0" applyPatternFormats="0" applyAlignmentFormats="0" applyWidthHeightFormats="1" dataCaption="Values" tag="03b5f9b7-e5b0-42ba-85f0-cee3ad0b5d7b" updatedVersion="8" minRefreshableVersion="3" showDrill="0" useAutoFormatting="1" subtotalHiddenItems="1" rowGrandTotals="0" colGrandTotals="0" itemPrintTitles="1" createdVersion="5" indent="0" outline="1" outlineData="1" multipleFieldFilters="0" chartFormat="32">
  <location ref="BG18:BH19"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1">
    <i>
      <x/>
    </i>
  </rowItems>
  <colItems count="1">
    <i/>
  </colItems>
  <dataFields count="1">
    <dataField name="Sum of Sales" fld="3" baseField="0" baseItem="0"/>
  </dataFields>
  <formats count="5">
    <format dxfId="198">
      <pivotArea grandRow="1" outline="0" collapsedLevelsAreSubtotals="1" fieldPosition="0"/>
    </format>
    <format dxfId="197">
      <pivotArea outline="0" collapsedLevelsAreSubtotals="1" fieldPosition="0"/>
    </format>
    <format dxfId="196">
      <pivotArea outline="0" collapsedLevelsAreSubtotals="1" fieldPosition="0"/>
    </format>
    <format dxfId="195">
      <pivotArea outline="0" collapsedLevelsAreSubtotals="1" fieldPosition="0"/>
    </format>
    <format dxfId="194">
      <pivotArea outline="0" collapsedLevelsAreSubtotals="1" fieldPosition="0"/>
    </format>
  </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Amt"/>
    <pivotHierarchy dragToData="1"/>
    <pivotHierarchy dragToData="1"/>
    <pivotHierarchy dragToData="1" caption="Distinct Count of Deal_Size"/>
    <pivotHierarchy dragToData="1"/>
    <pivotHierarchy dragToData="1"/>
    <pivotHierarchy dragToData="1" caption="Average of Annual Marketing_Spend % of Sales"/>
    <pivotHierarchy dragToData="1" caption="Distinct Count of Annual Marketing_Spend % of Sales"/>
    <pivotHierarchy dragToData="1"/>
    <pivotHierarchy dragToData="1" caption="Average of Am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2" type="count" id="5" iMeasureHier="90">
      <autoFilter ref="A1">
        <filterColumn colId="0">
          <top10 val="1" filterVal="1"/>
        </filterColumn>
      </autoFilter>
    </filter>
    <filter fld="0" type="count" id="1" iMeasureHier="90">
      <autoFilter ref="A1">
        <filterColumn colId="0">
          <top10 val="10" filterVal="10"/>
        </filterColumn>
      </autoFilter>
    </filter>
    <filter fld="1" type="count" id="2" iMeasureHier="90">
      <autoFilter ref="A1">
        <filterColumn colId="0">
          <top10 val="10" filterVal="10"/>
        </filterColumn>
      </autoFilter>
    </filter>
  </filters>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Returns_Table]"/>
        <x15:activeTabTopLevelEntity name="[Marketing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B0D4C5CE-1562-426F-A99A-9E4D8C52446A}" name="PivotTable27" cacheId="16" applyNumberFormats="0" applyBorderFormats="0" applyFontFormats="0" applyPatternFormats="0" applyAlignmentFormats="0" applyWidthHeightFormats="1" dataCaption="Values" tag="77b9c858-676e-4bc4-82b4-4339e17cdca0" updatedVersion="8" minRefreshableVersion="3" showDrill="0" useAutoFormatting="1" subtotalHiddenItems="1" itemPrintTitles="1" createdVersion="5" indent="0" outline="1" outlineData="1" multipleFieldFilters="0" chartFormat="55">
  <location ref="HG65:HO115" firstHeaderRow="1" firstDataRow="3" firstDataCol="1"/>
  <pivotFields count="7">
    <pivotField allDrilled="1" subtotalTop="0" showAll="0" measureFilter="1" defaultAttributeDrillState="1">
      <items count="11">
        <item x="0"/>
        <item x="1"/>
        <item x="2"/>
        <item x="3"/>
        <item x="4"/>
        <item x="5"/>
        <item x="6"/>
        <item x="7"/>
        <item x="8"/>
        <item x="9"/>
        <item t="default"/>
      </items>
    </pivotField>
    <pivotField allDrilled="1" subtotalTop="0" showAll="0" measureFilter="1" defaultAttributeDrillState="1">
      <items count="11">
        <item x="0"/>
        <item x="1"/>
        <item x="2"/>
        <item x="3"/>
        <item x="4"/>
        <item x="5"/>
        <item x="6"/>
        <item x="7"/>
        <item x="8"/>
        <item x="9"/>
        <item t="default"/>
      </items>
    </pivotField>
    <pivotField axis="axisRow" allDrilled="1" subtotalTop="0" showAll="0" dataSourceSort="1" defaultAttributeDrillState="1">
      <items count="8">
        <item x="0"/>
        <item x="1"/>
        <item x="2"/>
        <item x="3"/>
        <item x="4"/>
        <item x="5"/>
        <item x="6"/>
        <item t="default"/>
      </items>
    </pivotField>
    <pivotField axis="axisRow" allDrilled="1" subtotalTop="0" showAll="0" dataSourceSort="1" defaultAttributeDrillState="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dataField="1" subtotalTop="0" showAll="0"/>
    <pivotField dataField="1" subtotalTop="0" showAll="0"/>
    <pivotField axis="axisCol" allDrilled="1" subtotalTop="0" showAll="0" dataSourceSort="1" defaultAttributeDrillState="1">
      <items count="4">
        <item x="0"/>
        <item x="1"/>
        <item x="2"/>
        <item t="default"/>
      </items>
    </pivotField>
  </pivotFields>
  <rowFields count="2">
    <field x="2"/>
    <field x="3"/>
  </rowFields>
  <rowItems count="48">
    <i>
      <x/>
    </i>
    <i r="1">
      <x/>
    </i>
    <i r="1">
      <x v="1"/>
    </i>
    <i r="1">
      <x v="2"/>
    </i>
    <i r="1">
      <x v="3"/>
    </i>
    <i r="1">
      <x v="4"/>
    </i>
    <i t="default">
      <x/>
    </i>
    <i>
      <x v="1"/>
    </i>
    <i r="1">
      <x v="5"/>
    </i>
    <i r="1">
      <x v="6"/>
    </i>
    <i r="1">
      <x v="7"/>
    </i>
    <i r="1">
      <x v="8"/>
    </i>
    <i r="1">
      <x v="9"/>
    </i>
    <i r="1">
      <x v="10"/>
    </i>
    <i t="default">
      <x v="1"/>
    </i>
    <i>
      <x v="2"/>
    </i>
    <i r="1">
      <x v="11"/>
    </i>
    <i r="1">
      <x v="12"/>
    </i>
    <i r="1">
      <x v="13"/>
    </i>
    <i t="default">
      <x v="2"/>
    </i>
    <i>
      <x v="3"/>
    </i>
    <i r="1">
      <x v="14"/>
    </i>
    <i r="1">
      <x v="15"/>
    </i>
    <i r="1">
      <x v="16"/>
    </i>
    <i r="1">
      <x v="17"/>
    </i>
    <i t="default">
      <x v="3"/>
    </i>
    <i>
      <x v="4"/>
    </i>
    <i r="1">
      <x v="18"/>
    </i>
    <i r="1">
      <x v="19"/>
    </i>
    <i r="1">
      <x v="20"/>
    </i>
    <i r="1">
      <x v="21"/>
    </i>
    <i r="1">
      <x v="22"/>
    </i>
    <i t="default">
      <x v="4"/>
    </i>
    <i>
      <x v="5"/>
    </i>
    <i r="1">
      <x v="23"/>
    </i>
    <i r="1">
      <x v="24"/>
    </i>
    <i r="1">
      <x v="25"/>
    </i>
    <i r="1">
      <x v="26"/>
    </i>
    <i r="1">
      <x v="27"/>
    </i>
    <i t="default">
      <x v="5"/>
    </i>
    <i>
      <x v="6"/>
    </i>
    <i r="1">
      <x v="28"/>
    </i>
    <i r="1">
      <x v="29"/>
    </i>
    <i r="1">
      <x v="30"/>
    </i>
    <i r="1">
      <x v="31"/>
    </i>
    <i r="1">
      <x v="32"/>
    </i>
    <i t="default">
      <x v="6"/>
    </i>
    <i t="grand">
      <x/>
    </i>
  </rowItems>
  <colFields count="2">
    <field x="-2"/>
    <field x="6"/>
  </colFields>
  <colItems count="8">
    <i>
      <x/>
      <x/>
    </i>
    <i r="1">
      <x v="1"/>
    </i>
    <i r="1">
      <x v="2"/>
    </i>
    <i i="1">
      <x v="1"/>
      <x/>
    </i>
    <i r="1" i="1">
      <x v="1"/>
    </i>
    <i r="1" i="1">
      <x v="2"/>
    </i>
    <i t="grand">
      <x/>
    </i>
    <i t="grand" i="1">
      <x v="1"/>
    </i>
  </colItems>
  <dataFields count="2">
    <dataField name="Sum of Quantity_Ordered_Return" fld="4" baseField="0" baseItem="0"/>
    <dataField name="Sum of Quantity_Ordered" fld="5" baseField="0" baseItem="0"/>
  </dataFields>
  <formats count="27">
    <format dxfId="225">
      <pivotArea grandRow="1" outline="0" collapsedLevelsAreSubtotals="1" fieldPosition="0"/>
    </format>
    <format dxfId="224">
      <pivotArea type="all" dataOnly="0" outline="0" fieldPosition="0"/>
    </format>
    <format dxfId="223">
      <pivotArea outline="0" collapsedLevelsAreSubtotals="1" fieldPosition="0"/>
    </format>
    <format dxfId="222">
      <pivotArea dataOnly="0" labelOnly="1" grandRow="1" outline="0" fieldPosition="0"/>
    </format>
    <format dxfId="221">
      <pivotArea dataOnly="0" labelOnly="1" outline="0" axis="axisValues" fieldPosition="0"/>
    </format>
    <format dxfId="220">
      <pivotArea type="all" dataOnly="0" outline="0" fieldPosition="0"/>
    </format>
    <format dxfId="219">
      <pivotArea outline="0" collapsedLevelsAreSubtotals="1" fieldPosition="0"/>
    </format>
    <format dxfId="218">
      <pivotArea type="origin" dataOnly="0" labelOnly="1" outline="0" fieldPosition="0"/>
    </format>
    <format dxfId="217">
      <pivotArea field="-2" type="button" dataOnly="0" labelOnly="1" outline="0" axis="axisCol" fieldPosition="0"/>
    </format>
    <format dxfId="216">
      <pivotArea field="6" type="button" dataOnly="0" labelOnly="1" outline="0" axis="axisCol" fieldPosition="1"/>
    </format>
    <format dxfId="215">
      <pivotArea type="topRight" dataOnly="0" labelOnly="1" outline="0" fieldPosition="0"/>
    </format>
    <format dxfId="214">
      <pivotArea field="2" type="button" dataOnly="0" labelOnly="1" outline="0" axis="axisRow" fieldPosition="0"/>
    </format>
    <format dxfId="213">
      <pivotArea dataOnly="0" labelOnly="1" fieldPosition="0">
        <references count="1">
          <reference field="2" count="0"/>
        </references>
      </pivotArea>
    </format>
    <format dxfId="212">
      <pivotArea dataOnly="0" labelOnly="1" fieldPosition="0">
        <references count="1">
          <reference field="2" count="0" defaultSubtotal="1"/>
        </references>
      </pivotArea>
    </format>
    <format dxfId="211">
      <pivotArea dataOnly="0" labelOnly="1" grandRow="1" outline="0" fieldPosition="0"/>
    </format>
    <format dxfId="210">
      <pivotArea dataOnly="0" labelOnly="1" fieldPosition="0">
        <references count="2">
          <reference field="2" count="1" selected="0">
            <x v="0"/>
          </reference>
          <reference field="3" count="5">
            <x v="0"/>
            <x v="1"/>
            <x v="2"/>
            <x v="3"/>
            <x v="4"/>
          </reference>
        </references>
      </pivotArea>
    </format>
    <format dxfId="209">
      <pivotArea dataOnly="0" labelOnly="1" fieldPosition="0">
        <references count="2">
          <reference field="2" count="1" selected="0">
            <x v="1"/>
          </reference>
          <reference field="3" count="6">
            <x v="5"/>
            <x v="6"/>
            <x v="7"/>
            <x v="8"/>
            <x v="9"/>
            <x v="10"/>
          </reference>
        </references>
      </pivotArea>
    </format>
    <format dxfId="208">
      <pivotArea dataOnly="0" labelOnly="1" fieldPosition="0">
        <references count="2">
          <reference field="2" count="1" selected="0">
            <x v="2"/>
          </reference>
          <reference field="3" count="3">
            <x v="11"/>
            <x v="12"/>
            <x v="13"/>
          </reference>
        </references>
      </pivotArea>
    </format>
    <format dxfId="207">
      <pivotArea dataOnly="0" labelOnly="1" fieldPosition="0">
        <references count="2">
          <reference field="2" count="1" selected="0">
            <x v="3"/>
          </reference>
          <reference field="3" count="4">
            <x v="14"/>
            <x v="15"/>
            <x v="16"/>
            <x v="17"/>
          </reference>
        </references>
      </pivotArea>
    </format>
    <format dxfId="206">
      <pivotArea dataOnly="0" labelOnly="1" fieldPosition="0">
        <references count="2">
          <reference field="2" count="1" selected="0">
            <x v="4"/>
          </reference>
          <reference field="3" count="5">
            <x v="18"/>
            <x v="19"/>
            <x v="20"/>
            <x v="21"/>
            <x v="22"/>
          </reference>
        </references>
      </pivotArea>
    </format>
    <format dxfId="205">
      <pivotArea dataOnly="0" labelOnly="1" fieldPosition="0">
        <references count="2">
          <reference field="2" count="1" selected="0">
            <x v="5"/>
          </reference>
          <reference field="3" count="5">
            <x v="23"/>
            <x v="24"/>
            <x v="25"/>
            <x v="26"/>
            <x v="27"/>
          </reference>
        </references>
      </pivotArea>
    </format>
    <format dxfId="204">
      <pivotArea dataOnly="0" labelOnly="1" fieldPosition="0">
        <references count="2">
          <reference field="2" count="1" selected="0">
            <x v="6"/>
          </reference>
          <reference field="3" count="5">
            <x v="28"/>
            <x v="29"/>
            <x v="30"/>
            <x v="31"/>
            <x v="32"/>
          </reference>
        </references>
      </pivotArea>
    </format>
    <format dxfId="203">
      <pivotArea dataOnly="0" labelOnly="1" outline="0" fieldPosition="0">
        <references count="1">
          <reference field="4294967294" count="2">
            <x v="0"/>
            <x v="1"/>
          </reference>
        </references>
      </pivotArea>
    </format>
    <format dxfId="202">
      <pivotArea field="6" dataOnly="0" labelOnly="1" grandCol="1" outline="0" axis="axisCol" fieldPosition="1">
        <references count="1">
          <reference field="4294967294" count="1" selected="0">
            <x v="0"/>
          </reference>
        </references>
      </pivotArea>
    </format>
    <format dxfId="201">
      <pivotArea field="6" dataOnly="0" labelOnly="1" grandCol="1" outline="0" axis="axisCol" fieldPosition="1">
        <references count="1">
          <reference field="4294967294" count="1" selected="0">
            <x v="1"/>
          </reference>
        </references>
      </pivotArea>
    </format>
    <format dxfId="200">
      <pivotArea dataOnly="0" labelOnly="1" fieldPosition="0">
        <references count="2">
          <reference field="4294967294" count="1" selected="0">
            <x v="0"/>
          </reference>
          <reference field="6" count="0"/>
        </references>
      </pivotArea>
    </format>
    <format dxfId="199">
      <pivotArea dataOnly="0" labelOnly="1" fieldPosition="0">
        <references count="2">
          <reference field="4294967294" count="1" selected="0">
            <x v="1"/>
          </reference>
          <reference field="6" count="0"/>
        </references>
      </pivotArea>
    </format>
  </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Quantity_Ordered_Return"/>
    <pivotHierarchy dragToData="1"/>
    <pivotHierarchy dragToData="1"/>
    <pivotHierarchy dragToData="1"/>
    <pivotHierarchy dragToData="1" caption="Count of Returns"/>
    <pivotHierarchy dragToData="1"/>
    <pivotHierarchy dragToData="1"/>
  </pivotHierarchies>
  <pivotTableStyleInfo name="PivotStyleLight16" showRowHeaders="1" showColHeaders="1" showRowStripes="0" showColStripes="0" showLastColumn="1"/>
  <filters count="2">
    <filter fld="0" type="count" id="1" iMeasureHier="90">
      <autoFilter ref="A1">
        <filterColumn colId="0">
          <top10 val="10" filterVal="10"/>
        </filterColumn>
      </autoFilter>
    </filter>
    <filter fld="1" type="count" id="2" iMeasureHier="90">
      <autoFilter ref="A1">
        <filterColumn colId="0">
          <top10 val="10" filterVal="10"/>
        </filterColumn>
      </autoFilter>
    </filter>
  </filters>
  <rowHierarchiesUsage count="2">
    <rowHierarchyUsage hierarchyUsage="31"/>
    <rowHierarchyUsage hierarchyUsage="32"/>
  </rowHierarchiesUsage>
  <colHierarchiesUsage count="2">
    <colHierarchyUsage hierarchyUsage="-2"/>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activeTabTopLevelEntity name="[Marketing_Table]"/>
        <x15:activeTabTopLevelEntity name="[Returns_Table]"/>
      </x15:pivotTableUISettings>
    </ext>
    <ext xmlns:xpdl="http://schemas.microsoft.com/office/spreadsheetml/2016/pivotdefaultlayout" uri="{747A6164-185A-40DC-8AA5-F01512510D54}">
      <xpdl:pivotTableDefinition16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87F7D649-1570-4DCD-BEC0-D00354274CCE}" name="Avg_Sales_Per_Qtr" cacheId="26" applyNumberFormats="0" applyBorderFormats="0" applyFontFormats="0" applyPatternFormats="0" applyAlignmentFormats="0" applyWidthHeightFormats="1" dataCaption="Values" tag="03b5f9b7-e5b0-42ba-85f0-cee3ad0b5d7b" updatedVersion="8" minRefreshableVersion="3" showDrill="0" useAutoFormatting="1" subtotalHiddenItems="1" itemPrintTitles="1" createdVersion="5" indent="0" outline="1" outlineData="1" multipleFieldFilters="0" chartFormat="32">
  <location ref="BG16:BG17" firstHeaderRow="1" firstDataRow="1" firstDataCol="0"/>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2" subtotal="count" baseField="0" baseItem="0"/>
  </dataFields>
  <formats count="5">
    <format dxfId="230">
      <pivotArea grandRow="1" outline="0" collapsedLevelsAreSubtotals="1" fieldPosition="0"/>
    </format>
    <format dxfId="229">
      <pivotArea outline="0" collapsedLevelsAreSubtotals="1" fieldPosition="0"/>
    </format>
    <format dxfId="228">
      <pivotArea outline="0" collapsedLevelsAreSubtotals="1" fieldPosition="0"/>
    </format>
    <format dxfId="227">
      <pivotArea outline="0" collapsedLevelsAreSubtotals="1" fieldPosition="0"/>
    </format>
    <format dxfId="226">
      <pivotArea outline="0" collapsedLevelsAreSubtotals="1" fieldPosition="0"/>
    </format>
  </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Amt"/>
    <pivotHierarchy dragToData="1"/>
    <pivotHierarchy dragToData="1"/>
    <pivotHierarchy dragToData="1" caption="Distinct Count of Deal_Size"/>
    <pivotHierarchy dragToData="1"/>
    <pivotHierarchy dragToData="1"/>
    <pivotHierarchy dragToData="1" caption="Average of Annual Marketing_Spend % of Sales"/>
    <pivotHierarchy dragToData="1" caption="Distinct Count of Annual Marketing_Spend % of Sales"/>
    <pivotHierarchy dragToData="1"/>
    <pivotHierarchy dragToData="1" caption="Average of Am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90">
      <autoFilter ref="A1">
        <filterColumn colId="0">
          <top10 val="10" filterVal="10"/>
        </filterColumn>
      </autoFilter>
    </filter>
    <filter fld="1" type="count" id="2" iMeasureHier="9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Returns_Table]"/>
        <x15:activeTabTopLevelEntity name="[Marketing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7E1D6C5C-A635-439B-AC2A-25B6E02F328D}" name="Return_Rate" cacheId="24" applyNumberFormats="0" applyBorderFormats="0" applyFontFormats="0" applyPatternFormats="0" applyAlignmentFormats="0" applyWidthHeightFormats="1" dataCaption="Values" tag="f7298306-c49e-49b6-bf5d-85273fdaf4ba" updatedVersion="8" minRefreshableVersion="3" showDrill="0" useAutoFormatting="1" subtotalHiddenItems="1" itemPrintTitles="1" createdVersion="5" indent="0" outline="1" outlineData="1" multipleFieldFilters="0" chartFormat="32">
  <location ref="BG12:BG13" firstHeaderRow="1" firstDataRow="1" firstDataCol="0"/>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2" subtotal="count" baseField="0" baseItem="0" numFmtId="10"/>
  </dataFields>
  <formats count="5">
    <format dxfId="235">
      <pivotArea grandRow="1" outline="0" collapsedLevelsAreSubtotals="1" fieldPosition="0"/>
    </format>
    <format dxfId="234">
      <pivotArea outline="0" collapsedLevelsAreSubtotals="1" fieldPosition="0"/>
    </format>
    <format dxfId="233">
      <pivotArea outline="0" collapsedLevelsAreSubtotals="1" fieldPosition="0"/>
    </format>
    <format dxfId="232">
      <pivotArea outline="0" collapsedLevelsAreSubtotals="1" fieldPosition="0"/>
    </format>
    <format dxfId="231">
      <pivotArea outline="0" collapsedLevelsAreSubtotals="1" fieldPosition="0"/>
    </format>
  </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Deal_Size"/>
    <pivotHierarchy dragToData="1"/>
    <pivotHierarchy dragToData="1"/>
    <pivotHierarchy dragToData="1" caption="Average of Annual Marketing_Spend % of Sales"/>
    <pivotHierarchy dragToData="1" caption="Distinct Count of Annual Marketing_Spend % of 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90">
      <autoFilter ref="A1">
        <filterColumn colId="0">
          <top10 val="10" filterVal="10"/>
        </filterColumn>
      </autoFilter>
    </filter>
    <filter fld="1" type="count" id="2" iMeasureHier="9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Returns_Table]"/>
        <x15:activeTabTopLevelEntity name="[Marketing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84C14FB1-1B9F-4C5E-99CF-F62A408994E7}" name="PivotTable8" cacheId="10" applyNumberFormats="0" applyBorderFormats="0" applyFontFormats="0" applyPatternFormats="0" applyAlignmentFormats="0" applyWidthHeightFormats="1" dataCaption="Values" tag="77b9c858-676e-4bc4-82b4-4339e17cdca0" updatedVersion="8" minRefreshableVersion="3" showDrill="0" useAutoFormatting="1" subtotalHiddenItems="1" itemPrintTitles="1" createdVersion="5" indent="0" outline="1" outlineData="1" multipleFieldFilters="0" chartFormat="47">
  <location ref="ET6:EU10" firstHeaderRow="1" firstDataRow="1" firstDataCol="1"/>
  <pivotFields count="6">
    <pivotField dataField="1" subtotalTop="0" showAll="0" defaultSubtotal="0"/>
    <pivotField allDrilled="1" subtotalTop="0"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llDrilled="1" subtotalTop="0" showAll="0" sortType="ascending" defaultAttributeDrillState="1">
      <items count="20">
        <item x="0"/>
        <item x="1"/>
        <item x="2"/>
        <item x="3"/>
        <item x="4"/>
        <item x="5"/>
        <item x="6"/>
        <item x="7"/>
        <item x="8"/>
        <item x="9"/>
        <item x="10"/>
        <item x="11"/>
        <item x="12"/>
        <item x="13"/>
        <item x="14"/>
        <item x="15"/>
        <item x="16"/>
        <item x="17"/>
        <item x="18"/>
        <item t="default"/>
      </items>
      <autoSortScope>
        <pivotArea dataOnly="0" outline="0" fieldPosition="0">
          <references count="1">
            <reference field="4294967294" count="1" selected="0">
              <x v="0"/>
            </reference>
          </references>
        </pivotArea>
      </autoSortScope>
    </pivotField>
    <pivotField allDrilled="1" subtotalTop="0" showAll="0"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allDrilled="1" subtotalTop="0"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xis="axisRow" allDrilled="1" subtotalTop="0" showAll="0" dataSourceSort="1" defaultAttributeDrillState="1">
      <items count="4">
        <item x="0"/>
        <item x="1"/>
        <item x="2"/>
        <item t="default"/>
      </items>
    </pivotField>
  </pivotFields>
  <rowFields count="1">
    <field x="5"/>
  </rowFields>
  <rowItems count="4">
    <i>
      <x/>
    </i>
    <i>
      <x v="1"/>
    </i>
    <i>
      <x v="2"/>
    </i>
    <i t="grand">
      <x/>
    </i>
  </rowItems>
  <colItems count="1">
    <i/>
  </colItems>
  <dataFields count="1">
    <dataField name="Sum of Sales" fld="0" baseField="0" baseItem="0"/>
  </dataFields>
  <formats count="2">
    <format dxfId="237">
      <pivotArea grandRow="1" outline="0" collapsedLevelsAreSubtotals="1" fieldPosition="0"/>
    </format>
    <format dxfId="236">
      <pivotArea collapsedLevelsAreSubtotals="1" fieldPosition="0">
        <references count="1">
          <reference field="5" count="0"/>
        </references>
      </pivotArea>
    </format>
  </formats>
  <chartFormats count="16">
    <chartFormat chart="0"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26" format="8"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5" format="1">
      <pivotArea type="data" outline="0" fieldPosition="0">
        <references count="2">
          <reference field="4294967294" count="1" selected="0">
            <x v="0"/>
          </reference>
          <reference field="5" count="1" selected="0">
            <x v="2"/>
          </reference>
        </references>
      </pivotArea>
    </chartFormat>
    <chartFormat chart="45" format="2">
      <pivotArea type="data" outline="0" fieldPosition="0">
        <references count="2">
          <reference field="4294967294" count="1" selected="0">
            <x v="0"/>
          </reference>
          <reference field="5" count="1" selected="0">
            <x v="1"/>
          </reference>
        </references>
      </pivotArea>
    </chartFormat>
    <chartFormat chart="45" format="3">
      <pivotArea type="data" outline="0" fieldPosition="0">
        <references count="2">
          <reference field="4294967294" count="1" selected="0">
            <x v="0"/>
          </reference>
          <reference field="5"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90">
      <autoFilter ref="A1">
        <filterColumn colId="0">
          <top10 val="10" filterVal="10"/>
        </filterColumn>
      </autoFilter>
    </filter>
    <filter fld="4" type="count" id="2" iMeasureHier="90">
      <autoFilter ref="A1">
        <filterColumn colId="0">
          <top10 val="10" filterVal="10"/>
        </filterColumn>
      </autoFilter>
    </filter>
  </filters>
  <rowHierarchiesUsage count="1">
    <rowHierarchyUsage hierarchyUsage="6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activeTabTopLevelEntity name="[Marketing_Table]"/>
      </x15:pivotTableUISettings>
    </ext>
    <ext xmlns:xpdl="http://schemas.microsoft.com/office/spreadsheetml/2016/pivotdefaultlayout" uri="{747A6164-185A-40DC-8AA5-F01512510D54}">
      <xpdl:pivotTableDefinition16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B062F6F-46D5-40B1-9164-0EE47117582D}" name="Return By Product Catgeory" cacheId="20" applyNumberFormats="0" applyBorderFormats="0" applyFontFormats="0" applyPatternFormats="0" applyAlignmentFormats="0" applyWidthHeightFormats="1" dataCaption="Values" tag="a8ef7f0b-8330-4a22-a07d-34043b4b707c" updatedVersion="8" minRefreshableVersion="3" showDrill="0" useAutoFormatting="1" subtotalHiddenItems="1" itemPrintTitles="1" createdVersion="5" indent="0" outline="1" outlineData="1" multipleFieldFilters="0" chartFormat="25">
  <location ref="Y4:Z1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Quantity_Ordered" fld="1" baseField="0" baseItem="0"/>
  </dataFields>
  <formats count="3">
    <format dxfId="240">
      <pivotArea outline="0" collapsedLevelsAreSubtotals="1" fieldPosition="0"/>
    </format>
    <format dxfId="239">
      <pivotArea grandRow="1" outline="0" collapsedLevelsAreSubtotals="1" fieldPosition="0"/>
    </format>
    <format dxfId="238">
      <pivotArea collapsedLevelsAreSubtotals="1" fieldPosition="0">
        <references count="1">
          <reference field="0" count="0"/>
        </references>
      </pivotArea>
    </format>
  </formats>
  <chartFormats count="2">
    <chartFormat chart="10" format="1"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Returns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82B61B38-B7A0-4990-95DE-58C49920BFB6}" name="PivotTable9" cacheId="14" applyNumberFormats="0" applyBorderFormats="0" applyFontFormats="0" applyPatternFormats="0" applyAlignmentFormats="0" applyWidthHeightFormats="1" dataCaption="Values" tag="77b9c858-676e-4bc4-82b4-4339e17cdca0" updatedVersion="8" minRefreshableVersion="3" showDrill="0" useAutoFormatting="1" subtotalHiddenItems="1" itemPrintTitles="1" createdVersion="5" indent="0" outline="1" outlineData="1" multipleFieldFilters="0" chartFormat="63">
  <location ref="JJ5:JL24" firstHeaderRow="0" firstDataRow="1" firstDataCol="1"/>
  <pivotFields count="9">
    <pivotField allDrilled="1" subtotalTop="0" showAll="0" measureFilter="1" defaultAttributeDrillState="1">
      <items count="11">
        <item x="0"/>
        <item x="1"/>
        <item x="2"/>
        <item x="3"/>
        <item x="4"/>
        <item x="5"/>
        <item x="6"/>
        <item x="7"/>
        <item x="8"/>
        <item x="9"/>
        <item t="default"/>
      </items>
    </pivotField>
    <pivotField allDrilled="1" subtotalTop="0" showAll="0" measureFilter="1" defaultAttributeDrillState="1">
      <items count="11">
        <item x="0"/>
        <item x="1"/>
        <item x="2"/>
        <item x="3"/>
        <item x="4"/>
        <item x="5"/>
        <item x="6"/>
        <item x="7"/>
        <item x="8"/>
        <item x="9"/>
        <item t="default"/>
      </items>
    </pivotField>
    <pivotField allDrilled="1" subtotalTop="0" showAll="0" measureFilter="1" defaultAttributeDrillState="1">
      <items count="11">
        <item x="0"/>
        <item x="1"/>
        <item x="2"/>
        <item x="3"/>
        <item x="4"/>
        <item x="5"/>
        <item x="6"/>
        <item x="7"/>
        <item x="8"/>
        <item x="9"/>
        <item t="default"/>
      </items>
    </pivotField>
    <pivotField dataField="1" subtotalTop="0" showAll="0"/>
    <pivotField allDrilled="1" subtotalTop="0" showAll="0" sortType="a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allDrilled="1" subtotalTop="0" showAll="0" measureFilter="1" defaultAttributeDrillState="1">
      <items count="11">
        <item x="0"/>
        <item x="1"/>
        <item x="2"/>
        <item x="3"/>
        <item x="4"/>
        <item x="5"/>
        <item x="6"/>
        <item x="7"/>
        <item x="8"/>
        <item x="9"/>
        <item t="default"/>
      </items>
    </pivotField>
    <pivotField dataField="1" subtotalTop="0" showAll="0"/>
    <pivotField axis="axisRow" allDrilled="1" subtotalTop="0" showAll="0" dataSourceSort="1" defaultAttributeDrillState="1">
      <items count="5">
        <item x="0"/>
        <item x="1"/>
        <item x="2"/>
        <item x="3"/>
        <item t="default"/>
      </items>
    </pivotField>
    <pivotField axis="axisRow" allDrilled="1" subtotalTop="0" showAll="0" dataSourceSort="1" defaultAttributeDrillState="1">
      <items count="4">
        <item x="0"/>
        <item x="1"/>
        <item x="2"/>
        <item t="default"/>
      </items>
    </pivotField>
  </pivotFields>
  <rowFields count="2">
    <field x="8"/>
    <field x="7"/>
  </rowFields>
  <rowItems count="19">
    <i>
      <x/>
    </i>
    <i r="1">
      <x/>
    </i>
    <i r="1">
      <x v="1"/>
    </i>
    <i r="1">
      <x v="2"/>
    </i>
    <i r="1">
      <x v="3"/>
    </i>
    <i t="default">
      <x/>
    </i>
    <i>
      <x v="1"/>
    </i>
    <i r="1">
      <x/>
    </i>
    <i r="1">
      <x v="1"/>
    </i>
    <i r="1">
      <x v="2"/>
    </i>
    <i r="1">
      <x v="3"/>
    </i>
    <i t="default">
      <x v="1"/>
    </i>
    <i>
      <x v="2"/>
    </i>
    <i r="1">
      <x/>
    </i>
    <i r="1">
      <x v="1"/>
    </i>
    <i r="1">
      <x v="2"/>
    </i>
    <i r="1">
      <x v="3"/>
    </i>
    <i t="default">
      <x v="2"/>
    </i>
    <i t="grand">
      <x/>
    </i>
  </rowItems>
  <colFields count="1">
    <field x="-2"/>
  </colFields>
  <colItems count="2">
    <i>
      <x/>
    </i>
    <i i="1">
      <x v="1"/>
    </i>
  </colItems>
  <dataFields count="2">
    <dataField name="Sum of Amt" fld="3" baseField="0" baseItem="0" numFmtId="164"/>
    <dataField name="Sum of Sales" fld="6" baseField="0" baseItem="0"/>
  </dataFields>
  <formats count="2">
    <format dxfId="242">
      <pivotArea grandRow="1" outline="0" collapsedLevelsAreSubtotals="1" fieldPosition="0"/>
    </format>
    <format dxfId="241">
      <pivotArea outline="0" collapsedLevelsAreSubtotals="1" fieldPosition="0"/>
    </format>
  </formats>
  <chartFormats count="4">
    <chartFormat chart="55" format="0"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59" format="3" series="1">
      <pivotArea type="data" outline="0" fieldPosition="0">
        <references count="1">
          <reference field="4294967294" count="1" selected="0">
            <x v="0"/>
          </reference>
        </references>
      </pivotArea>
    </chartFormat>
    <chartFormat chart="61" format="0"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turns"/>
    <pivotHierarchy dragToData="1"/>
    <pivotHierarchy dragToData="1"/>
  </pivotHierarchies>
  <pivotTableStyleInfo name="PivotStyleLight16" showRowHeaders="1" showColHeaders="1" showRowStripes="0" showColStripes="0" showLastColumn="1"/>
  <filters count="4">
    <filter fld="0" type="count" id="1" iMeasureHier="90">
      <autoFilter ref="A1">
        <filterColumn colId="0">
          <top10 val="10" filterVal="10"/>
        </filterColumn>
      </autoFilter>
    </filter>
    <filter fld="1" type="count" id="2" iMeasureHier="90">
      <autoFilter ref="A1">
        <filterColumn colId="0">
          <top10 val="10" filterVal="10"/>
        </filterColumn>
      </autoFilter>
    </filter>
    <filter fld="2" type="count" id="3" iMeasureHier="103">
      <autoFilter ref="A1">
        <filterColumn colId="0">
          <top10 val="10" filterVal="10"/>
        </filterColumn>
      </autoFilter>
    </filter>
    <filter fld="5" type="count" id="4" iMeasureHier="93">
      <autoFilter ref="A1">
        <filterColumn colId="0">
          <top10 val="10" filterVal="10"/>
        </filterColumn>
      </autoFilter>
    </filter>
  </filters>
  <rowHierarchiesUsage count="2">
    <rowHierarchyUsage hierarchyUsage="6"/>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Deal_Size_Table]"/>
        <x15:activeTabTopLevelEntity name="[Location_Table]"/>
        <x15:activeTabTopLevelEntity name="[Product_Category_Table]"/>
        <x15:activeTabTopLevelEntity name="[Products_Table]"/>
        <x15:activeTabTopLevelEntity name="[Status_Table]"/>
        <x15:activeTabTopLevelEntity name="[Date_Table]"/>
        <x15:activeTabTopLevelEntity name="[Marketing_Table]"/>
        <x15:activeTabTopLevelEntity name="[Returns_Table]"/>
      </x15:pivotTableUISettings>
    </ext>
    <ext xmlns:xpdl="http://schemas.microsoft.com/office/spreadsheetml/2016/pivotdefaultlayout" uri="{747A6164-185A-40DC-8AA5-F01512510D54}">
      <xpdl:pivotTableDefinition16 SubtotalsOnTopDefault="0"/>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_Size1" xr10:uid="{AAC7127C-0F56-4719-BAAD-E60CEEBE436F}" sourceName="[Deal_Size_Table].[Deal_Size]">
  <pivotTables>
    <pivotTable tabId="6" name="Sales In USD"/>
    <pivotTable tabId="6" name="Return By Products"/>
    <pivotTable tabId="6" name="Return By City"/>
    <pivotTable tabId="6" name="Return By Product Catgeory"/>
    <pivotTable tabId="6" name="Marketing Spend (Amt) Overtime"/>
    <pivotTable tabId="6" name="Marketing Spend(Amt) On Product Category"/>
    <pivotTable tabId="6" name="Marketing Spend(Amt) On Products"/>
    <pivotTable tabId="6" name="Return_Rate"/>
    <pivotTable tabId="6" name="Avg_Marketing_Spend_Per_Qtr"/>
    <pivotTable tabId="6" name="Avg_Sales_Per_Qtr"/>
    <pivotTable tabId="6" name="TOP CITY"/>
    <pivotTable tabId="6" name="TOP COUNTRY"/>
    <pivotTable tabId="6" name="TOP TERRITORY"/>
    <pivotTable tabId="6" name="TOP CATEGORY"/>
    <pivotTable tabId="6" name="TOP PRODUCT"/>
    <pivotTable tabId="6" name="TOTAL ORDERED QUANTITY"/>
  </pivotTables>
  <data>
    <olap pivotCacheId="999446889">
      <levels count="2">
        <level uniqueName="[Deal_Size_Table].[Deal_Size].[(All)]" sourceCaption="(All)" count="0"/>
        <level uniqueName="[Deal_Size_Table].[Deal_Size].[Deal_Size]" sourceCaption="Deal_Size" count="3">
          <ranges>
            <range startItem="0">
              <i n="[Deal_Size_Table].[Deal_Size].&amp;[Large]" c="Large"/>
              <i n="[Deal_Size_Table].[Deal_Size].&amp;[Medium]" c="Medium"/>
              <i n="[Deal_Size_Table].[Deal_Size].&amp;[Small]" c="Small"/>
            </range>
          </ranges>
        </level>
      </levels>
      <selections count="1">
        <selection n="[Deal_Size_Table].[Deal_Siz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AA55A462-F10C-4EE9-BCC6-A3DB384F514D}" sourceName="[Location_Table].[Country]">
  <pivotTables>
    <pivotTable tabId="6" name="Sales In USD"/>
    <pivotTable tabId="6" name="Return By Products"/>
    <pivotTable tabId="6" name="Return By City"/>
    <pivotTable tabId="6" name="Return By Product Catgeory"/>
    <pivotTable tabId="6" name="Marketing Spend (Amt) Overtime"/>
    <pivotTable tabId="6" name="Marketing Spend(Amt) On Product Category"/>
    <pivotTable tabId="6" name="Marketing Spend(Amt) On Products"/>
    <pivotTable tabId="6" name="Return_Rate"/>
    <pivotTable tabId="6" name="Avg_Marketing_Spend_Per_Qtr"/>
    <pivotTable tabId="6" name="Avg_Sales_Per_Qtr"/>
    <pivotTable tabId="6" name="TOP CITY"/>
    <pivotTable tabId="6" name="TOP COUNTRY"/>
    <pivotTable tabId="6" name="TOP TERRITORY"/>
    <pivotTable tabId="6" name="TOP CATEGORY"/>
    <pivotTable tabId="6" name="TOP PRODUCT"/>
    <pivotTable tabId="6" name="TOTAL ORDERED QUANTITY"/>
  </pivotTables>
  <data>
    <olap pivotCacheId="999446889">
      <levels count="2">
        <level uniqueName="[Location_Table].[Country].[(All)]" sourceCaption="(All)" count="0"/>
        <level uniqueName="[Location_Table].[Country].[Country]" sourceCaption="Country" count="19">
          <ranges>
            <range startItem="0">
              <i n="[Location_Table].[Country].&amp;[Australia]" c="Australia"/>
              <i n="[Location_Table].[Country].&amp;[Austria]" c="Austria"/>
              <i n="[Location_Table].[Country].&amp;[Belgium]" c="Belgium"/>
              <i n="[Location_Table].[Country].&amp;[Canada]" c="Canada"/>
              <i n="[Location_Table].[Country].&amp;[Denmark]" c="Denmark"/>
              <i n="[Location_Table].[Country].&amp;[Finland]" c="Finland"/>
              <i n="[Location_Table].[Country].&amp;[France]" c="France"/>
              <i n="[Location_Table].[Country].&amp;[Germany]" c="Germany"/>
              <i n="[Location_Table].[Country].&amp;[Ireland]" c="Ireland"/>
              <i n="[Location_Table].[Country].&amp;[Italy]" c="Italy"/>
              <i n="[Location_Table].[Country].&amp;[Japan]" c="Japan"/>
              <i n="[Location_Table].[Country].&amp;[Norway]" c="Norway"/>
              <i n="[Location_Table].[Country].&amp;[Philippines]" c="Philippines"/>
              <i n="[Location_Table].[Country].&amp;[Singapore]" c="Singapore"/>
              <i n="[Location_Table].[Country].&amp;[Spain]" c="Spain"/>
              <i n="[Location_Table].[Country].&amp;[Sweden]" c="Sweden"/>
              <i n="[Location_Table].[Country].&amp;[Switzerland]" c="Switzerland"/>
              <i n="[Location_Table].[Country].&amp;[UK]" c="UK"/>
              <i n="[Location_Table].[Country].&amp;[USA]" c="USA"/>
            </range>
          </ranges>
        </level>
      </levels>
      <selections count="1">
        <selection n="[Location_Table].[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63F9D3BE-0512-4DF7-AC16-03C505D4DA8C}" sourceName="[Product_Category_Table].[Product_Category]">
  <pivotTables>
    <pivotTable tabId="6" name="Sales In USD"/>
    <pivotTable tabId="6" name="Return By Products"/>
    <pivotTable tabId="6" name="Return By City"/>
    <pivotTable tabId="6" name="Return By Product Catgeory"/>
    <pivotTable tabId="6" name="Marketing Spend (Amt) Overtime"/>
    <pivotTable tabId="6" name="Marketing Spend(Amt) On Product Category"/>
    <pivotTable tabId="6" name="Marketing Spend(Amt) On Products"/>
    <pivotTable tabId="6" name="Return_Rate"/>
    <pivotTable tabId="6" name="Avg_Marketing_Spend_Per_Qtr"/>
    <pivotTable tabId="6" name="Avg_Sales_Per_Qtr"/>
    <pivotTable tabId="6" name="TOP CITY"/>
    <pivotTable tabId="6" name="TOP COUNTRY"/>
    <pivotTable tabId="6" name="TOP TERRITORY"/>
    <pivotTable tabId="6" name="TOP CATEGORY"/>
    <pivotTable tabId="6" name="TOP PRODUCT"/>
    <pivotTable tabId="6" name="TOTAL ORDERED QUANTITY"/>
  </pivotTables>
  <data>
    <olap pivotCacheId="999446889">
      <levels count="2">
        <level uniqueName="[Product_Category_Table].[Product_Category].[(All)]" sourceCaption="(All)" count="0"/>
        <level uniqueName="[Product_Category_Table].[Product_Category].[Product_Category]" sourceCaption="Product_Category" count="7">
          <ranges>
            <range startItem="0">
              <i n="[Product_Category_Table].[Product_Category].&amp;[Beverages]" c="Beverages"/>
              <i n="[Product_Category_Table].[Product_Category].&amp;[Dairy Products]" c="Dairy Products"/>
              <i n="[Product_Category_Table].[Product_Category].&amp;[Frozen Foods]" c="Frozen Foods"/>
              <i n="[Product_Category_Table].[Product_Category].&amp;[Infant Nutrition]" c="Infant Nutrition"/>
              <i n="[Product_Category_Table].[Product_Category].&amp;[Instant Foods]" c="Instant Foods"/>
              <i n="[Product_Category_Table].[Product_Category].&amp;[Snacks]" c="Snacks"/>
              <i n="[Product_Category_Table].[Product_Category].&amp;[Water &amp; Juices]" c="Water &amp; Juices"/>
            </range>
          </ranges>
        </level>
      </levels>
      <selections count="1">
        <selection n="[Product_Category_Table].[Product_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577EA7D1-FFCF-486F-9557-00114EEF9972}" sourceName="[Date_Table].[Quarter]">
  <pivotTables>
    <pivotTable tabId="6" name="Sales In USD"/>
    <pivotTable tabId="6" name="Return By Products"/>
    <pivotTable tabId="6" name="Return By City"/>
    <pivotTable tabId="6" name="Return By Product Catgeory"/>
    <pivotTable tabId="6" name="Marketing Spend (Amt) Overtime"/>
    <pivotTable tabId="6" name="Marketing Spend(Amt) On Product Category"/>
    <pivotTable tabId="6" name="Marketing Spend(Amt) On Products"/>
    <pivotTable tabId="6" name="Return_Rate"/>
    <pivotTable tabId="6" name="Avg_Marketing_Spend_Per_Qtr"/>
    <pivotTable tabId="6" name="Avg_Sales_Per_Qtr"/>
    <pivotTable tabId="6" name="TOP CITY"/>
    <pivotTable tabId="6" name="TOP COUNTRY"/>
    <pivotTable tabId="6" name="TOP TERRITORY"/>
    <pivotTable tabId="6" name="TOP CATEGORY"/>
    <pivotTable tabId="6" name="TOP PRODUCT"/>
    <pivotTable tabId="6" name="TOTAL ORDERED QUANTITY"/>
  </pivotTables>
  <data>
    <olap pivotCacheId="999446889">
      <levels count="2">
        <level uniqueName="[Date_Table].[Quarter].[(All)]" sourceCaption="(All)" count="0"/>
        <level uniqueName="[Date_Table].[Quarter].[Quarter]" sourceCaption="Quarter" count="4">
          <ranges>
            <range startItem="0">
              <i n="[Date_Table].[Quarter].&amp;[Q1]" c="Q1"/>
              <i n="[Date_Table].[Quarter].&amp;[Q2]" c="Q2"/>
              <i n="[Date_Table].[Quarter].&amp;[Q3]" c="Q3"/>
              <i n="[Date_Table].[Quarter].&amp;[Q4]" c="Q4"/>
            </range>
          </ranges>
        </level>
      </levels>
      <selections count="1">
        <selection n="[Date_Table].[Quart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3879BD1-D154-4F34-A48E-EB65F7818D07}" sourceName="[Date_Table].[Year]">
  <pivotTables>
    <pivotTable tabId="6" name="Sales In USD"/>
    <pivotTable tabId="6" name="Return By Products"/>
    <pivotTable tabId="6" name="Return By City"/>
    <pivotTable tabId="6" name="Return By Product Catgeory"/>
    <pivotTable tabId="6" name="Marketing Spend (Amt) Overtime"/>
    <pivotTable tabId="6" name="Marketing Spend(Amt) On Product Category"/>
    <pivotTable tabId="6" name="Marketing Spend(Amt) On Products"/>
    <pivotTable tabId="6" name="Return_Rate"/>
    <pivotTable tabId="6" name="Avg_Marketing_Spend_Per_Qtr"/>
    <pivotTable tabId="6" name="Avg_Sales_Per_Qtr"/>
    <pivotTable tabId="6" name="TOP CITY"/>
    <pivotTable tabId="6" name="TOP COUNTRY"/>
    <pivotTable tabId="6" name="TOP TERRITORY"/>
    <pivotTable tabId="6" name="TOP CATEGORY"/>
    <pivotTable tabId="6" name="TOP PRODUCT"/>
    <pivotTable tabId="6" name="TOTAL ORDERED QUANTITY"/>
  </pivotTables>
  <data>
    <olap pivotCacheId="999446889">
      <levels count="2">
        <level uniqueName="[Date_Table].[Year].[(All)]" sourceCaption="(All)" count="0"/>
        <level uniqueName="[Date_Table].[Year].[Year]" sourceCaption="Year" count="3">
          <ranges>
            <range startItem="0">
              <i n="[Date_Table].[Year].&amp;[2003]" c="2003"/>
              <i n="[Date_Table].[Year].&amp;[2004]" c="2004"/>
              <i n="[Date_Table].[Year].&amp;[2005]" c="2005"/>
            </range>
          </ranges>
        </level>
      </levels>
      <selections count="1">
        <selection n="[Date_Table].[Yea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CF7004C7-C59F-4616-A5E3-20B1FA33AA41}" sourceName="Territory">
  <extLst>
    <x:ext xmlns:x15="http://schemas.microsoft.com/office/spreadsheetml/2010/11/main" uri="{2F2917AC-EB37-4324-AD4E-5DD8C200BD13}">
      <x15:tableSlicerCache tableId="1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al_Size 4" xr10:uid="{E9E7AAA7-8DDC-4013-B335-37893D55DD5A}" cache="Slicer_Deal_Size1" caption="DEAL SIZE" level="1" rowHeight="234950"/>
  <slicer name="Country 4" xr10:uid="{6FBB9669-77F7-4170-B61B-56F3E7E8F0DC}" cache="Slicer_Country1" caption="COUNTRY" level="1" rowHeight="234950"/>
  <slicer name="Product_Category 4" xr10:uid="{A496EA6F-21C4-43A9-9E01-2F9BFF6B296A}" cache="Slicer_Product_Category1" caption="CATEGORY" level="1" rowHeight="234950"/>
  <slicer name="Quarter 2" xr10:uid="{EC4E7706-90DE-475C-9F54-BBCD72D68BDC}" cache="Slicer_Quarter" caption="QUARTER" level="1" rowHeight="234950"/>
  <slicer name="Year 2" xr10:uid="{CC59B047-02D7-4CFC-A114-4C99017186A6}" cache="Slicer_Year" caption="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rritory 1" xr10:uid="{48F2068C-44D2-4DAA-B013-5FA6B6447448}" cache="Slicer_Territory" caption="TERRITORY"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EF86BC-E1D7-44A0-8ED7-F60C5CD88A1F}" name="Sales_Table" displayName="Sales_Table" ref="A1:O2972" totalsRowShown="0" headerRowDxfId="93" dataDxfId="92" tableBorderDxfId="91">
  <autoFilter ref="A1:O2972" xr:uid="{A9EF86BC-E1D7-44A0-8ED7-F60C5CD88A1F}"/>
  <tableColumns count="15">
    <tableColumn id="1" xr3:uid="{F66B7421-74D7-421C-8FAC-DC3C3997D65E}" name="Order_Number" dataDxfId="90"/>
    <tableColumn id="2" xr3:uid="{D67E0C39-6801-4778-9973-6646ECDF1230}" name="Order_Date" dataDxfId="89"/>
    <tableColumn id="15" xr3:uid="{A7C70D89-1424-4A06-B11E-82EFD225BC6F}" name="Customer_ID" dataDxfId="88"/>
    <tableColumn id="3" xr3:uid="{2C2A1795-50BD-4267-99D8-CDC0816A342A}" name="Customer_Name" dataDxfId="87"/>
    <tableColumn id="4" xr3:uid="{8C32A06E-20C1-4FEE-8345-53B454BBE2B5}" name="City" dataDxfId="86"/>
    <tableColumn id="5" xr3:uid="{AD9C5580-12FA-43E1-8E7B-E0123D91AF9A}" name="Country" dataDxfId="85"/>
    <tableColumn id="6" xr3:uid="{22193BA9-D503-4DD1-B1A8-60F9300DC9CE}" name="Territory" dataDxfId="84"/>
    <tableColumn id="7" xr3:uid="{B6D42B1F-5EFC-4DF2-9D9B-0C804274CB23}" name="Product_Category" dataDxfId="83"/>
    <tableColumn id="8" xr3:uid="{2F9FB26F-AE0F-44F4-956E-1ECF40F36D2B}" name="Product_Code" dataDxfId="82"/>
    <tableColumn id="9" xr3:uid="{4FFBA888-536A-4A42-B937-52D1300679CF}" name="Product_Name" dataDxfId="81"/>
    <tableColumn id="10" xr3:uid="{4518B208-B2BE-4015-A336-E1C6B7A0F23B}" name="Quantity_Ordered" dataDxfId="80"/>
    <tableColumn id="11" xr3:uid="{7A9ECCC5-5ABA-4726-BD95-6F113A9B0136}" name="Price_Each" dataDxfId="79" dataCellStyle="Currency"/>
    <tableColumn id="12" xr3:uid="{C2928048-4DB0-4056-97A0-F8AA235436C8}" name="Sales" dataDxfId="78"/>
    <tableColumn id="13" xr3:uid="{B15F6FC1-453E-490C-BA71-FC9CB967E05D}" name="Deal_Size" dataDxfId="77"/>
    <tableColumn id="14" xr3:uid="{71950891-6B46-4C0A-A8E4-40C50B8789C3}" name="Status" dataDxfId="7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492D45-B55C-4678-8618-623577570635}" name="Products_Table" displayName="Products_Table" ref="A1:D34" totalsRowShown="0" headerRowDxfId="75" dataDxfId="74">
  <autoFilter ref="A1:D34" xr:uid="{40492D45-B55C-4678-8618-623577570635}"/>
  <tableColumns count="4">
    <tableColumn id="1" xr3:uid="{A9A54D66-80C7-4BC1-8957-CD2782C9568B}" name="Product_Code" dataDxfId="73"/>
    <tableColumn id="2" xr3:uid="{89C6E5D2-73B8-4F73-AEEC-B842966B6ACD}" name="Product_Category" dataDxfId="72"/>
    <tableColumn id="3" xr3:uid="{73F30F6C-4E3A-4317-B337-74410FEEF4FC}" name="Product_Name" dataDxfId="71"/>
    <tableColumn id="4" xr3:uid="{4E58E03F-7F96-4AAE-BAFE-A89E98153C41}" name="Price_Each" dataDxfId="70" dataCellStyle="Currenc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0E93AA-D7D0-43FA-9F14-526B840A6452}" name="Customers_Table" displayName="Customers_Table" ref="A1:E93" totalsRowShown="0" headerRowDxfId="69" dataDxfId="68">
  <autoFilter ref="A1:E93" xr:uid="{1F0E93AA-D7D0-43FA-9F14-526B840A6452}"/>
  <tableColumns count="5">
    <tableColumn id="1" xr3:uid="{64A0436C-45F7-4BA7-9C5E-266D13058F04}" name="Customer_ID" dataDxfId="67"/>
    <tableColumn id="2" xr3:uid="{EBE43541-58F1-4747-9C2B-A203FA79BA0C}" name="Customer_Name" dataDxfId="66"/>
    <tableColumn id="3" xr3:uid="{81796BB3-7C6B-486F-B8F6-C3605A3EF9E8}" name="City" dataDxfId="65"/>
    <tableColumn id="4" xr3:uid="{93BA4E50-F207-4D9E-B190-1BD062488B9C}" name="Country" dataDxfId="64"/>
    <tableColumn id="5" xr3:uid="{218BB82A-5FB3-4E86-9724-FD4F6D1D8CAA}" name="Territory" dataDxfId="6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E88371E-088A-4A47-A231-DF7245B55BA2}" name="Returns_Table" displayName="Returns_Table" ref="A1:P207" totalsRowShown="0" headerRowDxfId="62" dataDxfId="61">
  <autoFilter ref="A1:P207" xr:uid="{2E88371E-088A-4A47-A231-DF7245B55BA2}"/>
  <tableColumns count="16">
    <tableColumn id="1" xr3:uid="{7498013B-0CDE-4E90-B6AD-B2B95E79F0FB}" name="Order_Number" dataDxfId="60"/>
    <tableColumn id="15" xr3:uid="{F33583D5-3949-438C-8930-63D73BD93EBE}" name="Return_ID" dataDxfId="59"/>
    <tableColumn id="2" xr3:uid="{1CB3516E-30ED-4F2C-881B-7F3F7B138B15}" name="Order_Date" dataDxfId="58"/>
    <tableColumn id="16" xr3:uid="{2EF5BF2E-A452-4C59-ADF4-BBD24A3B1336}" name="Customer_ID" dataDxfId="57"/>
    <tableColumn id="3" xr3:uid="{6058EA35-1305-4F9B-91AF-8446C2696E70}" name="Customer_Name" dataDxfId="56"/>
    <tableColumn id="4" xr3:uid="{3365862B-A1FA-401F-AA73-C60D73CB731A}" name="City" dataDxfId="55"/>
    <tableColumn id="5" xr3:uid="{9CCFD3B7-9013-4920-A4A3-7D52BAA948CB}" name="Country" dataDxfId="54"/>
    <tableColumn id="6" xr3:uid="{A08A36F5-4834-405E-BC12-C215F0849346}" name="Territory" dataDxfId="53"/>
    <tableColumn id="7" xr3:uid="{DB159F6D-E283-47A4-9F6F-7A3752894F8A}" name="Product_Category" dataDxfId="52"/>
    <tableColumn id="8" xr3:uid="{AB19F50C-C8D9-4D9A-9375-D9C50F3B7B59}" name="Product_Code" dataDxfId="51"/>
    <tableColumn id="9" xr3:uid="{712AEDF1-8EDB-40B9-9750-EA834B83D83C}" name="Product_Name" dataDxfId="50"/>
    <tableColumn id="10" xr3:uid="{AD36E8F6-45F3-446E-A5D2-63FE434B4377}" name="Quantity_Ordered" dataDxfId="49"/>
    <tableColumn id="11" xr3:uid="{86C54081-DD90-48FA-B1F3-AFC63225825E}" name="Price_Each" dataDxfId="48" dataCellStyle="Currency"/>
    <tableColumn id="12" xr3:uid="{60C190C7-309B-4A88-BC66-E13C2F847539}" name="Sales" dataDxfId="47" dataCellStyle="Currency"/>
    <tableColumn id="13" xr3:uid="{AEB86FAE-2EB9-4F15-B3AB-A5E4126E81D7}" name="Deal_Size" dataDxfId="46"/>
    <tableColumn id="14" xr3:uid="{F18628EE-B8C5-4D64-BEC0-BE3A7831C4BE}" name="Status" dataDxfId="4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38B0C73-3048-4126-97C5-65D6D0EBE295}" name="Marketing_Table" displayName="Marketing_Table" ref="A1:H397" totalsRowShown="0" headerRowDxfId="44" headerRowCellStyle="Currency">
  <autoFilter ref="A1:H397" xr:uid="{938B0C73-3048-4126-97C5-65D6D0EBE295}"/>
  <tableColumns count="8">
    <tableColumn id="1" xr3:uid="{9A7EB589-ACCF-431A-ABB5-741845F85898}" name="Date" dataDxfId="43"/>
    <tableColumn id="2" xr3:uid="{6272C89D-E183-4B18-8DFE-C7FC8094E989}" name="Quarter" dataDxfId="42"/>
    <tableColumn id="3" xr3:uid="{5A0170D0-0490-4B11-8018-BA196B7196EB}" name="Product_Category" dataDxfId="41"/>
    <tableColumn id="4" xr3:uid="{287CF2CF-9B33-4D74-AF69-B96EF3B8F5E8}" name="Product_Code" dataDxfId="40"/>
    <tableColumn id="5" xr3:uid="{E182F267-3653-4AFB-9700-38B36BA4CC47}" name="Product_Name" dataDxfId="39" dataCellStyle="Currency"/>
    <tableColumn id="6" xr3:uid="{8452BE24-2645-4F3C-BA12-F5B27CA1019A}" name="Annual Sales" dataDxfId="38" dataCellStyle="Percent"/>
    <tableColumn id="7" xr3:uid="{8734AE03-7D92-4F56-A8CF-294294622C7E}" name="Annual Marketing_Spend % of Sales" dataDxfId="37" dataCellStyle="Percent"/>
    <tableColumn id="8" xr3:uid="{187D0B76-828A-4650-AA83-CCE4A400281F}" name="Amt" dataDxfId="3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3E77361-BA8B-4D18-A67D-CC209E8B2D6D}" name="Date_Table" displayName="Date_Table" ref="A1:H1097" totalsRowShown="0" headerRowDxfId="35" dataDxfId="34">
  <autoFilter ref="A1:H1097" xr:uid="{D3E77361-BA8B-4D18-A67D-CC209E8B2D6D}"/>
  <tableColumns count="8">
    <tableColumn id="1" xr3:uid="{F9AC9B39-8DE5-4F15-870F-4FF7055EFAA7}" name="Date" dataDxfId="33"/>
    <tableColumn id="2" xr3:uid="{AA0ED6DA-5EE7-4F95-B9CA-6E1A53F84A70}" name="Year" dataDxfId="32"/>
    <tableColumn id="3" xr3:uid="{77D136DA-8362-4E3B-BBBC-C632BFFF2CCE}" name="Month No. " dataDxfId="31"/>
    <tableColumn id="4" xr3:uid="{AE19CD25-2473-424A-99B9-97E3861D0196}" name="Month Name" dataDxfId="30"/>
    <tableColumn id="5" xr3:uid="{A05FAC21-C7D3-4AA5-8157-6B5B913E4159}" name="Quarter" dataDxfId="29"/>
    <tableColumn id="6" xr3:uid="{C7158523-3DEA-44BC-A18B-B72C284BD023}" name="Day" dataDxfId="28"/>
    <tableColumn id="7" xr3:uid="{EC186D97-2124-41D4-A708-D0B82F1E0322}" name="Weekday Name" dataDxfId="27"/>
    <tableColumn id="8" xr3:uid="{FDC8BC8B-9B9A-4469-81FF-9E80E798DB60}" name="Weekend" dataDxfId="2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E8E79A7-9F4D-4DCE-95D0-FE4F85251A31}" name="Location_Table" displayName="Location_Table" ref="A1:C74" totalsRowShown="0" headerRowDxfId="25" dataDxfId="23" headerRowBorderDxfId="24" tableBorderDxfId="22">
  <autoFilter ref="A1:C74" xr:uid="{3E8E79A7-9F4D-4DCE-95D0-FE4F85251A31}"/>
  <tableColumns count="3">
    <tableColumn id="1" xr3:uid="{2A784072-8025-4400-AC84-26094A18DD7F}" name="City" dataDxfId="21"/>
    <tableColumn id="2" xr3:uid="{4E86FB77-B7A6-421B-BE9D-97ED3B7E98B7}" name="Country" dataDxfId="20"/>
    <tableColumn id="3" xr3:uid="{B8111D8A-7362-4A3C-BF12-B50F766699F1}" name="Territory" dataDxfId="19"/>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31AE1F7-AA7B-4AC1-A521-18B58292603E}" name="Product_Category_Table" displayName="Product_Category_Table" ref="A1:A8" totalsRowShown="0" headerRowDxfId="18" dataDxfId="17">
  <autoFilter ref="A1:A8" xr:uid="{831AE1F7-AA7B-4AC1-A521-18B58292603E}"/>
  <tableColumns count="1">
    <tableColumn id="1" xr3:uid="{1DBB61B5-7DB1-4A65-A0C0-3636FFA099A3}" name="Product_Category" dataDxfId="16"/>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A1904D4-A318-4999-A86D-C41F5AFC0524}" name="Deal_Size_Table" displayName="Deal_Size_Table" ref="A1:A4" totalsRowShown="0" headerRowDxfId="15" headerRowBorderDxfId="14" tableBorderDxfId="13" totalsRowBorderDxfId="12">
  <autoFilter ref="A1:A4" xr:uid="{0A1904D4-A318-4999-A86D-C41F5AFC0524}"/>
  <tableColumns count="1">
    <tableColumn id="1" xr3:uid="{24CCDBDB-8905-4B93-AAC5-A22D43FF87DC}" name="Deal_Siz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6401EA0-7D67-4C2B-9FA8-39E3325AB7A2}" name="Status_Table" displayName="Status_Table" ref="A1:A3" totalsRowShown="0" headerRowDxfId="11" dataDxfId="9" headerRowBorderDxfId="10" tableBorderDxfId="8" totalsRowBorderDxfId="7">
  <autoFilter ref="A1:A3" xr:uid="{16401EA0-7D67-4C2B-9FA8-39E3325AB7A2}"/>
  <tableColumns count="1">
    <tableColumn id="1" xr3:uid="{DD52A28A-BC0C-4FE9-8552-D91B4AE211F6}" name="Status"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2.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34" Type="http://schemas.openxmlformats.org/officeDocument/2006/relationships/drawing" Target="../drawings/drawing4.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8"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A4A4E-5402-4055-83B0-6176BC063CA7}">
  <sheetPr>
    <tabColor rgb="FF002060"/>
  </sheetPr>
  <dimension ref="A1:DD51"/>
  <sheetViews>
    <sheetView tabSelected="1" zoomScale="73" zoomScaleNormal="73" workbookViewId="0">
      <selection activeCell="AB61" sqref="AB61"/>
    </sheetView>
  </sheetViews>
  <sheetFormatPr defaultRowHeight="14.4" x14ac:dyDescent="0.3"/>
  <cols>
    <col min="1" max="33" width="8.88671875" style="71"/>
    <col min="34" max="16384" width="8.88671875" style="89"/>
  </cols>
  <sheetData>
    <row r="1" spans="1:108" ht="17.399999999999999" customHeight="1" x14ac:dyDescent="0.3">
      <c r="A1" s="229"/>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229"/>
      <c r="AD1" s="229"/>
      <c r="AE1" s="229"/>
      <c r="AF1" s="229"/>
      <c r="AG1" s="229"/>
      <c r="AH1" s="226"/>
      <c r="AI1" s="226"/>
      <c r="AJ1" s="226"/>
      <c r="AK1" s="226"/>
      <c r="AL1" s="226"/>
      <c r="AM1" s="226"/>
      <c r="AN1" s="226"/>
      <c r="AO1" s="226"/>
      <c r="AP1" s="226"/>
      <c r="AQ1" s="226"/>
      <c r="AR1" s="226"/>
      <c r="AS1" s="226"/>
      <c r="AT1" s="226"/>
      <c r="AU1" s="226"/>
      <c r="AV1" s="226"/>
      <c r="AW1" s="226"/>
      <c r="AX1" s="226"/>
      <c r="AY1" s="226"/>
      <c r="AZ1" s="226"/>
      <c r="BA1" s="226"/>
      <c r="BB1" s="226"/>
      <c r="BC1" s="226"/>
      <c r="BD1" s="226"/>
      <c r="BE1" s="226"/>
      <c r="BF1" s="226"/>
      <c r="BG1" s="226"/>
      <c r="BH1" s="226"/>
      <c r="BI1" s="226"/>
      <c r="BK1" s="226"/>
      <c r="BL1" s="226"/>
      <c r="BM1" s="226"/>
      <c r="BN1" s="226"/>
      <c r="BO1" s="226"/>
      <c r="BP1" s="226"/>
      <c r="BQ1" s="226"/>
      <c r="BR1" s="226"/>
      <c r="BS1" s="226"/>
      <c r="BT1" s="226"/>
      <c r="BU1" s="226"/>
      <c r="BV1" s="226"/>
      <c r="BW1" s="226"/>
      <c r="BX1" s="226"/>
      <c r="BY1" s="226"/>
      <c r="BZ1" s="226"/>
      <c r="CA1" s="226"/>
      <c r="CB1" s="226"/>
      <c r="CC1" s="226"/>
      <c r="CD1" s="226"/>
      <c r="CE1" s="226"/>
      <c r="CF1" s="226"/>
      <c r="CG1" s="226"/>
      <c r="CH1" s="226"/>
      <c r="CI1" s="226"/>
      <c r="CJ1" s="226"/>
      <c r="CK1" s="226"/>
      <c r="CL1" s="226"/>
      <c r="CM1" s="226"/>
      <c r="CN1" s="226"/>
      <c r="CO1" s="226"/>
      <c r="CP1" s="226"/>
      <c r="CQ1" s="226"/>
      <c r="CR1" s="226"/>
      <c r="CS1" s="226"/>
      <c r="CT1" s="226"/>
      <c r="CU1" s="226"/>
      <c r="CV1" s="226"/>
      <c r="CW1" s="226"/>
      <c r="CX1" s="226"/>
      <c r="CY1" s="226"/>
      <c r="CZ1" s="226"/>
      <c r="DA1" s="226"/>
      <c r="DB1" s="226"/>
      <c r="DC1" s="226"/>
      <c r="DD1" s="226"/>
    </row>
    <row r="8" spans="1:108" x14ac:dyDescent="0.3">
      <c r="V8" s="71" t="s">
        <v>396</v>
      </c>
    </row>
    <row r="46" spans="35:35" x14ac:dyDescent="0.3">
      <c r="AI46" s="114" t="s">
        <v>769</v>
      </c>
    </row>
    <row r="51" spans="26:30" ht="18" x14ac:dyDescent="0.3">
      <c r="Z51" s="227" t="s">
        <v>768</v>
      </c>
      <c r="AA51" s="228"/>
      <c r="AB51" s="228"/>
      <c r="AC51" s="228"/>
      <c r="AD51" s="228"/>
    </row>
  </sheetData>
  <mergeCells count="6">
    <mergeCell ref="BK1:CC1"/>
    <mergeCell ref="AH1:BI1"/>
    <mergeCell ref="Z51:AD51"/>
    <mergeCell ref="CW1:DD1"/>
    <mergeCell ref="CD1:CV1"/>
    <mergeCell ref="A1:AG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74C3E-84CC-4CCD-A576-B26A9BC180D2}">
  <sheetPr>
    <tabColor rgb="FF002060"/>
  </sheetPr>
  <dimension ref="A1:AGO40"/>
  <sheetViews>
    <sheetView showGridLines="0" zoomScale="83" zoomScaleNormal="83" workbookViewId="0">
      <selection activeCell="AI53" sqref="AI53"/>
    </sheetView>
  </sheetViews>
  <sheetFormatPr defaultColWidth="8.88671875" defaultRowHeight="15.6" x14ac:dyDescent="0.3"/>
  <cols>
    <col min="1" max="4" width="15.77734375" style="3" customWidth="1"/>
    <col min="5" max="5" width="23.21875" style="3" bestFit="1" customWidth="1"/>
    <col min="6" max="6" width="7.109375" style="3" customWidth="1"/>
    <col min="7" max="7" width="7.21875" style="3" customWidth="1"/>
    <col min="8" max="8" width="23.21875" style="3" bestFit="1" customWidth="1"/>
    <col min="9" max="11" width="15.77734375" style="3" customWidth="1"/>
    <col min="12" max="13" width="23.21875" style="3" bestFit="1" customWidth="1"/>
    <col min="14" max="19" width="8.88671875" style="3" customWidth="1"/>
    <col min="20" max="20" width="22.6640625" style="3" bestFit="1" customWidth="1"/>
    <col min="21" max="21" width="16.21875" style="3" customWidth="1"/>
    <col min="22" max="22" width="1.77734375" style="3" customWidth="1"/>
    <col min="23" max="25" width="8.88671875" style="3" customWidth="1"/>
    <col min="26" max="26" width="6.21875" style="3" customWidth="1"/>
    <col min="27" max="27" width="2.6640625" style="3" customWidth="1"/>
    <col min="28" max="28" width="22.6640625" style="3" bestFit="1" customWidth="1"/>
    <col min="29" max="29" width="14.44140625" style="3" customWidth="1"/>
    <col min="30" max="31" width="8.88671875" style="3" customWidth="1"/>
    <col min="32" max="32" width="6.109375" style="3" customWidth="1"/>
    <col min="33" max="33" width="8.88671875" style="3" customWidth="1"/>
    <col min="34" max="34" width="15.44140625" style="3" customWidth="1"/>
    <col min="35" max="37" width="25.5546875" style="3" customWidth="1"/>
    <col min="38" max="38" width="29.33203125" style="3" customWidth="1"/>
    <col min="39" max="39" width="25.5546875" style="3" customWidth="1"/>
    <col min="40" max="40" width="6.77734375" style="3" customWidth="1"/>
    <col min="41" max="41" width="8.88671875" style="3" customWidth="1"/>
    <col min="42" max="16384" width="8.88671875" style="3"/>
  </cols>
  <sheetData>
    <row r="1" spans="1:873" s="150" customFormat="1" ht="10.8" customHeight="1" x14ac:dyDescent="0.3">
      <c r="A1" s="230"/>
      <c r="B1" s="230"/>
      <c r="C1" s="230"/>
      <c r="D1" s="230"/>
      <c r="E1" s="230"/>
      <c r="F1" s="230"/>
      <c r="G1" s="230"/>
      <c r="H1" s="230"/>
      <c r="I1" s="230"/>
      <c r="J1" s="230"/>
      <c r="K1" s="230"/>
      <c r="L1" s="230"/>
      <c r="M1" s="230"/>
      <c r="N1" s="230"/>
      <c r="O1" s="230"/>
      <c r="P1" s="230"/>
      <c r="Q1" s="230"/>
      <c r="R1" s="230"/>
      <c r="S1" s="230"/>
      <c r="T1" s="230"/>
      <c r="U1" s="230"/>
      <c r="V1" s="230"/>
      <c r="W1" s="230"/>
      <c r="X1" s="230"/>
      <c r="Y1" s="230"/>
      <c r="Z1" s="230"/>
      <c r="AA1" s="230"/>
      <c r="AB1" s="230"/>
      <c r="AC1" s="230"/>
      <c r="AD1" s="230"/>
      <c r="AE1" s="230"/>
      <c r="AF1" s="230"/>
      <c r="AG1" s="230"/>
      <c r="AH1" s="230"/>
      <c r="AI1" s="230"/>
      <c r="AJ1" s="230"/>
      <c r="AK1" s="230"/>
      <c r="AL1" s="230"/>
      <c r="AM1" s="230"/>
      <c r="AN1" s="230"/>
      <c r="AO1" s="230"/>
      <c r="AP1" s="230"/>
      <c r="AQ1" s="230"/>
      <c r="AR1" s="230"/>
      <c r="AS1" s="230"/>
      <c r="AT1" s="230"/>
      <c r="AU1" s="230"/>
      <c r="AV1" s="230"/>
      <c r="AW1" s="230"/>
      <c r="AX1" s="230"/>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row>
    <row r="2" spans="1:873" ht="21" x14ac:dyDescent="0.3">
      <c r="A2" s="151" t="s">
        <v>826</v>
      </c>
      <c r="B2" s="151"/>
      <c r="C2" s="151"/>
      <c r="D2" s="151"/>
      <c r="E2" s="151"/>
      <c r="F2" s="106"/>
      <c r="K2" s="115"/>
      <c r="L2" s="115"/>
      <c r="M2" s="115"/>
      <c r="N2" s="115"/>
      <c r="O2" s="115"/>
      <c r="P2" s="115"/>
      <c r="Q2" s="115"/>
      <c r="R2" s="115"/>
      <c r="S2" s="115"/>
      <c r="T2" s="115"/>
      <c r="U2" s="115"/>
      <c r="V2" s="115"/>
      <c r="W2" s="115"/>
      <c r="X2" s="115"/>
      <c r="Y2" s="115"/>
      <c r="Z2" s="115"/>
      <c r="AA2" s="115"/>
      <c r="AB2" s="115"/>
      <c r="AC2" s="115"/>
      <c r="AD2" s="115"/>
      <c r="AE2" s="115"/>
      <c r="AF2" s="115"/>
    </row>
    <row r="4" spans="1:873" x14ac:dyDescent="0.3">
      <c r="A4" s="1" t="s">
        <v>371</v>
      </c>
      <c r="B4" s="1" t="s">
        <v>750</v>
      </c>
      <c r="C4" s="1" t="s">
        <v>748</v>
      </c>
      <c r="D4" s="1" t="s">
        <v>11</v>
      </c>
      <c r="E4" s="1" t="s">
        <v>749</v>
      </c>
      <c r="G4" s="100"/>
      <c r="H4" s="93" t="s">
        <v>751</v>
      </c>
      <c r="I4" s="94" t="s">
        <v>371</v>
      </c>
      <c r="J4" s="94" t="s">
        <v>750</v>
      </c>
      <c r="K4" s="94" t="s">
        <v>748</v>
      </c>
      <c r="L4" s="94" t="s">
        <v>11</v>
      </c>
      <c r="M4" s="110" t="s">
        <v>749</v>
      </c>
      <c r="R4" s="107"/>
      <c r="AB4" s="97"/>
      <c r="AF4" s="107"/>
    </row>
    <row r="5" spans="1:873" x14ac:dyDescent="0.3">
      <c r="A5" s="3">
        <v>2003</v>
      </c>
      <c r="B5" s="3">
        <v>1</v>
      </c>
      <c r="C5" s="104">
        <v>50506.344999999987</v>
      </c>
      <c r="D5" s="104">
        <v>291678</v>
      </c>
      <c r="E5" s="3">
        <v>4561</v>
      </c>
      <c r="G5" s="100"/>
      <c r="H5" s="95" t="s">
        <v>371</v>
      </c>
      <c r="I5" s="111">
        <f>CORREL(A$5:A$16,A$5:A$16)</f>
        <v>1</v>
      </c>
      <c r="J5" s="111">
        <f>CORREL(B$5:B$16,$A$5:$A$16)</f>
        <v>0</v>
      </c>
      <c r="K5" s="112">
        <f>CORREL(C$5:C$16,$A$5:$A$16)</f>
        <v>-0.57215173878500314</v>
      </c>
      <c r="L5" s="112">
        <f>CORREL(D$5:D$16,$A$5:$A$16)</f>
        <v>-0.20405423603968789</v>
      </c>
      <c r="M5" s="101">
        <f>CORREL(E$5:E$16,$A$5:$A$16)</f>
        <v>-0.17222324171814141</v>
      </c>
      <c r="R5" s="107"/>
      <c r="AF5" s="107"/>
    </row>
    <row r="6" spans="1:873" x14ac:dyDescent="0.3">
      <c r="A6" s="3">
        <v>2003</v>
      </c>
      <c r="B6" s="3">
        <v>2</v>
      </c>
      <c r="C6" s="104">
        <v>50506.344999999987</v>
      </c>
      <c r="D6" s="104">
        <v>397260</v>
      </c>
      <c r="E6" s="3">
        <v>5659</v>
      </c>
      <c r="G6" s="100"/>
      <c r="H6" s="95" t="s">
        <v>750</v>
      </c>
      <c r="I6" s="111">
        <f>CORREL(A$5:A$16,$B$5:$B$16)</f>
        <v>0</v>
      </c>
      <c r="J6" s="111">
        <f t="shared" ref="J6:M6" si="0">CORREL(B$5:B$16,$B$5:$B$16)</f>
        <v>0.99999999999999978</v>
      </c>
      <c r="K6" s="112">
        <f t="shared" si="0"/>
        <v>0.39525278823989901</v>
      </c>
      <c r="L6" s="112">
        <f t="shared" si="0"/>
        <v>0.43234274829946956</v>
      </c>
      <c r="M6" s="101">
        <f t="shared" si="0"/>
        <v>0.4550465687550323</v>
      </c>
      <c r="R6" s="107"/>
      <c r="AF6" s="107"/>
    </row>
    <row r="7" spans="1:873" x14ac:dyDescent="0.3">
      <c r="A7" s="3">
        <v>2003</v>
      </c>
      <c r="B7" s="3">
        <v>3</v>
      </c>
      <c r="C7" s="104">
        <v>50506.344999999987</v>
      </c>
      <c r="D7" s="104">
        <v>436115</v>
      </c>
      <c r="E7" s="3">
        <v>6209</v>
      </c>
      <c r="G7" s="100"/>
      <c r="H7" s="95" t="s">
        <v>748</v>
      </c>
      <c r="I7" s="112">
        <f>CORREL(A$5:A$16,$C$5:$C$16)</f>
        <v>-0.57215173878500314</v>
      </c>
      <c r="J7" s="112">
        <f t="shared" ref="J7:M7" si="1">CORREL(B$5:B$16,$C$5:$C$16)</f>
        <v>0.39525278823989901</v>
      </c>
      <c r="K7" s="111">
        <f t="shared" si="1"/>
        <v>1</v>
      </c>
      <c r="L7" s="112">
        <f t="shared" si="1"/>
        <v>0.57576270590322565</v>
      </c>
      <c r="M7" s="101">
        <f t="shared" si="1"/>
        <v>0.56694695469017153</v>
      </c>
      <c r="R7" s="107"/>
      <c r="AF7" s="107"/>
    </row>
    <row r="8" spans="1:873" x14ac:dyDescent="0.3">
      <c r="A8" s="3">
        <v>2003</v>
      </c>
      <c r="B8" s="3">
        <v>4</v>
      </c>
      <c r="C8" s="104">
        <v>50506.344999999987</v>
      </c>
      <c r="D8" s="104">
        <v>1127834</v>
      </c>
      <c r="E8" s="3">
        <v>17345</v>
      </c>
      <c r="G8" s="100"/>
      <c r="H8" s="95" t="s">
        <v>11</v>
      </c>
      <c r="I8" s="112">
        <f>CORREL(A$5:A$16,$D$5:$D$16)</f>
        <v>-0.20405423603968789</v>
      </c>
      <c r="J8" s="112">
        <f t="shared" ref="J8:M8" si="2">CORREL(B$5:B$16,$D$5:$D$16)</f>
        <v>0.43234274829946956</v>
      </c>
      <c r="K8" s="112">
        <f t="shared" si="2"/>
        <v>0.57576270590322565</v>
      </c>
      <c r="L8" s="111">
        <f t="shared" si="2"/>
        <v>1</v>
      </c>
      <c r="M8" s="101">
        <f t="shared" si="2"/>
        <v>0.99362987980375983</v>
      </c>
      <c r="R8" s="107"/>
      <c r="AF8" s="107"/>
    </row>
    <row r="9" spans="1:873" x14ac:dyDescent="0.3">
      <c r="A9" s="3">
        <v>2004</v>
      </c>
      <c r="B9" s="3">
        <v>1</v>
      </c>
      <c r="C9" s="104">
        <v>20315.925000000007</v>
      </c>
      <c r="D9" s="104">
        <v>579705</v>
      </c>
      <c r="E9" s="3">
        <v>8284</v>
      </c>
      <c r="G9" s="100"/>
      <c r="H9" s="96" t="s">
        <v>749</v>
      </c>
      <c r="I9" s="92">
        <f>CORREL(A$5:A$16,$E$5:$E$16)</f>
        <v>-0.17222324171814141</v>
      </c>
      <c r="J9" s="92">
        <f t="shared" ref="J9:M9" si="3">CORREL(B$5:B$16,$E$5:$E$16)</f>
        <v>0.4550465687550323</v>
      </c>
      <c r="K9" s="92">
        <f t="shared" si="3"/>
        <v>0.56694695469017153</v>
      </c>
      <c r="L9" s="92">
        <f t="shared" si="3"/>
        <v>0.99362987980375983</v>
      </c>
      <c r="M9" s="113">
        <f t="shared" si="3"/>
        <v>1.0000000000000002</v>
      </c>
      <c r="R9" s="107"/>
      <c r="AF9" s="107"/>
    </row>
    <row r="10" spans="1:873" x14ac:dyDescent="0.3">
      <c r="A10" s="3">
        <v>2004</v>
      </c>
      <c r="B10" s="3">
        <v>2</v>
      </c>
      <c r="C10" s="104">
        <v>20315.925000000007</v>
      </c>
      <c r="D10" s="104">
        <v>321094</v>
      </c>
      <c r="E10" s="3">
        <v>6178</v>
      </c>
      <c r="G10" s="100"/>
      <c r="H10" s="90"/>
      <c r="I10" s="90"/>
      <c r="J10" s="90"/>
      <c r="K10" s="90"/>
      <c r="L10" s="90"/>
      <c r="M10" s="90"/>
      <c r="R10" s="107"/>
      <c r="T10" s="93" t="s">
        <v>760</v>
      </c>
      <c r="U10" s="103" t="s">
        <v>11</v>
      </c>
      <c r="AF10" s="107"/>
    </row>
    <row r="11" spans="1:873" x14ac:dyDescent="0.3">
      <c r="A11" s="3">
        <v>2004</v>
      </c>
      <c r="B11" s="3">
        <v>3</v>
      </c>
      <c r="C11" s="104">
        <v>77432.677499999991</v>
      </c>
      <c r="D11" s="104">
        <v>712020</v>
      </c>
      <c r="E11" s="3">
        <v>10909</v>
      </c>
      <c r="G11" s="100"/>
      <c r="R11" s="107"/>
      <c r="T11" s="95" t="s">
        <v>371</v>
      </c>
      <c r="U11" s="101">
        <f>CORREL(D$5:D$16,$A$5:$A$16)</f>
        <v>-0.20405423603968789</v>
      </c>
      <c r="AF11" s="107"/>
    </row>
    <row r="12" spans="1:873" ht="16.2" thickBot="1" x14ac:dyDescent="0.35">
      <c r="A12" s="3">
        <v>2004</v>
      </c>
      <c r="B12" s="3">
        <v>4</v>
      </c>
      <c r="C12" s="104">
        <v>77432.677499999991</v>
      </c>
      <c r="D12" s="104">
        <v>1235742</v>
      </c>
      <c r="E12" s="3">
        <v>19495</v>
      </c>
      <c r="G12" s="100"/>
      <c r="H12" s="98" t="s">
        <v>752</v>
      </c>
      <c r="I12" s="99"/>
      <c r="N12" s="91"/>
      <c r="R12" s="107"/>
      <c r="T12" s="95" t="s">
        <v>750</v>
      </c>
      <c r="U12" s="101">
        <f>CORREL(D$5:D$16,$B$5:$B$16)</f>
        <v>0.43234274829946956</v>
      </c>
      <c r="AF12" s="107"/>
    </row>
    <row r="13" spans="1:873" ht="16.2" thickTop="1" x14ac:dyDescent="0.3">
      <c r="A13" s="3">
        <v>2005</v>
      </c>
      <c r="B13" s="3">
        <v>1</v>
      </c>
      <c r="C13" s="104">
        <v>20315.925000000007</v>
      </c>
      <c r="D13" s="104">
        <v>627296</v>
      </c>
      <c r="E13" s="3">
        <v>9521</v>
      </c>
      <c r="G13" s="100"/>
      <c r="H13" s="97"/>
      <c r="R13" s="107"/>
      <c r="T13" s="95" t="s">
        <v>748</v>
      </c>
      <c r="U13" s="101">
        <f>CORREL(D$5:D$16,$C$5:$C$16)</f>
        <v>0.57576270590322565</v>
      </c>
      <c r="AF13" s="107"/>
    </row>
    <row r="14" spans="1:873" x14ac:dyDescent="0.3">
      <c r="A14" s="3">
        <v>2005</v>
      </c>
      <c r="B14" s="3">
        <v>2</v>
      </c>
      <c r="C14" s="104">
        <v>20315.925000000007</v>
      </c>
      <c r="D14" s="104">
        <v>275503</v>
      </c>
      <c r="E14" s="3">
        <v>5084</v>
      </c>
      <c r="G14" s="100"/>
      <c r="H14" s="97" t="s">
        <v>755</v>
      </c>
      <c r="R14" s="107"/>
      <c r="T14" s="96" t="s">
        <v>749</v>
      </c>
      <c r="U14" s="102">
        <f>CORREL(D$5:D$16,$E$5:$E$16)</f>
        <v>0.99362987980375983</v>
      </c>
      <c r="AF14" s="107"/>
    </row>
    <row r="15" spans="1:873" x14ac:dyDescent="0.3">
      <c r="A15" s="3">
        <v>2005</v>
      </c>
      <c r="B15" s="3">
        <v>3</v>
      </c>
      <c r="C15" s="104">
        <v>20315.925000000007</v>
      </c>
      <c r="D15" s="104">
        <v>571967</v>
      </c>
      <c r="E15" s="3">
        <v>8350</v>
      </c>
      <c r="G15" s="100"/>
      <c r="H15" s="97"/>
      <c r="R15" s="107"/>
      <c r="AF15" s="107"/>
    </row>
    <row r="16" spans="1:873" x14ac:dyDescent="0.3">
      <c r="A16" s="90">
        <v>2005</v>
      </c>
      <c r="B16" s="90">
        <v>4</v>
      </c>
      <c r="C16" s="105">
        <v>20315.925000000007</v>
      </c>
      <c r="D16" s="105">
        <v>135654</v>
      </c>
      <c r="E16" s="90">
        <v>2571</v>
      </c>
      <c r="G16" s="100"/>
      <c r="H16" s="97" t="s">
        <v>753</v>
      </c>
      <c r="R16" s="107"/>
      <c r="AF16" s="107"/>
    </row>
    <row r="17" spans="1:32" x14ac:dyDescent="0.3">
      <c r="C17" s="104"/>
      <c r="D17" s="104"/>
      <c r="G17" s="100"/>
      <c r="H17" s="97"/>
      <c r="R17" s="107"/>
      <c r="AF17" s="107"/>
    </row>
    <row r="18" spans="1:32" ht="16.2" customHeight="1" x14ac:dyDescent="0.3">
      <c r="C18" s="104"/>
      <c r="D18" s="104"/>
      <c r="G18" s="100"/>
      <c r="H18" s="97" t="s">
        <v>754</v>
      </c>
      <c r="R18" s="107"/>
      <c r="AF18" s="107"/>
    </row>
    <row r="19" spans="1:32" ht="16.2" customHeight="1" x14ac:dyDescent="0.3">
      <c r="C19" s="104"/>
      <c r="D19" s="104"/>
      <c r="G19" s="100"/>
      <c r="R19" s="107"/>
      <c r="AF19" s="107"/>
    </row>
    <row r="20" spans="1:32" ht="16.2" customHeight="1" x14ac:dyDescent="0.3">
      <c r="G20" s="100"/>
      <c r="R20" s="107"/>
      <c r="AF20" s="107"/>
    </row>
    <row r="21" spans="1:32" ht="21.6" thickBot="1" x14ac:dyDescent="0.35">
      <c r="A21" s="231" t="s">
        <v>763</v>
      </c>
      <c r="B21" s="231"/>
      <c r="C21" s="231"/>
      <c r="D21" s="231"/>
      <c r="E21" s="231"/>
      <c r="G21" s="100"/>
      <c r="H21" s="98" t="s">
        <v>757</v>
      </c>
      <c r="I21" s="99"/>
      <c r="R21" s="107"/>
      <c r="AF21" s="107"/>
    </row>
    <row r="22" spans="1:32" ht="16.2" thickTop="1" x14ac:dyDescent="0.3">
      <c r="A22" s="109"/>
      <c r="G22" s="100"/>
      <c r="H22" s="97"/>
      <c r="R22" s="107"/>
      <c r="AF22" s="107"/>
    </row>
    <row r="23" spans="1:32" x14ac:dyDescent="0.3">
      <c r="A23" s="97" t="s">
        <v>767</v>
      </c>
      <c r="G23" s="100"/>
      <c r="H23" s="97" t="s">
        <v>759</v>
      </c>
      <c r="R23" s="107"/>
      <c r="AF23" s="107"/>
    </row>
    <row r="24" spans="1:32" x14ac:dyDescent="0.3">
      <c r="A24" s="97"/>
      <c r="G24" s="100"/>
      <c r="H24" s="97"/>
      <c r="R24" s="107"/>
      <c r="AF24" s="107"/>
    </row>
    <row r="25" spans="1:32" x14ac:dyDescent="0.3">
      <c r="A25" s="97" t="s">
        <v>765</v>
      </c>
      <c r="G25" s="100"/>
      <c r="H25" s="97" t="s">
        <v>758</v>
      </c>
      <c r="R25" s="107"/>
      <c r="AF25" s="107"/>
    </row>
    <row r="26" spans="1:32" x14ac:dyDescent="0.3">
      <c r="A26" s="97"/>
      <c r="G26" s="100"/>
      <c r="H26" s="97"/>
      <c r="R26" s="107"/>
      <c r="AF26" s="107"/>
    </row>
    <row r="27" spans="1:32" x14ac:dyDescent="0.3">
      <c r="A27" s="97" t="s">
        <v>766</v>
      </c>
      <c r="F27" s="107"/>
      <c r="H27" s="97" t="s">
        <v>756</v>
      </c>
      <c r="R27" s="107"/>
      <c r="AF27" s="107"/>
    </row>
    <row r="28" spans="1:32" x14ac:dyDescent="0.3">
      <c r="F28" s="107"/>
      <c r="R28" s="107"/>
      <c r="AF28" s="107"/>
    </row>
    <row r="29" spans="1:32" x14ac:dyDescent="0.3">
      <c r="F29" s="107"/>
      <c r="R29" s="107"/>
      <c r="AF29" s="107"/>
    </row>
    <row r="30" spans="1:32" ht="16.2" thickBot="1" x14ac:dyDescent="0.35">
      <c r="F30" s="107"/>
      <c r="H30" s="98" t="s">
        <v>764</v>
      </c>
      <c r="I30" s="99"/>
      <c r="R30" s="107"/>
      <c r="AF30" s="107"/>
    </row>
    <row r="31" spans="1:32" ht="16.2" thickTop="1" x14ac:dyDescent="0.3">
      <c r="F31" s="107"/>
      <c r="H31" s="108"/>
      <c r="R31" s="107"/>
      <c r="AF31" s="107"/>
    </row>
    <row r="32" spans="1:32" x14ac:dyDescent="0.3">
      <c r="F32" s="107"/>
      <c r="H32" s="108" t="s">
        <v>761</v>
      </c>
      <c r="R32" s="107"/>
      <c r="AF32" s="107"/>
    </row>
    <row r="33" spans="1:50" x14ac:dyDescent="0.3">
      <c r="F33" s="107"/>
      <c r="H33" s="108"/>
      <c r="R33" s="107"/>
      <c r="AF33" s="107"/>
    </row>
    <row r="34" spans="1:50" x14ac:dyDescent="0.3">
      <c r="F34" s="107"/>
      <c r="H34" s="108" t="s">
        <v>762</v>
      </c>
      <c r="R34" s="107"/>
      <c r="AF34" s="107"/>
    </row>
    <row r="35" spans="1:50" x14ac:dyDescent="0.3">
      <c r="F35" s="107"/>
      <c r="R35" s="107"/>
      <c r="AF35" s="107"/>
    </row>
    <row r="36" spans="1:50" x14ac:dyDescent="0.3">
      <c r="F36" s="107"/>
      <c r="R36" s="107"/>
      <c r="AF36" s="107"/>
    </row>
    <row r="37" spans="1:50" x14ac:dyDescent="0.3">
      <c r="F37" s="107"/>
    </row>
    <row r="40" spans="1:50" x14ac:dyDescent="0.3">
      <c r="A40" s="116"/>
      <c r="B40" s="116"/>
      <c r="C40" s="116"/>
      <c r="D40" s="116"/>
      <c r="E40" s="116"/>
      <c r="F40" s="116"/>
      <c r="G40" s="116"/>
      <c r="H40" s="116"/>
      <c r="I40" s="116"/>
      <c r="J40" s="116"/>
      <c r="K40" s="116"/>
      <c r="L40" s="116"/>
      <c r="M40" s="116"/>
      <c r="N40" s="116"/>
      <c r="O40" s="116"/>
      <c r="P40" s="116"/>
      <c r="Q40" s="116"/>
      <c r="R40" s="116"/>
      <c r="S40" s="116"/>
      <c r="T40" s="116"/>
      <c r="U40" s="116"/>
      <c r="V40" s="116"/>
      <c r="W40" s="116"/>
      <c r="X40" s="116"/>
      <c r="Y40" s="116"/>
      <c r="Z40" s="116"/>
      <c r="AA40" s="116"/>
      <c r="AB40" s="116"/>
      <c r="AC40" s="116"/>
      <c r="AD40" s="116"/>
      <c r="AE40" s="116"/>
      <c r="AF40" s="116"/>
      <c r="AG40" s="116"/>
      <c r="AH40" s="116"/>
      <c r="AI40" s="116"/>
      <c r="AJ40" s="116"/>
      <c r="AK40" s="116"/>
      <c r="AL40" s="116"/>
      <c r="AM40" s="116"/>
      <c r="AN40" s="116"/>
      <c r="AO40" s="116"/>
      <c r="AP40" s="116"/>
      <c r="AQ40" s="116"/>
      <c r="AR40" s="116"/>
      <c r="AS40" s="116"/>
      <c r="AT40" s="116"/>
      <c r="AU40" s="116"/>
      <c r="AV40" s="116"/>
      <c r="AW40" s="116"/>
      <c r="AX40" s="116"/>
    </row>
  </sheetData>
  <mergeCells count="5">
    <mergeCell ref="Z1:AG1"/>
    <mergeCell ref="AH1:AX1"/>
    <mergeCell ref="A21:E21"/>
    <mergeCell ref="G1:Y1"/>
    <mergeCell ref="A1:F1"/>
  </mergeCells>
  <conditionalFormatting sqref="I5:M9 U11:U14">
    <cfRule type="colorScale" priority="3">
      <colorScale>
        <cfvo type="num" val="-1"/>
        <cfvo type="num" val="0"/>
        <cfvo type="num" val="1"/>
        <color rgb="FF00B0F0"/>
        <color rgb="FF0070C0"/>
        <color rgb="FF002060"/>
      </colorScale>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05AF3-2104-4E6F-AC26-834AA926D780}">
  <sheetPr>
    <tabColor rgb="FF002060"/>
  </sheetPr>
  <dimension ref="A1:XDX56"/>
  <sheetViews>
    <sheetView showGridLines="0" zoomScale="83" zoomScaleNormal="83" workbookViewId="0">
      <selection activeCell="M46" sqref="M46"/>
    </sheetView>
  </sheetViews>
  <sheetFormatPr defaultRowHeight="15.6" customHeight="1" x14ac:dyDescent="0.3"/>
  <cols>
    <col min="1" max="1" width="1.88671875" customWidth="1"/>
    <col min="2" max="2" width="2.44140625" customWidth="1"/>
    <col min="3" max="3" width="27.88671875" customWidth="1"/>
    <col min="4" max="4" width="27.6640625" customWidth="1"/>
    <col min="5" max="5" width="19.5546875" customWidth="1"/>
    <col min="6" max="6" width="16.21875" customWidth="1"/>
    <col min="7" max="7" width="2.33203125" customWidth="1"/>
    <col min="8" max="8" width="32.33203125" customWidth="1"/>
    <col min="9" max="9" width="33.33203125" customWidth="1"/>
    <col min="10" max="10" width="11.21875" customWidth="1"/>
    <col min="11" max="11" width="8.88671875" customWidth="1"/>
    <col min="12" max="12" width="18.33203125" customWidth="1"/>
    <col min="13" max="14" width="30.77734375" customWidth="1"/>
    <col min="15" max="15" width="13.44140625" bestFit="1" customWidth="1"/>
    <col min="16" max="16" width="13.33203125" bestFit="1" customWidth="1"/>
    <col min="17" max="17" width="14.44140625" bestFit="1" customWidth="1"/>
    <col min="18" max="18" width="13.33203125" bestFit="1" customWidth="1"/>
    <col min="19" max="19" width="14.109375" bestFit="1" customWidth="1"/>
    <col min="20" max="20" width="13.77734375" bestFit="1" customWidth="1"/>
    <col min="39" max="39" width="14.44140625" customWidth="1"/>
    <col min="40" max="40" width="16.88671875" bestFit="1" customWidth="1"/>
    <col min="41" max="41" width="14.109375" bestFit="1" customWidth="1"/>
    <col min="42" max="42" width="20.6640625" bestFit="1" customWidth="1"/>
    <col min="43" max="43" width="33.21875" bestFit="1" customWidth="1"/>
    <col min="44" max="44" width="17.77734375" bestFit="1" customWidth="1"/>
    <col min="45" max="45" width="15.21875" bestFit="1" customWidth="1"/>
  </cols>
  <sheetData>
    <row r="1" spans="1:16352" ht="10.8" customHeight="1" x14ac:dyDescent="0.3">
      <c r="A1" s="230"/>
      <c r="B1" s="230"/>
      <c r="C1" s="230"/>
      <c r="D1" s="230"/>
      <c r="E1" s="230"/>
      <c r="F1" s="230"/>
      <c r="G1" s="230"/>
      <c r="H1" s="230"/>
      <c r="I1" s="230"/>
      <c r="J1" s="230"/>
      <c r="K1" s="230"/>
      <c r="L1" s="230"/>
      <c r="M1" s="230"/>
      <c r="N1" s="230"/>
      <c r="O1" s="230"/>
      <c r="P1" s="230"/>
      <c r="Q1" s="230"/>
      <c r="R1" s="230"/>
      <c r="S1" s="230"/>
      <c r="T1" s="230"/>
      <c r="U1" s="230"/>
      <c r="V1" s="230"/>
      <c r="W1" s="230"/>
      <c r="X1" s="230"/>
      <c r="Y1" s="230"/>
      <c r="Z1" s="230"/>
      <c r="AA1" s="230"/>
      <c r="AB1" s="230"/>
      <c r="AC1" s="230"/>
      <c r="AD1" s="230"/>
      <c r="AE1" s="230"/>
      <c r="AF1" s="230"/>
      <c r="AG1" s="230"/>
      <c r="AH1" s="230"/>
      <c r="AI1" s="230"/>
      <c r="AJ1" s="230"/>
      <c r="AK1" s="230"/>
      <c r="AL1" s="230"/>
      <c r="AM1" s="230"/>
      <c r="AN1" s="230"/>
      <c r="AO1" s="230"/>
      <c r="AP1" s="230"/>
      <c r="AQ1" s="230"/>
      <c r="AR1" s="230"/>
      <c r="AS1" s="230"/>
      <c r="AT1" s="230"/>
      <c r="AU1" s="230"/>
      <c r="AV1" s="230"/>
      <c r="AW1" s="230"/>
      <c r="AX1" s="230"/>
      <c r="AY1" s="230"/>
      <c r="AZ1" s="230"/>
      <c r="BA1" s="116"/>
      <c r="BB1" s="116"/>
      <c r="BC1" s="116"/>
      <c r="BD1" s="116"/>
      <c r="BE1" s="116"/>
      <c r="BF1" s="116"/>
      <c r="BG1" s="116"/>
      <c r="BH1" s="116"/>
      <c r="BI1" s="116"/>
      <c r="BJ1" s="116"/>
      <c r="BK1" s="116"/>
      <c r="BL1" s="116"/>
      <c r="BM1" s="116"/>
      <c r="BN1" s="116"/>
      <c r="BO1" s="116"/>
      <c r="BP1" s="116"/>
      <c r="BQ1" s="116"/>
      <c r="BR1" s="116"/>
      <c r="BS1" s="116"/>
      <c r="BT1" s="116"/>
      <c r="BU1" s="116"/>
      <c r="BV1" s="116"/>
      <c r="BW1" s="116"/>
      <c r="BX1" s="116"/>
      <c r="BY1" s="116"/>
      <c r="BZ1" s="116"/>
      <c r="CA1" s="116"/>
      <c r="CB1" s="116"/>
      <c r="CC1" s="116"/>
      <c r="CD1" s="116"/>
      <c r="CE1" s="116"/>
      <c r="CF1" s="116"/>
      <c r="CG1" s="116"/>
      <c r="CH1" s="116"/>
      <c r="CI1" s="116"/>
      <c r="CJ1" s="116"/>
      <c r="CK1" s="116"/>
      <c r="CL1" s="116"/>
      <c r="CM1" s="116"/>
      <c r="CN1" s="116"/>
      <c r="CO1" s="116"/>
      <c r="CP1" s="116"/>
      <c r="CQ1" s="116"/>
      <c r="CR1" s="116"/>
      <c r="CS1" s="116"/>
      <c r="CT1" s="116"/>
      <c r="CU1" s="116"/>
      <c r="CV1" s="116"/>
      <c r="CW1" s="116"/>
      <c r="CX1" s="116"/>
      <c r="CY1" s="116"/>
      <c r="CZ1" s="116"/>
      <c r="DA1" s="116"/>
      <c r="DB1" s="116"/>
      <c r="DC1" s="116"/>
      <c r="DD1" s="116"/>
      <c r="DE1" s="116"/>
      <c r="DF1" s="116"/>
      <c r="DG1" s="116"/>
      <c r="DH1" s="116"/>
      <c r="DI1" s="116"/>
      <c r="DJ1" s="116"/>
      <c r="DK1" s="116"/>
      <c r="DL1" s="116"/>
      <c r="DM1" s="116"/>
      <c r="DN1" s="116"/>
      <c r="DO1" s="116"/>
      <c r="DP1" s="116"/>
      <c r="DQ1" s="116"/>
      <c r="DR1" s="116"/>
      <c r="DS1" s="116"/>
      <c r="DT1" s="116"/>
      <c r="DU1" s="116"/>
      <c r="DV1" s="116"/>
      <c r="DW1" s="116"/>
      <c r="DX1" s="116"/>
      <c r="DY1" s="116"/>
      <c r="DZ1" s="116"/>
      <c r="EA1" s="116"/>
      <c r="EB1" s="116"/>
      <c r="EC1" s="116"/>
      <c r="ED1" s="116"/>
      <c r="EE1" s="116"/>
      <c r="EF1" s="116"/>
      <c r="EG1" s="116"/>
      <c r="EH1" s="116"/>
      <c r="EI1" s="116"/>
      <c r="EJ1" s="116"/>
      <c r="EK1" s="116"/>
      <c r="EL1" s="116"/>
      <c r="EM1" s="116"/>
      <c r="EN1" s="116"/>
      <c r="EO1" s="116"/>
      <c r="EP1" s="116"/>
      <c r="EQ1" s="116"/>
      <c r="ER1" s="116"/>
      <c r="ES1" s="116"/>
      <c r="ET1" s="116"/>
      <c r="EU1" s="116"/>
      <c r="EV1" s="116"/>
      <c r="EW1" s="116"/>
      <c r="EX1" s="116"/>
      <c r="EY1" s="116"/>
      <c r="EZ1" s="116"/>
      <c r="FA1" s="116"/>
      <c r="FB1" s="116"/>
      <c r="FC1" s="116"/>
      <c r="FD1" s="116"/>
      <c r="FE1" s="116"/>
      <c r="FF1" s="116"/>
      <c r="FG1" s="116"/>
      <c r="FH1" s="116"/>
      <c r="FI1" s="116"/>
      <c r="FJ1" s="116"/>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c r="ALM1" s="3"/>
      <c r="ALN1" s="3"/>
      <c r="ALO1" s="3"/>
      <c r="ALP1" s="3"/>
      <c r="ALQ1" s="3"/>
      <c r="ALR1" s="3"/>
      <c r="ALS1" s="3"/>
      <c r="ALT1" s="3"/>
      <c r="ALU1" s="3"/>
      <c r="ALV1" s="3"/>
      <c r="ALW1" s="3"/>
      <c r="ALX1" s="3"/>
      <c r="ALY1" s="3"/>
      <c r="ALZ1" s="3"/>
      <c r="AMA1" s="3"/>
      <c r="AMB1" s="3"/>
      <c r="AMC1" s="3"/>
      <c r="AMD1" s="3"/>
      <c r="AME1" s="3"/>
      <c r="AMF1" s="3"/>
      <c r="AMG1" s="3"/>
      <c r="AMH1" s="3"/>
      <c r="AMI1" s="3"/>
      <c r="AMJ1" s="3"/>
      <c r="AMK1" s="3"/>
      <c r="AML1" s="3"/>
      <c r="AMM1" s="3"/>
      <c r="AMN1" s="3"/>
      <c r="AMO1" s="3"/>
      <c r="AMP1" s="3"/>
      <c r="AMQ1" s="3"/>
      <c r="AMR1" s="3"/>
      <c r="AMS1" s="3"/>
      <c r="AMT1" s="3"/>
      <c r="AMU1" s="3"/>
      <c r="AMV1" s="3"/>
      <c r="AMW1" s="3"/>
      <c r="AMX1" s="3"/>
      <c r="AMY1" s="3"/>
      <c r="AMZ1" s="3"/>
      <c r="ANA1" s="3"/>
      <c r="ANB1" s="3"/>
      <c r="ANC1" s="3"/>
      <c r="AND1" s="3"/>
      <c r="ANE1" s="3"/>
      <c r="ANF1" s="3"/>
      <c r="ANG1" s="3"/>
      <c r="ANH1" s="3"/>
      <c r="ANI1" s="3"/>
      <c r="ANJ1" s="3"/>
      <c r="ANK1" s="3"/>
      <c r="ANL1" s="3"/>
      <c r="ANM1" s="3"/>
      <c r="ANN1" s="3"/>
      <c r="ANO1" s="3"/>
      <c r="ANP1" s="3"/>
      <c r="ANQ1" s="3"/>
      <c r="ANR1" s="3"/>
      <c r="ANS1" s="3"/>
      <c r="ANT1" s="3"/>
      <c r="ANU1" s="3"/>
      <c r="ANV1" s="3"/>
      <c r="ANW1" s="3"/>
      <c r="ANX1" s="3"/>
      <c r="ANY1" s="3"/>
      <c r="ANZ1" s="3"/>
      <c r="AOA1" s="3"/>
      <c r="AOB1" s="3"/>
      <c r="AOC1" s="3"/>
      <c r="AOD1" s="3"/>
      <c r="AOE1" s="3"/>
      <c r="AOF1" s="3"/>
      <c r="AOG1" s="3"/>
      <c r="AOH1" s="3"/>
      <c r="AOI1" s="3"/>
      <c r="AOJ1" s="3"/>
      <c r="AOK1" s="3"/>
      <c r="AOL1" s="3"/>
      <c r="AOM1" s="3"/>
      <c r="AON1" s="3"/>
      <c r="AOO1" s="3"/>
      <c r="AOP1" s="3"/>
      <c r="AOQ1" s="3"/>
      <c r="AOR1" s="3"/>
      <c r="AOS1" s="3"/>
      <c r="AOT1" s="3"/>
      <c r="AOU1" s="3"/>
      <c r="AOV1" s="3"/>
      <c r="AOW1" s="3"/>
      <c r="AOX1" s="3"/>
      <c r="AOY1" s="3"/>
      <c r="AOZ1" s="3"/>
      <c r="APA1" s="3"/>
      <c r="APB1" s="3"/>
      <c r="APC1" s="3"/>
      <c r="APD1" s="3"/>
      <c r="APE1" s="3"/>
      <c r="APF1" s="3"/>
      <c r="APG1" s="3"/>
      <c r="APH1" s="3"/>
      <c r="API1" s="3"/>
      <c r="APJ1" s="3"/>
      <c r="APK1" s="3"/>
      <c r="APL1" s="3"/>
      <c r="APM1" s="3"/>
      <c r="APN1" s="3"/>
      <c r="APO1" s="3"/>
      <c r="APP1" s="3"/>
      <c r="APQ1" s="3"/>
      <c r="APR1" s="3"/>
      <c r="APS1" s="3"/>
      <c r="APT1" s="3"/>
      <c r="APU1" s="3"/>
      <c r="APV1" s="3"/>
      <c r="APW1" s="3"/>
      <c r="APX1" s="3"/>
      <c r="APY1" s="3"/>
      <c r="APZ1" s="3"/>
      <c r="AQA1" s="3"/>
      <c r="AQB1" s="3"/>
      <c r="AQC1" s="3"/>
      <c r="AQD1" s="3"/>
      <c r="AQE1" s="3"/>
      <c r="AQF1" s="3"/>
      <c r="AQG1" s="3"/>
      <c r="AQH1" s="3"/>
      <c r="AQI1" s="3"/>
      <c r="AQJ1" s="3"/>
      <c r="AQK1" s="3"/>
      <c r="AQL1" s="3"/>
      <c r="AQM1" s="3"/>
      <c r="AQN1" s="3"/>
      <c r="AQO1" s="3"/>
      <c r="AQP1" s="3"/>
      <c r="AQQ1" s="3"/>
      <c r="AQR1" s="3"/>
      <c r="AQS1" s="3"/>
      <c r="AQT1" s="3"/>
      <c r="AQU1" s="3"/>
      <c r="AQV1" s="3"/>
      <c r="AQW1" s="3"/>
      <c r="AQX1" s="3"/>
      <c r="AQY1" s="3"/>
      <c r="AQZ1" s="3"/>
      <c r="ARA1" s="3"/>
      <c r="ARB1" s="3"/>
      <c r="ARC1" s="3"/>
      <c r="ARD1" s="3"/>
      <c r="ARE1" s="3"/>
      <c r="ARF1" s="3"/>
      <c r="ARG1" s="3"/>
      <c r="ARH1" s="3"/>
      <c r="ARI1" s="3"/>
      <c r="ARJ1" s="3"/>
      <c r="ARK1" s="3"/>
      <c r="ARL1" s="3"/>
      <c r="ARM1" s="3"/>
      <c r="ARN1" s="3"/>
      <c r="ARO1" s="3"/>
      <c r="ARP1" s="3"/>
      <c r="ARQ1" s="3"/>
      <c r="ARR1" s="3"/>
      <c r="ARS1" s="3"/>
      <c r="ART1" s="3"/>
      <c r="ARU1" s="3"/>
      <c r="ARV1" s="3"/>
      <c r="ARW1" s="3"/>
      <c r="ARX1" s="3"/>
      <c r="ARY1" s="3"/>
      <c r="ARZ1" s="3"/>
      <c r="ASA1" s="3"/>
      <c r="ASB1" s="3"/>
      <c r="ASC1" s="3"/>
      <c r="ASD1" s="3"/>
      <c r="ASE1" s="3"/>
      <c r="ASF1" s="3"/>
      <c r="ASG1" s="3"/>
      <c r="ASH1" s="3"/>
      <c r="ASI1" s="3"/>
      <c r="ASJ1" s="3"/>
      <c r="ASK1" s="3"/>
      <c r="ASL1" s="3"/>
      <c r="ASM1" s="3"/>
      <c r="ASN1" s="3"/>
      <c r="ASO1" s="3"/>
      <c r="ASP1" s="3"/>
      <c r="ASQ1" s="3"/>
      <c r="ASR1" s="3"/>
      <c r="ASS1" s="3"/>
      <c r="AST1" s="3"/>
      <c r="ASU1" s="3"/>
      <c r="ASV1" s="3"/>
      <c r="ASW1" s="3"/>
      <c r="ASX1" s="3"/>
      <c r="ASY1" s="3"/>
      <c r="ASZ1" s="3"/>
      <c r="ATA1" s="3"/>
      <c r="ATB1" s="3"/>
      <c r="ATC1" s="3"/>
      <c r="ATD1" s="3"/>
      <c r="ATE1" s="3"/>
      <c r="ATF1" s="3"/>
      <c r="ATG1" s="3"/>
      <c r="ATH1" s="3"/>
      <c r="ATI1" s="3"/>
      <c r="ATJ1" s="3"/>
      <c r="ATK1" s="3"/>
      <c r="ATL1" s="3"/>
      <c r="ATM1" s="3"/>
      <c r="ATN1" s="3"/>
      <c r="ATO1" s="3"/>
      <c r="ATP1" s="3"/>
      <c r="ATQ1" s="3"/>
      <c r="ATR1" s="3"/>
      <c r="ATS1" s="3"/>
      <c r="ATT1" s="3"/>
      <c r="ATU1" s="3"/>
      <c r="ATV1" s="3"/>
      <c r="ATW1" s="3"/>
      <c r="ATX1" s="3"/>
      <c r="ATY1" s="3"/>
      <c r="ATZ1" s="3"/>
      <c r="AUA1" s="3"/>
      <c r="AUB1" s="3"/>
      <c r="AUC1" s="3"/>
      <c r="AUD1" s="3"/>
      <c r="AUE1" s="3"/>
      <c r="AUF1" s="3"/>
      <c r="AUG1" s="3"/>
      <c r="AUH1" s="3"/>
      <c r="AUI1" s="3"/>
      <c r="AUJ1" s="3"/>
      <c r="AUK1" s="3"/>
      <c r="AUL1" s="3"/>
      <c r="AUM1" s="3"/>
      <c r="AUN1" s="3"/>
      <c r="AUO1" s="3"/>
      <c r="AUP1" s="3"/>
      <c r="AUQ1" s="3"/>
      <c r="AUR1" s="3"/>
      <c r="AUS1" s="3"/>
      <c r="AUT1" s="3"/>
      <c r="AUU1" s="3"/>
      <c r="AUV1" s="3"/>
      <c r="AUW1" s="3"/>
      <c r="AUX1" s="3"/>
      <c r="AUY1" s="3"/>
      <c r="AUZ1" s="3"/>
      <c r="AVA1" s="3"/>
      <c r="AVB1" s="3"/>
      <c r="AVC1" s="3"/>
      <c r="AVD1" s="3"/>
      <c r="AVE1" s="3"/>
      <c r="AVF1" s="3"/>
      <c r="AVG1" s="3"/>
      <c r="AVH1" s="3"/>
      <c r="AVI1" s="3"/>
      <c r="AVJ1" s="3"/>
      <c r="AVK1" s="3"/>
      <c r="AVL1" s="3"/>
      <c r="AVM1" s="3"/>
      <c r="AVN1" s="3"/>
      <c r="AVO1" s="3"/>
      <c r="AVP1" s="3"/>
      <c r="AVQ1" s="3"/>
      <c r="AVR1" s="3"/>
      <c r="AVS1" s="3"/>
      <c r="AVT1" s="3"/>
      <c r="AVU1" s="3"/>
      <c r="AVV1" s="3"/>
      <c r="AVW1" s="3"/>
      <c r="AVX1" s="3"/>
      <c r="AVY1" s="3"/>
      <c r="AVZ1" s="3"/>
      <c r="AWA1" s="3"/>
      <c r="AWB1" s="3"/>
      <c r="AWC1" s="3"/>
      <c r="AWD1" s="3"/>
      <c r="AWE1" s="3"/>
      <c r="AWF1" s="3"/>
      <c r="AWG1" s="3"/>
      <c r="AWH1" s="3"/>
      <c r="AWI1" s="3"/>
      <c r="AWJ1" s="3"/>
      <c r="AWK1" s="3"/>
      <c r="AWL1" s="3"/>
      <c r="AWM1" s="3"/>
      <c r="AWN1" s="3"/>
      <c r="AWO1" s="3"/>
      <c r="AWP1" s="3"/>
      <c r="AWQ1" s="3"/>
      <c r="AWR1" s="3"/>
      <c r="AWS1" s="3"/>
      <c r="AWT1" s="3"/>
      <c r="AWU1" s="3"/>
      <c r="AWV1" s="3"/>
      <c r="AWW1" s="3"/>
      <c r="AWX1" s="3"/>
      <c r="AWY1" s="3"/>
      <c r="AWZ1" s="3"/>
      <c r="AXA1" s="3"/>
      <c r="AXB1" s="3"/>
      <c r="AXC1" s="3"/>
      <c r="AXD1" s="3"/>
      <c r="AXE1" s="3"/>
      <c r="AXF1" s="3"/>
      <c r="AXG1" s="3"/>
      <c r="AXH1" s="3"/>
      <c r="AXI1" s="3"/>
      <c r="AXJ1" s="3"/>
      <c r="AXK1" s="3"/>
      <c r="AXL1" s="3"/>
      <c r="AXM1" s="3"/>
      <c r="AXN1" s="3"/>
      <c r="AXO1" s="3"/>
      <c r="AXP1" s="3"/>
      <c r="AXQ1" s="3"/>
      <c r="AXR1" s="3"/>
      <c r="AXS1" s="3"/>
      <c r="AXT1" s="3"/>
      <c r="AXU1" s="3"/>
      <c r="AXV1" s="3"/>
      <c r="AXW1" s="3"/>
      <c r="AXX1" s="3"/>
      <c r="AXY1" s="3"/>
      <c r="AXZ1" s="3"/>
      <c r="AYA1" s="3"/>
      <c r="AYB1" s="3"/>
      <c r="AYC1" s="3"/>
      <c r="AYD1" s="3"/>
      <c r="AYE1" s="3"/>
      <c r="AYF1" s="3"/>
      <c r="AYG1" s="3"/>
      <c r="AYH1" s="3"/>
      <c r="AYI1" s="3"/>
      <c r="AYJ1" s="3"/>
      <c r="AYK1" s="3"/>
      <c r="AYL1" s="3"/>
      <c r="AYM1" s="3"/>
      <c r="AYN1" s="3"/>
      <c r="AYO1" s="3"/>
      <c r="AYP1" s="3"/>
      <c r="AYQ1" s="3"/>
      <c r="AYR1" s="3"/>
      <c r="AYS1" s="3"/>
      <c r="AYT1" s="3"/>
      <c r="AYU1" s="3"/>
      <c r="AYV1" s="3"/>
      <c r="AYW1" s="3"/>
      <c r="AYX1" s="3"/>
      <c r="AYY1" s="3"/>
      <c r="AYZ1" s="3"/>
      <c r="AZA1" s="3"/>
      <c r="AZB1" s="3"/>
      <c r="AZC1" s="3"/>
      <c r="AZD1" s="3"/>
      <c r="AZE1" s="3"/>
      <c r="AZF1" s="3"/>
      <c r="AZG1" s="3"/>
      <c r="AZH1" s="3"/>
      <c r="AZI1" s="3"/>
      <c r="AZJ1" s="3"/>
      <c r="AZK1" s="3"/>
      <c r="AZL1" s="3"/>
      <c r="AZM1" s="3"/>
      <c r="AZN1" s="3"/>
      <c r="AZO1" s="3"/>
      <c r="AZP1" s="3"/>
      <c r="AZQ1" s="3"/>
      <c r="AZR1" s="3"/>
      <c r="AZS1" s="3"/>
      <c r="AZT1" s="3"/>
      <c r="AZU1" s="3"/>
      <c r="AZV1" s="3"/>
      <c r="AZW1" s="3"/>
      <c r="AZX1" s="3"/>
      <c r="AZY1" s="3"/>
      <c r="AZZ1" s="3"/>
      <c r="BAA1" s="3"/>
      <c r="BAB1" s="3"/>
      <c r="BAC1" s="3"/>
      <c r="BAD1" s="3"/>
      <c r="BAE1" s="3"/>
      <c r="BAF1" s="3"/>
      <c r="BAG1" s="3"/>
      <c r="BAH1" s="3"/>
      <c r="BAI1" s="3"/>
      <c r="BAJ1" s="3"/>
      <c r="BAK1" s="3"/>
      <c r="BAL1" s="3"/>
      <c r="BAM1" s="3"/>
      <c r="BAN1" s="3"/>
      <c r="BAO1" s="3"/>
      <c r="BAP1" s="3"/>
      <c r="BAQ1" s="3"/>
      <c r="BAR1" s="3"/>
      <c r="BAS1" s="3"/>
      <c r="BAT1" s="3"/>
      <c r="BAU1" s="3"/>
      <c r="BAV1" s="3"/>
      <c r="BAW1" s="3"/>
      <c r="BAX1" s="3"/>
      <c r="BAY1" s="3"/>
      <c r="BAZ1" s="3"/>
      <c r="BBA1" s="3"/>
      <c r="BBB1" s="3"/>
      <c r="BBC1" s="3"/>
      <c r="BBD1" s="3"/>
      <c r="BBE1" s="3"/>
      <c r="BBF1" s="3"/>
      <c r="BBG1" s="3"/>
      <c r="BBH1" s="3"/>
      <c r="BBI1" s="3"/>
      <c r="BBJ1" s="3"/>
      <c r="BBK1" s="3"/>
      <c r="BBL1" s="3"/>
      <c r="BBM1" s="3"/>
      <c r="BBN1" s="3"/>
      <c r="BBO1" s="3"/>
      <c r="BBP1" s="3"/>
      <c r="BBQ1" s="3"/>
      <c r="BBR1" s="3"/>
      <c r="BBS1" s="3"/>
      <c r="BBT1" s="3"/>
      <c r="BBU1" s="3"/>
      <c r="BBV1" s="3"/>
      <c r="BBW1" s="3"/>
      <c r="BBX1" s="3"/>
      <c r="BBY1" s="3"/>
      <c r="BBZ1" s="3"/>
      <c r="BCA1" s="3"/>
      <c r="BCB1" s="3"/>
      <c r="BCC1" s="3"/>
      <c r="BCD1" s="3"/>
      <c r="BCE1" s="3"/>
      <c r="BCF1" s="3"/>
      <c r="BCG1" s="3"/>
      <c r="BCH1" s="3"/>
      <c r="BCI1" s="3"/>
      <c r="BCJ1" s="3"/>
      <c r="BCK1" s="3"/>
      <c r="BCL1" s="3"/>
      <c r="BCM1" s="3"/>
      <c r="BCN1" s="3"/>
      <c r="BCO1" s="3"/>
      <c r="BCP1" s="3"/>
      <c r="BCQ1" s="3"/>
      <c r="BCR1" s="3"/>
      <c r="BCS1" s="3"/>
      <c r="BCT1" s="3"/>
      <c r="BCU1" s="3"/>
      <c r="BCV1" s="3"/>
      <c r="BCW1" s="3"/>
      <c r="BCX1" s="3"/>
      <c r="BCY1" s="3"/>
      <c r="BCZ1" s="3"/>
      <c r="BDA1" s="3"/>
      <c r="BDB1" s="3"/>
      <c r="BDC1" s="3"/>
      <c r="BDD1" s="3"/>
      <c r="BDE1" s="3"/>
      <c r="BDF1" s="3"/>
      <c r="BDG1" s="3"/>
      <c r="BDH1" s="3"/>
      <c r="BDI1" s="3"/>
      <c r="BDJ1" s="3"/>
      <c r="BDK1" s="3"/>
      <c r="BDL1" s="3"/>
      <c r="BDM1" s="3"/>
      <c r="BDN1" s="3"/>
      <c r="BDO1" s="3"/>
      <c r="BDP1" s="3"/>
      <c r="BDQ1" s="3"/>
      <c r="BDR1" s="3"/>
      <c r="BDS1" s="3"/>
      <c r="BDT1" s="3"/>
      <c r="BDU1" s="3"/>
      <c r="BDV1" s="3"/>
      <c r="BDW1" s="3"/>
      <c r="BDX1" s="3"/>
      <c r="BDY1" s="3"/>
      <c r="BDZ1" s="3"/>
      <c r="BEA1" s="3"/>
      <c r="BEB1" s="3"/>
      <c r="BEC1" s="3"/>
      <c r="BED1" s="3"/>
      <c r="BEE1" s="3"/>
      <c r="BEF1" s="3"/>
      <c r="BEG1" s="3"/>
      <c r="BEH1" s="3"/>
      <c r="BEI1" s="3"/>
      <c r="BEJ1" s="3"/>
      <c r="BEK1" s="3"/>
      <c r="BEL1" s="3"/>
      <c r="BEM1" s="3"/>
      <c r="BEN1" s="3"/>
      <c r="BEO1" s="3"/>
      <c r="BEP1" s="3"/>
      <c r="BEQ1" s="3"/>
      <c r="BER1" s="3"/>
      <c r="BES1" s="3"/>
      <c r="BET1" s="3"/>
      <c r="BEU1" s="3"/>
      <c r="BEV1" s="3"/>
      <c r="BEW1" s="3"/>
      <c r="BEX1" s="3"/>
      <c r="BEY1" s="3"/>
      <c r="BEZ1" s="3"/>
      <c r="BFA1" s="3"/>
      <c r="BFB1" s="3"/>
      <c r="BFC1" s="3"/>
      <c r="BFD1" s="3"/>
      <c r="BFE1" s="3"/>
      <c r="BFF1" s="3"/>
      <c r="BFG1" s="3"/>
      <c r="BFH1" s="3"/>
      <c r="BFI1" s="3"/>
      <c r="BFJ1" s="3"/>
      <c r="BFK1" s="3"/>
      <c r="BFL1" s="3"/>
      <c r="BFM1" s="3"/>
      <c r="BFN1" s="3"/>
      <c r="BFO1" s="3"/>
      <c r="BFP1" s="3"/>
      <c r="BFQ1" s="3"/>
      <c r="BFR1" s="3"/>
      <c r="BFS1" s="3"/>
      <c r="BFT1" s="3"/>
      <c r="BFU1" s="3"/>
      <c r="BFV1" s="3"/>
      <c r="BFW1" s="3"/>
      <c r="BFX1" s="3"/>
      <c r="BFY1" s="3"/>
      <c r="BFZ1" s="3"/>
      <c r="BGA1" s="3"/>
      <c r="BGB1" s="3"/>
      <c r="BGC1" s="3"/>
      <c r="BGD1" s="3"/>
      <c r="BGE1" s="3"/>
      <c r="BGF1" s="3"/>
      <c r="BGG1" s="3"/>
      <c r="BGH1" s="3"/>
      <c r="BGI1" s="3"/>
      <c r="BGJ1" s="3"/>
      <c r="BGK1" s="3"/>
      <c r="BGL1" s="3"/>
      <c r="BGM1" s="3"/>
      <c r="BGN1" s="3"/>
      <c r="BGO1" s="3"/>
      <c r="BGP1" s="3"/>
      <c r="BGQ1" s="3"/>
      <c r="BGR1" s="3"/>
      <c r="BGS1" s="3"/>
      <c r="BGT1" s="3"/>
      <c r="BGU1" s="3"/>
      <c r="BGV1" s="3"/>
      <c r="BGW1" s="3"/>
      <c r="BGX1" s="3"/>
      <c r="BGY1" s="3"/>
      <c r="BGZ1" s="3"/>
      <c r="BHA1" s="3"/>
      <c r="BHB1" s="3"/>
      <c r="BHC1" s="3"/>
      <c r="BHD1" s="3"/>
      <c r="BHE1" s="3"/>
      <c r="BHF1" s="3"/>
      <c r="BHG1" s="3"/>
      <c r="BHH1" s="3"/>
      <c r="BHI1" s="3"/>
      <c r="BHJ1" s="3"/>
      <c r="BHK1" s="3"/>
      <c r="BHL1" s="3"/>
      <c r="BHM1" s="3"/>
      <c r="BHN1" s="3"/>
      <c r="BHO1" s="3"/>
      <c r="BHP1" s="3"/>
      <c r="BHQ1" s="3"/>
      <c r="BHR1" s="3"/>
      <c r="BHS1" s="3"/>
      <c r="BHT1" s="3"/>
      <c r="BHU1" s="3"/>
      <c r="BHV1" s="3"/>
      <c r="BHW1" s="3"/>
      <c r="BHX1" s="3"/>
      <c r="BHY1" s="3"/>
      <c r="BHZ1" s="3"/>
      <c r="BIA1" s="3"/>
      <c r="BIB1" s="3"/>
      <c r="BIC1" s="3"/>
      <c r="BID1" s="3"/>
      <c r="BIE1" s="3"/>
      <c r="BIF1" s="3"/>
      <c r="BIG1" s="3"/>
      <c r="BIH1" s="3"/>
      <c r="BII1" s="3"/>
      <c r="BIJ1" s="3"/>
      <c r="BIK1" s="3"/>
      <c r="BIL1" s="3"/>
      <c r="BIM1" s="3"/>
      <c r="BIN1" s="3"/>
      <c r="BIO1" s="3"/>
      <c r="BIP1" s="3"/>
      <c r="BIQ1" s="3"/>
      <c r="BIR1" s="3"/>
      <c r="BIS1" s="3"/>
      <c r="BIT1" s="3"/>
      <c r="BIU1" s="3"/>
      <c r="BIV1" s="3"/>
      <c r="BIW1" s="3"/>
      <c r="BIX1" s="3"/>
      <c r="BIY1" s="3"/>
      <c r="BIZ1" s="3"/>
      <c r="BJA1" s="3"/>
      <c r="BJB1" s="3"/>
      <c r="BJC1" s="3"/>
      <c r="BJD1" s="3"/>
      <c r="BJE1" s="3"/>
      <c r="BJF1" s="3"/>
      <c r="BJG1" s="3"/>
      <c r="BJH1" s="3"/>
      <c r="BJI1" s="3"/>
      <c r="BJJ1" s="3"/>
      <c r="BJK1" s="3"/>
      <c r="BJL1" s="3"/>
      <c r="BJM1" s="3"/>
      <c r="BJN1" s="3"/>
      <c r="BJO1" s="3"/>
      <c r="BJP1" s="3"/>
      <c r="BJQ1" s="3"/>
      <c r="BJR1" s="3"/>
      <c r="BJS1" s="3"/>
      <c r="BJT1" s="3"/>
      <c r="BJU1" s="3"/>
      <c r="BJV1" s="3"/>
      <c r="BJW1" s="3"/>
      <c r="BJX1" s="3"/>
      <c r="BJY1" s="3"/>
      <c r="BJZ1" s="3"/>
      <c r="BKA1" s="3"/>
      <c r="BKB1" s="3"/>
      <c r="BKC1" s="3"/>
      <c r="BKD1" s="3"/>
      <c r="BKE1" s="3"/>
      <c r="BKF1" s="3"/>
      <c r="BKG1" s="3"/>
      <c r="BKH1" s="3"/>
      <c r="BKI1" s="3"/>
      <c r="BKJ1" s="3"/>
      <c r="BKK1" s="3"/>
      <c r="BKL1" s="3"/>
      <c r="BKM1" s="3"/>
      <c r="BKN1" s="3"/>
      <c r="BKO1" s="3"/>
      <c r="BKP1" s="3"/>
      <c r="BKQ1" s="3"/>
      <c r="BKR1" s="3"/>
      <c r="BKS1" s="3"/>
      <c r="BKT1" s="3"/>
      <c r="BKU1" s="3"/>
      <c r="BKV1" s="3"/>
      <c r="BKW1" s="3"/>
      <c r="BKX1" s="3"/>
      <c r="BKY1" s="3"/>
      <c r="BKZ1" s="3"/>
      <c r="BLA1" s="3"/>
      <c r="BLB1" s="3"/>
      <c r="BLC1" s="3"/>
      <c r="BLD1" s="3"/>
      <c r="BLE1" s="3"/>
      <c r="BLF1" s="3"/>
      <c r="BLG1" s="3"/>
      <c r="BLH1" s="3"/>
      <c r="BLI1" s="3"/>
      <c r="BLJ1" s="3"/>
      <c r="BLK1" s="3"/>
      <c r="BLL1" s="3"/>
      <c r="BLM1" s="3"/>
      <c r="BLN1" s="3"/>
      <c r="BLO1" s="3"/>
      <c r="BLP1" s="3"/>
      <c r="BLQ1" s="3"/>
      <c r="BLR1" s="3"/>
      <c r="BLS1" s="3"/>
      <c r="BLT1" s="3"/>
      <c r="BLU1" s="3"/>
      <c r="BLV1" s="3"/>
      <c r="BLW1" s="3"/>
      <c r="BLX1" s="3"/>
      <c r="BLY1" s="3"/>
      <c r="BLZ1" s="3"/>
      <c r="BMA1" s="3"/>
      <c r="BMB1" s="3"/>
      <c r="BMC1" s="3"/>
      <c r="BMD1" s="3"/>
      <c r="BME1" s="3"/>
      <c r="BMF1" s="3"/>
      <c r="BMG1" s="3"/>
      <c r="BMH1" s="3"/>
      <c r="BMI1" s="3"/>
      <c r="BMJ1" s="3"/>
      <c r="BMK1" s="3"/>
      <c r="BML1" s="3"/>
      <c r="BMM1" s="3"/>
      <c r="BMN1" s="3"/>
      <c r="BMO1" s="3"/>
      <c r="BMP1" s="3"/>
      <c r="BMQ1" s="3"/>
      <c r="BMR1" s="3"/>
      <c r="BMS1" s="3"/>
      <c r="BMT1" s="3"/>
      <c r="BMU1" s="3"/>
      <c r="BMV1" s="3"/>
      <c r="BMW1" s="3"/>
      <c r="BMX1" s="3"/>
      <c r="BMY1" s="3"/>
      <c r="BMZ1" s="3"/>
      <c r="BNA1" s="3"/>
      <c r="BNB1" s="3"/>
      <c r="BNC1" s="3"/>
      <c r="BND1" s="3"/>
      <c r="BNE1" s="3"/>
      <c r="BNF1" s="3"/>
      <c r="BNG1" s="3"/>
      <c r="BNH1" s="3"/>
      <c r="BNI1" s="3"/>
      <c r="BNJ1" s="3"/>
      <c r="BNK1" s="3"/>
      <c r="BNL1" s="3"/>
      <c r="BNM1" s="3"/>
      <c r="BNN1" s="3"/>
      <c r="BNO1" s="3"/>
      <c r="BNP1" s="3"/>
      <c r="BNQ1" s="3"/>
      <c r="BNR1" s="3"/>
      <c r="BNS1" s="3"/>
      <c r="BNT1" s="3"/>
      <c r="BNU1" s="3"/>
      <c r="BNV1" s="3"/>
      <c r="BNW1" s="3"/>
      <c r="BNX1" s="3"/>
      <c r="BNY1" s="3"/>
      <c r="BNZ1" s="3"/>
      <c r="BOA1" s="3"/>
      <c r="BOB1" s="3"/>
      <c r="BOC1" s="3"/>
      <c r="BOD1" s="3"/>
      <c r="BOE1" s="3"/>
      <c r="BOF1" s="3"/>
      <c r="BOG1" s="3"/>
      <c r="BOH1" s="3"/>
      <c r="BOI1" s="3"/>
      <c r="BOJ1" s="3"/>
      <c r="BOK1" s="3"/>
      <c r="BOL1" s="3"/>
      <c r="BOM1" s="3"/>
      <c r="BON1" s="3"/>
      <c r="BOO1" s="3"/>
      <c r="BOP1" s="3"/>
      <c r="BOQ1" s="3"/>
      <c r="BOR1" s="3"/>
      <c r="BOS1" s="3"/>
      <c r="BOT1" s="3"/>
      <c r="BOU1" s="3"/>
      <c r="BOV1" s="3"/>
      <c r="BOW1" s="3"/>
      <c r="BOX1" s="3"/>
      <c r="BOY1" s="3"/>
      <c r="BOZ1" s="3"/>
      <c r="BPA1" s="3"/>
      <c r="BPB1" s="3"/>
      <c r="BPC1" s="3"/>
      <c r="BPD1" s="3"/>
      <c r="BPE1" s="3"/>
      <c r="BPF1" s="3"/>
      <c r="BPG1" s="3"/>
      <c r="BPH1" s="3"/>
      <c r="BPI1" s="3"/>
      <c r="BPJ1" s="3"/>
      <c r="BPK1" s="3"/>
      <c r="BPL1" s="3"/>
      <c r="BPM1" s="3"/>
      <c r="BPN1" s="3"/>
      <c r="BPO1" s="3"/>
      <c r="BPP1" s="3"/>
      <c r="BPQ1" s="3"/>
      <c r="BPR1" s="3"/>
      <c r="BPS1" s="3"/>
      <c r="BPT1" s="3"/>
      <c r="BPU1" s="3"/>
      <c r="BPV1" s="3"/>
      <c r="BPW1" s="3"/>
      <c r="BPX1" s="3"/>
      <c r="BPY1" s="3"/>
      <c r="BPZ1" s="3"/>
      <c r="BQA1" s="3"/>
      <c r="BQB1" s="3"/>
      <c r="BQC1" s="3"/>
      <c r="BQD1" s="3"/>
      <c r="BQE1" s="3"/>
      <c r="BQF1" s="3"/>
      <c r="BQG1" s="3"/>
      <c r="BQH1" s="3"/>
      <c r="BQI1" s="3"/>
      <c r="BQJ1" s="3"/>
      <c r="BQK1" s="3"/>
      <c r="BQL1" s="3"/>
      <c r="BQM1" s="3"/>
      <c r="BQN1" s="3"/>
      <c r="BQO1" s="3"/>
      <c r="BQP1" s="3"/>
      <c r="BQQ1" s="3"/>
      <c r="BQR1" s="3"/>
      <c r="BQS1" s="3"/>
      <c r="BQT1" s="3"/>
      <c r="BQU1" s="3"/>
      <c r="BQV1" s="3"/>
      <c r="BQW1" s="3"/>
      <c r="BQX1" s="3"/>
      <c r="BQY1" s="3"/>
      <c r="BQZ1" s="3"/>
      <c r="BRA1" s="3"/>
      <c r="BRB1" s="3"/>
      <c r="BRC1" s="3"/>
      <c r="BRD1" s="3"/>
      <c r="BRE1" s="3"/>
      <c r="BRF1" s="3"/>
      <c r="BRG1" s="3"/>
      <c r="BRH1" s="3"/>
      <c r="BRI1" s="3"/>
      <c r="BRJ1" s="3"/>
      <c r="BRK1" s="3"/>
      <c r="BRL1" s="3"/>
      <c r="BRM1" s="3"/>
      <c r="BRN1" s="3"/>
      <c r="BRO1" s="3"/>
      <c r="BRP1" s="3"/>
      <c r="BRQ1" s="3"/>
      <c r="BRR1" s="3"/>
      <c r="BRS1" s="3"/>
      <c r="BRT1" s="3"/>
      <c r="BRU1" s="3"/>
      <c r="BRV1" s="3"/>
      <c r="BRW1" s="3"/>
      <c r="BRX1" s="3"/>
      <c r="BRY1" s="3"/>
      <c r="BRZ1" s="3"/>
      <c r="BSA1" s="3"/>
      <c r="BSB1" s="3"/>
      <c r="BSC1" s="3"/>
      <c r="BSD1" s="3"/>
      <c r="BSE1" s="3"/>
      <c r="BSF1" s="3"/>
      <c r="BSG1" s="3"/>
      <c r="BSH1" s="3"/>
      <c r="BSI1" s="3"/>
      <c r="BSJ1" s="3"/>
      <c r="BSK1" s="3"/>
      <c r="BSL1" s="3"/>
      <c r="BSM1" s="3"/>
      <c r="BSN1" s="3"/>
      <c r="BSO1" s="3"/>
      <c r="BSP1" s="3"/>
      <c r="BSQ1" s="3"/>
      <c r="BSR1" s="3"/>
      <c r="BSS1" s="3"/>
      <c r="BST1" s="3"/>
      <c r="BSU1" s="3"/>
      <c r="BSV1" s="3"/>
      <c r="BSW1" s="3"/>
      <c r="BSX1" s="3"/>
      <c r="BSY1" s="3"/>
      <c r="BSZ1" s="3"/>
      <c r="BTA1" s="3"/>
      <c r="BTB1" s="3"/>
      <c r="BTC1" s="3"/>
      <c r="BTD1" s="3"/>
      <c r="BTE1" s="3"/>
      <c r="BTF1" s="3"/>
      <c r="BTG1" s="3"/>
      <c r="BTH1" s="3"/>
      <c r="BTI1" s="3"/>
      <c r="BTJ1" s="3"/>
      <c r="BTK1" s="3"/>
      <c r="BTL1" s="3"/>
      <c r="BTM1" s="3"/>
      <c r="BTN1" s="3"/>
      <c r="BTO1" s="3"/>
      <c r="BTP1" s="3"/>
      <c r="BTQ1" s="3"/>
      <c r="BTR1" s="3"/>
      <c r="BTS1" s="3"/>
      <c r="BTT1" s="3"/>
      <c r="BTU1" s="3"/>
      <c r="BTV1" s="3"/>
      <c r="BTW1" s="3"/>
      <c r="BTX1" s="3"/>
      <c r="BTY1" s="3"/>
      <c r="BTZ1" s="3"/>
      <c r="BUA1" s="3"/>
      <c r="BUB1" s="3"/>
      <c r="BUC1" s="3"/>
      <c r="BUD1" s="3"/>
      <c r="BUE1" s="3"/>
      <c r="BUF1" s="3"/>
      <c r="BUG1" s="3"/>
      <c r="BUH1" s="3"/>
      <c r="BUI1" s="3"/>
      <c r="BUJ1" s="3"/>
      <c r="BUK1" s="3"/>
      <c r="BUL1" s="3"/>
      <c r="BUM1" s="3"/>
      <c r="BUN1" s="3"/>
      <c r="BUO1" s="3"/>
      <c r="BUP1" s="3"/>
      <c r="BUQ1" s="3"/>
      <c r="BUR1" s="3"/>
      <c r="BUS1" s="3"/>
      <c r="BUT1" s="3"/>
      <c r="BUU1" s="3"/>
      <c r="BUV1" s="3"/>
      <c r="BUW1" s="3"/>
      <c r="BUX1" s="3"/>
      <c r="BUY1" s="3"/>
      <c r="BUZ1" s="3"/>
      <c r="BVA1" s="3"/>
      <c r="BVB1" s="3"/>
      <c r="BVC1" s="3"/>
      <c r="BVD1" s="3"/>
      <c r="BVE1" s="3"/>
      <c r="BVF1" s="3"/>
      <c r="BVG1" s="3"/>
      <c r="BVH1" s="3"/>
      <c r="BVI1" s="3"/>
      <c r="BVJ1" s="3"/>
      <c r="BVK1" s="3"/>
      <c r="BVL1" s="3"/>
      <c r="BVM1" s="3"/>
      <c r="BVN1" s="3"/>
      <c r="BVO1" s="3"/>
      <c r="BVP1" s="3"/>
      <c r="BVQ1" s="3"/>
      <c r="BVR1" s="3"/>
      <c r="BVS1" s="3"/>
      <c r="BVT1" s="3"/>
      <c r="BVU1" s="3"/>
      <c r="BVV1" s="3"/>
      <c r="BVW1" s="3"/>
      <c r="BVX1" s="3"/>
      <c r="BVY1" s="3"/>
      <c r="BVZ1" s="3"/>
      <c r="BWA1" s="3"/>
      <c r="BWB1" s="3"/>
      <c r="BWC1" s="3"/>
      <c r="BWD1" s="3"/>
      <c r="BWE1" s="3"/>
      <c r="BWF1" s="3"/>
      <c r="BWG1" s="3"/>
      <c r="BWH1" s="3"/>
      <c r="BWI1" s="3"/>
      <c r="BWJ1" s="3"/>
      <c r="BWK1" s="3"/>
      <c r="BWL1" s="3"/>
      <c r="BWM1" s="3"/>
      <c r="BWN1" s="3"/>
      <c r="BWO1" s="3"/>
      <c r="BWP1" s="3"/>
      <c r="BWQ1" s="3"/>
      <c r="BWR1" s="3"/>
      <c r="BWS1" s="3"/>
      <c r="BWT1" s="3"/>
      <c r="BWU1" s="3"/>
      <c r="BWV1" s="3"/>
      <c r="BWW1" s="3"/>
      <c r="BWX1" s="3"/>
      <c r="BWY1" s="3"/>
      <c r="BWZ1" s="3"/>
      <c r="BXA1" s="3"/>
      <c r="BXB1" s="3"/>
      <c r="BXC1" s="3"/>
      <c r="BXD1" s="3"/>
      <c r="BXE1" s="3"/>
      <c r="BXF1" s="3"/>
      <c r="BXG1" s="3"/>
      <c r="BXH1" s="3"/>
      <c r="BXI1" s="3"/>
      <c r="BXJ1" s="3"/>
      <c r="BXK1" s="3"/>
      <c r="BXL1" s="3"/>
      <c r="BXM1" s="3"/>
      <c r="BXN1" s="3"/>
      <c r="BXO1" s="3"/>
      <c r="BXP1" s="3"/>
      <c r="BXQ1" s="3"/>
      <c r="BXR1" s="3"/>
      <c r="BXS1" s="3"/>
      <c r="BXT1" s="3"/>
      <c r="BXU1" s="3"/>
      <c r="BXV1" s="3"/>
      <c r="BXW1" s="3"/>
      <c r="BXX1" s="3"/>
      <c r="BXY1" s="3"/>
      <c r="BXZ1" s="3"/>
      <c r="BYA1" s="3"/>
      <c r="BYB1" s="3"/>
      <c r="BYC1" s="3"/>
      <c r="BYD1" s="3"/>
      <c r="BYE1" s="3"/>
      <c r="BYF1" s="3"/>
      <c r="BYG1" s="3"/>
      <c r="BYH1" s="3"/>
      <c r="BYI1" s="3"/>
      <c r="BYJ1" s="3"/>
      <c r="BYK1" s="3"/>
      <c r="BYL1" s="3"/>
      <c r="BYM1" s="3"/>
      <c r="BYN1" s="3"/>
      <c r="BYO1" s="3"/>
      <c r="BYP1" s="3"/>
      <c r="BYQ1" s="3"/>
      <c r="BYR1" s="3"/>
      <c r="BYS1" s="3"/>
      <c r="BYT1" s="3"/>
      <c r="BYU1" s="3"/>
      <c r="BYV1" s="3"/>
      <c r="BYW1" s="3"/>
      <c r="BYX1" s="3"/>
      <c r="BYY1" s="3"/>
      <c r="BYZ1" s="3"/>
      <c r="BZA1" s="3"/>
      <c r="BZB1" s="3"/>
      <c r="BZC1" s="3"/>
      <c r="BZD1" s="3"/>
      <c r="BZE1" s="3"/>
      <c r="BZF1" s="3"/>
      <c r="BZG1" s="3"/>
      <c r="BZH1" s="3"/>
      <c r="BZI1" s="3"/>
      <c r="BZJ1" s="3"/>
      <c r="BZK1" s="3"/>
      <c r="BZL1" s="3"/>
      <c r="BZM1" s="3"/>
      <c r="BZN1" s="3"/>
      <c r="BZO1" s="3"/>
      <c r="BZP1" s="3"/>
      <c r="BZQ1" s="3"/>
      <c r="BZR1" s="3"/>
      <c r="BZS1" s="3"/>
      <c r="BZT1" s="3"/>
      <c r="BZU1" s="3"/>
      <c r="BZV1" s="3"/>
      <c r="BZW1" s="3"/>
      <c r="BZX1" s="3"/>
      <c r="BZY1" s="3"/>
      <c r="BZZ1" s="3"/>
      <c r="CAA1" s="3"/>
      <c r="CAB1" s="3"/>
      <c r="CAC1" s="3"/>
      <c r="CAD1" s="3"/>
      <c r="CAE1" s="3"/>
      <c r="CAF1" s="3"/>
      <c r="CAG1" s="3"/>
      <c r="CAH1" s="3"/>
      <c r="CAI1" s="3"/>
      <c r="CAJ1" s="3"/>
      <c r="CAK1" s="3"/>
      <c r="CAL1" s="3"/>
      <c r="CAM1" s="3"/>
      <c r="CAN1" s="3"/>
      <c r="CAO1" s="3"/>
      <c r="CAP1" s="3"/>
      <c r="CAQ1" s="3"/>
      <c r="CAR1" s="3"/>
      <c r="CAS1" s="3"/>
      <c r="CAT1" s="3"/>
      <c r="CAU1" s="3"/>
      <c r="CAV1" s="3"/>
      <c r="CAW1" s="3"/>
      <c r="CAX1" s="3"/>
      <c r="CAY1" s="3"/>
      <c r="CAZ1" s="3"/>
      <c r="CBA1" s="3"/>
      <c r="CBB1" s="3"/>
      <c r="CBC1" s="3"/>
      <c r="CBD1" s="3"/>
      <c r="CBE1" s="3"/>
      <c r="CBF1" s="3"/>
      <c r="CBG1" s="3"/>
      <c r="CBH1" s="3"/>
      <c r="CBI1" s="3"/>
      <c r="CBJ1" s="3"/>
      <c r="CBK1" s="3"/>
      <c r="CBL1" s="3"/>
      <c r="CBM1" s="3"/>
      <c r="CBN1" s="3"/>
      <c r="CBO1" s="3"/>
      <c r="CBP1" s="3"/>
      <c r="CBQ1" s="3"/>
      <c r="CBR1" s="3"/>
      <c r="CBS1" s="3"/>
      <c r="CBT1" s="3"/>
      <c r="CBU1" s="3"/>
      <c r="CBV1" s="3"/>
      <c r="CBW1" s="3"/>
      <c r="CBX1" s="3"/>
      <c r="CBY1" s="3"/>
      <c r="CBZ1" s="3"/>
      <c r="CCA1" s="3"/>
      <c r="CCB1" s="3"/>
      <c r="CCC1" s="3"/>
      <c r="CCD1" s="3"/>
      <c r="CCE1" s="3"/>
      <c r="CCF1" s="3"/>
      <c r="CCG1" s="3"/>
      <c r="CCH1" s="3"/>
      <c r="CCI1" s="3"/>
      <c r="CCJ1" s="3"/>
      <c r="CCK1" s="3"/>
      <c r="CCL1" s="3"/>
      <c r="CCM1" s="3"/>
      <c r="CCN1" s="3"/>
      <c r="CCO1" s="3"/>
      <c r="CCP1" s="3"/>
      <c r="CCQ1" s="3"/>
      <c r="CCR1" s="3"/>
      <c r="CCS1" s="3"/>
      <c r="CCT1" s="3"/>
      <c r="CCU1" s="3"/>
      <c r="CCV1" s="3"/>
      <c r="CCW1" s="3"/>
      <c r="CCX1" s="3"/>
      <c r="CCY1" s="3"/>
      <c r="CCZ1" s="3"/>
      <c r="CDA1" s="3"/>
      <c r="CDB1" s="3"/>
      <c r="CDC1" s="3"/>
      <c r="CDD1" s="3"/>
      <c r="CDE1" s="3"/>
      <c r="CDF1" s="3"/>
      <c r="CDG1" s="3"/>
      <c r="CDH1" s="3"/>
      <c r="CDI1" s="3"/>
      <c r="CDJ1" s="3"/>
      <c r="CDK1" s="3"/>
      <c r="CDL1" s="3"/>
      <c r="CDM1" s="3"/>
      <c r="CDN1" s="3"/>
      <c r="CDO1" s="3"/>
      <c r="CDP1" s="3"/>
      <c r="CDQ1" s="3"/>
      <c r="CDR1" s="3"/>
      <c r="CDS1" s="3"/>
      <c r="CDT1" s="3"/>
      <c r="CDU1" s="3"/>
      <c r="CDV1" s="3"/>
      <c r="CDW1" s="3"/>
      <c r="CDX1" s="3"/>
      <c r="CDY1" s="3"/>
      <c r="CDZ1" s="3"/>
      <c r="CEA1" s="3"/>
      <c r="CEB1" s="3"/>
      <c r="CEC1" s="3"/>
      <c r="CED1" s="3"/>
      <c r="CEE1" s="3"/>
      <c r="CEF1" s="3"/>
      <c r="CEG1" s="3"/>
      <c r="CEH1" s="3"/>
      <c r="CEI1" s="3"/>
      <c r="CEJ1" s="3"/>
      <c r="CEK1" s="3"/>
      <c r="CEL1" s="3"/>
      <c r="CEM1" s="3"/>
      <c r="CEN1" s="3"/>
      <c r="CEO1" s="3"/>
      <c r="CEP1" s="3"/>
      <c r="CEQ1" s="3"/>
      <c r="CER1" s="3"/>
      <c r="CES1" s="3"/>
      <c r="CET1" s="3"/>
      <c r="CEU1" s="3"/>
      <c r="CEV1" s="3"/>
      <c r="CEW1" s="3"/>
      <c r="CEX1" s="3"/>
      <c r="CEY1" s="3"/>
      <c r="CEZ1" s="3"/>
      <c r="CFA1" s="3"/>
      <c r="CFB1" s="3"/>
      <c r="CFC1" s="3"/>
      <c r="CFD1" s="3"/>
      <c r="CFE1" s="3"/>
      <c r="CFF1" s="3"/>
      <c r="CFG1" s="3"/>
      <c r="CFH1" s="3"/>
      <c r="CFI1" s="3"/>
      <c r="CFJ1" s="3"/>
      <c r="CFK1" s="3"/>
      <c r="CFL1" s="3"/>
      <c r="CFM1" s="3"/>
      <c r="CFN1" s="3"/>
      <c r="CFO1" s="3"/>
      <c r="CFP1" s="3"/>
      <c r="CFQ1" s="3"/>
      <c r="CFR1" s="3"/>
      <c r="CFS1" s="3"/>
      <c r="CFT1" s="3"/>
      <c r="CFU1" s="3"/>
      <c r="CFV1" s="3"/>
      <c r="CFW1" s="3"/>
      <c r="CFX1" s="3"/>
      <c r="CFY1" s="3"/>
      <c r="CFZ1" s="3"/>
      <c r="CGA1" s="3"/>
      <c r="CGB1" s="3"/>
      <c r="CGC1" s="3"/>
      <c r="CGD1" s="3"/>
      <c r="CGE1" s="3"/>
      <c r="CGF1" s="3"/>
      <c r="CGG1" s="3"/>
      <c r="CGH1" s="3"/>
      <c r="CGI1" s="3"/>
      <c r="CGJ1" s="3"/>
      <c r="CGK1" s="3"/>
      <c r="CGL1" s="3"/>
      <c r="CGM1" s="3"/>
      <c r="CGN1" s="3"/>
      <c r="CGO1" s="3"/>
      <c r="CGP1" s="3"/>
      <c r="CGQ1" s="3"/>
      <c r="CGR1" s="3"/>
      <c r="CGS1" s="3"/>
      <c r="CGT1" s="3"/>
      <c r="CGU1" s="3"/>
      <c r="CGV1" s="3"/>
      <c r="CGW1" s="3"/>
      <c r="CGX1" s="3"/>
      <c r="CGY1" s="3"/>
      <c r="CGZ1" s="3"/>
      <c r="CHA1" s="3"/>
      <c r="CHB1" s="3"/>
      <c r="CHC1" s="3"/>
      <c r="CHD1" s="3"/>
      <c r="CHE1" s="3"/>
      <c r="CHF1" s="3"/>
      <c r="CHG1" s="3"/>
      <c r="CHH1" s="3"/>
      <c r="CHI1" s="3"/>
      <c r="CHJ1" s="3"/>
      <c r="CHK1" s="3"/>
      <c r="CHL1" s="3"/>
      <c r="CHM1" s="3"/>
      <c r="CHN1" s="3"/>
      <c r="CHO1" s="3"/>
      <c r="CHP1" s="3"/>
      <c r="CHQ1" s="3"/>
      <c r="CHR1" s="3"/>
      <c r="CHS1" s="3"/>
      <c r="CHT1" s="3"/>
      <c r="CHU1" s="3"/>
      <c r="CHV1" s="3"/>
      <c r="CHW1" s="3"/>
      <c r="CHX1" s="3"/>
      <c r="CHY1" s="3"/>
      <c r="CHZ1" s="3"/>
      <c r="CIA1" s="3"/>
      <c r="CIB1" s="3"/>
      <c r="CIC1" s="3"/>
      <c r="CID1" s="3"/>
      <c r="CIE1" s="3"/>
      <c r="CIF1" s="3"/>
      <c r="CIG1" s="3"/>
      <c r="CIH1" s="3"/>
      <c r="CII1" s="3"/>
      <c r="CIJ1" s="3"/>
      <c r="CIK1" s="3"/>
      <c r="CIL1" s="3"/>
      <c r="CIM1" s="3"/>
      <c r="CIN1" s="3"/>
      <c r="CIO1" s="3"/>
      <c r="CIP1" s="3"/>
      <c r="CIQ1" s="3"/>
      <c r="CIR1" s="3"/>
      <c r="CIS1" s="3"/>
      <c r="CIT1" s="3"/>
      <c r="CIU1" s="3"/>
      <c r="CIV1" s="3"/>
      <c r="CIW1" s="3"/>
      <c r="CIX1" s="3"/>
      <c r="CIY1" s="3"/>
      <c r="CIZ1" s="3"/>
      <c r="CJA1" s="3"/>
      <c r="CJB1" s="3"/>
      <c r="CJC1" s="3"/>
      <c r="CJD1" s="3"/>
      <c r="CJE1" s="3"/>
      <c r="CJF1" s="3"/>
      <c r="CJG1" s="3"/>
      <c r="CJH1" s="3"/>
      <c r="CJI1" s="3"/>
      <c r="CJJ1" s="3"/>
      <c r="CJK1" s="3"/>
      <c r="CJL1" s="3"/>
      <c r="CJM1" s="3"/>
      <c r="CJN1" s="3"/>
      <c r="CJO1" s="3"/>
      <c r="CJP1" s="3"/>
      <c r="CJQ1" s="3"/>
      <c r="CJR1" s="3"/>
      <c r="CJS1" s="3"/>
      <c r="CJT1" s="3"/>
      <c r="CJU1" s="3"/>
      <c r="CJV1" s="3"/>
      <c r="CJW1" s="3"/>
      <c r="CJX1" s="3"/>
      <c r="CJY1" s="3"/>
      <c r="CJZ1" s="3"/>
      <c r="CKA1" s="3"/>
      <c r="CKB1" s="3"/>
      <c r="CKC1" s="3"/>
      <c r="CKD1" s="3"/>
      <c r="CKE1" s="3"/>
      <c r="CKF1" s="3"/>
      <c r="CKG1" s="3"/>
      <c r="CKH1" s="3"/>
      <c r="CKI1" s="3"/>
      <c r="CKJ1" s="3"/>
      <c r="CKK1" s="3"/>
      <c r="CKL1" s="3"/>
      <c r="CKM1" s="3"/>
      <c r="CKN1" s="3"/>
      <c r="CKO1" s="3"/>
      <c r="CKP1" s="3"/>
      <c r="CKQ1" s="3"/>
      <c r="CKR1" s="3"/>
      <c r="CKS1" s="3"/>
      <c r="CKT1" s="3"/>
      <c r="CKU1" s="3"/>
      <c r="CKV1" s="3"/>
      <c r="CKW1" s="3"/>
      <c r="CKX1" s="3"/>
      <c r="CKY1" s="3"/>
      <c r="CKZ1" s="3"/>
      <c r="CLA1" s="3"/>
      <c r="CLB1" s="3"/>
      <c r="CLC1" s="3"/>
      <c r="CLD1" s="3"/>
      <c r="CLE1" s="3"/>
      <c r="CLF1" s="3"/>
      <c r="CLG1" s="3"/>
      <c r="CLH1" s="3"/>
      <c r="CLI1" s="3"/>
      <c r="CLJ1" s="3"/>
      <c r="CLK1" s="3"/>
      <c r="CLL1" s="3"/>
      <c r="CLM1" s="3"/>
      <c r="CLN1" s="3"/>
      <c r="CLO1" s="3"/>
      <c r="CLP1" s="3"/>
      <c r="CLQ1" s="3"/>
      <c r="CLR1" s="3"/>
      <c r="CLS1" s="3"/>
      <c r="CLT1" s="3"/>
      <c r="CLU1" s="3"/>
      <c r="CLV1" s="3"/>
      <c r="CLW1" s="3"/>
      <c r="CLX1" s="3"/>
      <c r="CLY1" s="3"/>
      <c r="CLZ1" s="3"/>
      <c r="CMA1" s="3"/>
      <c r="CMB1" s="3"/>
      <c r="CMC1" s="3"/>
      <c r="CMD1" s="3"/>
      <c r="CME1" s="3"/>
      <c r="CMF1" s="3"/>
      <c r="CMG1" s="3"/>
      <c r="CMH1" s="3"/>
      <c r="CMI1" s="3"/>
      <c r="CMJ1" s="3"/>
      <c r="CMK1" s="3"/>
      <c r="CML1" s="3"/>
      <c r="CMM1" s="3"/>
      <c r="CMN1" s="3"/>
      <c r="CMO1" s="3"/>
      <c r="CMP1" s="3"/>
      <c r="CMQ1" s="3"/>
      <c r="CMR1" s="3"/>
      <c r="CMS1" s="3"/>
      <c r="CMT1" s="3"/>
      <c r="CMU1" s="3"/>
      <c r="CMV1" s="3"/>
      <c r="CMW1" s="3"/>
      <c r="CMX1" s="3"/>
      <c r="CMY1" s="3"/>
      <c r="CMZ1" s="3"/>
      <c r="CNA1" s="3"/>
      <c r="CNB1" s="3"/>
      <c r="CNC1" s="3"/>
      <c r="CND1" s="3"/>
      <c r="CNE1" s="3"/>
      <c r="CNF1" s="3"/>
      <c r="CNG1" s="3"/>
      <c r="CNH1" s="3"/>
      <c r="CNI1" s="3"/>
      <c r="CNJ1" s="3"/>
      <c r="CNK1" s="3"/>
      <c r="CNL1" s="3"/>
      <c r="CNM1" s="3"/>
      <c r="CNN1" s="3"/>
      <c r="CNO1" s="3"/>
      <c r="CNP1" s="3"/>
      <c r="CNQ1" s="3"/>
      <c r="CNR1" s="3"/>
      <c r="CNS1" s="3"/>
      <c r="CNT1" s="3"/>
      <c r="CNU1" s="3"/>
      <c r="CNV1" s="3"/>
      <c r="CNW1" s="3"/>
      <c r="CNX1" s="3"/>
      <c r="CNY1" s="3"/>
      <c r="CNZ1" s="3"/>
      <c r="COA1" s="3"/>
      <c r="COB1" s="3"/>
      <c r="COC1" s="3"/>
      <c r="COD1" s="3"/>
      <c r="COE1" s="3"/>
      <c r="COF1" s="3"/>
      <c r="COG1" s="3"/>
      <c r="COH1" s="3"/>
      <c r="COI1" s="3"/>
      <c r="COJ1" s="3"/>
      <c r="COK1" s="3"/>
      <c r="COL1" s="3"/>
      <c r="COM1" s="3"/>
      <c r="CON1" s="3"/>
      <c r="COO1" s="3"/>
      <c r="COP1" s="3"/>
      <c r="COQ1" s="3"/>
      <c r="COR1" s="3"/>
      <c r="COS1" s="3"/>
      <c r="COT1" s="3"/>
      <c r="COU1" s="3"/>
      <c r="COV1" s="3"/>
      <c r="COW1" s="3"/>
      <c r="COX1" s="3"/>
      <c r="COY1" s="3"/>
      <c r="COZ1" s="3"/>
      <c r="CPA1" s="3"/>
      <c r="CPB1" s="3"/>
      <c r="CPC1" s="3"/>
      <c r="CPD1" s="3"/>
      <c r="CPE1" s="3"/>
      <c r="CPF1" s="3"/>
      <c r="CPG1" s="3"/>
      <c r="CPH1" s="3"/>
      <c r="CPI1" s="3"/>
      <c r="CPJ1" s="3"/>
      <c r="CPK1" s="3"/>
      <c r="CPL1" s="3"/>
      <c r="CPM1" s="3"/>
      <c r="CPN1" s="3"/>
      <c r="CPO1" s="3"/>
      <c r="CPP1" s="3"/>
      <c r="CPQ1" s="3"/>
      <c r="CPR1" s="3"/>
      <c r="CPS1" s="3"/>
      <c r="CPT1" s="3"/>
      <c r="CPU1" s="3"/>
      <c r="CPV1" s="3"/>
      <c r="CPW1" s="3"/>
      <c r="CPX1" s="3"/>
      <c r="CPY1" s="3"/>
      <c r="CPZ1" s="3"/>
      <c r="CQA1" s="3"/>
      <c r="CQB1" s="3"/>
      <c r="CQC1" s="3"/>
      <c r="CQD1" s="3"/>
      <c r="CQE1" s="3"/>
      <c r="CQF1" s="3"/>
      <c r="CQG1" s="3"/>
      <c r="CQH1" s="3"/>
      <c r="CQI1" s="3"/>
      <c r="CQJ1" s="3"/>
      <c r="CQK1" s="3"/>
      <c r="CQL1" s="3"/>
      <c r="CQM1" s="3"/>
      <c r="CQN1" s="3"/>
      <c r="CQO1" s="3"/>
      <c r="CQP1" s="3"/>
      <c r="CQQ1" s="3"/>
      <c r="CQR1" s="3"/>
      <c r="CQS1" s="3"/>
      <c r="CQT1" s="3"/>
      <c r="CQU1" s="3"/>
      <c r="CQV1" s="3"/>
      <c r="CQW1" s="3"/>
      <c r="CQX1" s="3"/>
      <c r="CQY1" s="3"/>
      <c r="CQZ1" s="3"/>
      <c r="CRA1" s="3"/>
      <c r="CRB1" s="3"/>
      <c r="CRC1" s="3"/>
      <c r="CRD1" s="3"/>
      <c r="CRE1" s="3"/>
      <c r="CRF1" s="3"/>
      <c r="CRG1" s="3"/>
      <c r="CRH1" s="3"/>
      <c r="CRI1" s="3"/>
      <c r="CRJ1" s="3"/>
      <c r="CRK1" s="3"/>
      <c r="CRL1" s="3"/>
      <c r="CRM1" s="3"/>
      <c r="CRN1" s="3"/>
      <c r="CRO1" s="3"/>
      <c r="CRP1" s="3"/>
      <c r="CRQ1" s="3"/>
      <c r="CRR1" s="3"/>
      <c r="CRS1" s="3"/>
      <c r="CRT1" s="3"/>
      <c r="CRU1" s="3"/>
      <c r="CRV1" s="3"/>
      <c r="CRW1" s="3"/>
      <c r="CRX1" s="3"/>
      <c r="CRY1" s="3"/>
      <c r="CRZ1" s="3"/>
      <c r="CSA1" s="3"/>
      <c r="CSB1" s="3"/>
      <c r="CSC1" s="3"/>
      <c r="CSD1" s="3"/>
      <c r="CSE1" s="3"/>
      <c r="CSF1" s="3"/>
      <c r="CSG1" s="3"/>
      <c r="CSH1" s="3"/>
      <c r="CSI1" s="3"/>
      <c r="CSJ1" s="3"/>
      <c r="CSK1" s="3"/>
      <c r="CSL1" s="3"/>
      <c r="CSM1" s="3"/>
      <c r="CSN1" s="3"/>
      <c r="CSO1" s="3"/>
      <c r="CSP1" s="3"/>
      <c r="CSQ1" s="3"/>
      <c r="CSR1" s="3"/>
      <c r="CSS1" s="3"/>
      <c r="CST1" s="3"/>
      <c r="CSU1" s="3"/>
      <c r="CSV1" s="3"/>
      <c r="CSW1" s="3"/>
      <c r="CSX1" s="3"/>
      <c r="CSY1" s="3"/>
      <c r="CSZ1" s="3"/>
      <c r="CTA1" s="3"/>
      <c r="CTB1" s="3"/>
      <c r="CTC1" s="3"/>
      <c r="CTD1" s="3"/>
      <c r="CTE1" s="3"/>
      <c r="CTF1" s="3"/>
      <c r="CTG1" s="3"/>
      <c r="CTH1" s="3"/>
      <c r="CTI1" s="3"/>
      <c r="CTJ1" s="3"/>
      <c r="CTK1" s="3"/>
      <c r="CTL1" s="3"/>
      <c r="CTM1" s="3"/>
      <c r="CTN1" s="3"/>
      <c r="CTO1" s="3"/>
      <c r="CTP1" s="3"/>
      <c r="CTQ1" s="3"/>
      <c r="CTR1" s="3"/>
      <c r="CTS1" s="3"/>
      <c r="CTT1" s="3"/>
      <c r="CTU1" s="3"/>
      <c r="CTV1" s="3"/>
      <c r="CTW1" s="3"/>
      <c r="CTX1" s="3"/>
      <c r="CTY1" s="3"/>
      <c r="CTZ1" s="3"/>
      <c r="CUA1" s="3"/>
      <c r="CUB1" s="3"/>
      <c r="CUC1" s="3"/>
      <c r="CUD1" s="3"/>
      <c r="CUE1" s="3"/>
      <c r="CUF1" s="3"/>
      <c r="CUG1" s="3"/>
      <c r="CUH1" s="3"/>
      <c r="CUI1" s="3"/>
      <c r="CUJ1" s="3"/>
      <c r="CUK1" s="3"/>
      <c r="CUL1" s="3"/>
      <c r="CUM1" s="3"/>
      <c r="CUN1" s="3"/>
      <c r="CUO1" s="3"/>
      <c r="CUP1" s="3"/>
      <c r="CUQ1" s="3"/>
      <c r="CUR1" s="3"/>
      <c r="CUS1" s="3"/>
      <c r="CUT1" s="3"/>
      <c r="CUU1" s="3"/>
      <c r="CUV1" s="3"/>
      <c r="CUW1" s="3"/>
      <c r="CUX1" s="3"/>
      <c r="CUY1" s="3"/>
      <c r="CUZ1" s="3"/>
      <c r="CVA1" s="3"/>
      <c r="CVB1" s="3"/>
      <c r="CVC1" s="3"/>
      <c r="CVD1" s="3"/>
      <c r="CVE1" s="3"/>
      <c r="CVF1" s="3"/>
      <c r="CVG1" s="3"/>
      <c r="CVH1" s="3"/>
      <c r="CVI1" s="3"/>
      <c r="CVJ1" s="3"/>
      <c r="CVK1" s="3"/>
      <c r="CVL1" s="3"/>
      <c r="CVM1" s="3"/>
      <c r="CVN1" s="3"/>
      <c r="CVO1" s="3"/>
      <c r="CVP1" s="3"/>
      <c r="CVQ1" s="3"/>
      <c r="CVR1" s="3"/>
      <c r="CVS1" s="3"/>
      <c r="CVT1" s="3"/>
      <c r="CVU1" s="3"/>
      <c r="CVV1" s="3"/>
      <c r="CVW1" s="3"/>
      <c r="CVX1" s="3"/>
      <c r="CVY1" s="3"/>
      <c r="CVZ1" s="3"/>
      <c r="CWA1" s="3"/>
      <c r="CWB1" s="3"/>
      <c r="CWC1" s="3"/>
      <c r="CWD1" s="3"/>
      <c r="CWE1" s="3"/>
      <c r="CWF1" s="3"/>
      <c r="CWG1" s="3"/>
      <c r="CWH1" s="3"/>
      <c r="CWI1" s="3"/>
      <c r="CWJ1" s="3"/>
      <c r="CWK1" s="3"/>
      <c r="CWL1" s="3"/>
      <c r="CWM1" s="3"/>
      <c r="CWN1" s="3"/>
      <c r="CWO1" s="3"/>
      <c r="CWP1" s="3"/>
      <c r="CWQ1" s="3"/>
      <c r="CWR1" s="3"/>
      <c r="CWS1" s="3"/>
      <c r="CWT1" s="3"/>
      <c r="CWU1" s="3"/>
      <c r="CWV1" s="3"/>
      <c r="CWW1" s="3"/>
      <c r="CWX1" s="3"/>
      <c r="CWY1" s="3"/>
      <c r="CWZ1" s="3"/>
      <c r="CXA1" s="3"/>
      <c r="CXB1" s="3"/>
      <c r="CXC1" s="3"/>
      <c r="CXD1" s="3"/>
      <c r="CXE1" s="3"/>
      <c r="CXF1" s="3"/>
      <c r="CXG1" s="3"/>
      <c r="CXH1" s="3"/>
      <c r="CXI1" s="3"/>
      <c r="CXJ1" s="3"/>
      <c r="CXK1" s="3"/>
      <c r="CXL1" s="3"/>
      <c r="CXM1" s="3"/>
      <c r="CXN1" s="3"/>
      <c r="CXO1" s="3"/>
      <c r="CXP1" s="3"/>
      <c r="CXQ1" s="3"/>
      <c r="CXR1" s="3"/>
      <c r="CXS1" s="3"/>
      <c r="CXT1" s="3"/>
      <c r="CXU1" s="3"/>
      <c r="CXV1" s="3"/>
      <c r="CXW1" s="3"/>
      <c r="CXX1" s="3"/>
      <c r="CXY1" s="3"/>
      <c r="CXZ1" s="3"/>
      <c r="CYA1" s="3"/>
      <c r="CYB1" s="3"/>
      <c r="CYC1" s="3"/>
      <c r="CYD1" s="3"/>
      <c r="CYE1" s="3"/>
      <c r="CYF1" s="3"/>
      <c r="CYG1" s="3"/>
      <c r="CYH1" s="3"/>
      <c r="CYI1" s="3"/>
      <c r="CYJ1" s="3"/>
      <c r="CYK1" s="3"/>
      <c r="CYL1" s="3"/>
      <c r="CYM1" s="3"/>
      <c r="CYN1" s="3"/>
      <c r="CYO1" s="3"/>
      <c r="CYP1" s="3"/>
      <c r="CYQ1" s="3"/>
      <c r="CYR1" s="3"/>
      <c r="CYS1" s="3"/>
      <c r="CYT1" s="3"/>
      <c r="CYU1" s="3"/>
      <c r="CYV1" s="3"/>
      <c r="CYW1" s="3"/>
      <c r="CYX1" s="3"/>
      <c r="CYY1" s="3"/>
      <c r="CYZ1" s="3"/>
      <c r="CZA1" s="3"/>
      <c r="CZB1" s="3"/>
      <c r="CZC1" s="3"/>
      <c r="CZD1" s="3"/>
      <c r="CZE1" s="3"/>
      <c r="CZF1" s="3"/>
      <c r="CZG1" s="3"/>
      <c r="CZH1" s="3"/>
      <c r="CZI1" s="3"/>
      <c r="CZJ1" s="3"/>
      <c r="CZK1" s="3"/>
      <c r="CZL1" s="3"/>
      <c r="CZM1" s="3"/>
      <c r="CZN1" s="3"/>
      <c r="CZO1" s="3"/>
      <c r="CZP1" s="3"/>
      <c r="CZQ1" s="3"/>
      <c r="CZR1" s="3"/>
      <c r="CZS1" s="3"/>
      <c r="CZT1" s="3"/>
      <c r="CZU1" s="3"/>
      <c r="CZV1" s="3"/>
      <c r="CZW1" s="3"/>
      <c r="CZX1" s="3"/>
      <c r="CZY1" s="3"/>
      <c r="CZZ1" s="3"/>
      <c r="DAA1" s="3"/>
      <c r="DAB1" s="3"/>
      <c r="DAC1" s="3"/>
      <c r="DAD1" s="3"/>
      <c r="DAE1" s="3"/>
      <c r="DAF1" s="3"/>
      <c r="DAG1" s="3"/>
      <c r="DAH1" s="3"/>
      <c r="DAI1" s="3"/>
      <c r="DAJ1" s="3"/>
      <c r="DAK1" s="3"/>
      <c r="DAL1" s="3"/>
      <c r="DAM1" s="3"/>
      <c r="DAN1" s="3"/>
      <c r="DAO1" s="3"/>
      <c r="DAP1" s="3"/>
      <c r="DAQ1" s="3"/>
      <c r="DAR1" s="3"/>
      <c r="DAS1" s="3"/>
      <c r="DAT1" s="3"/>
      <c r="DAU1" s="3"/>
      <c r="DAV1" s="3"/>
      <c r="DAW1" s="3"/>
      <c r="DAX1" s="3"/>
      <c r="DAY1" s="3"/>
      <c r="DAZ1" s="3"/>
      <c r="DBA1" s="3"/>
      <c r="DBB1" s="3"/>
      <c r="DBC1" s="3"/>
      <c r="DBD1" s="3"/>
      <c r="DBE1" s="3"/>
      <c r="DBF1" s="3"/>
      <c r="DBG1" s="3"/>
      <c r="DBH1" s="3"/>
      <c r="DBI1" s="3"/>
      <c r="DBJ1" s="3"/>
      <c r="DBK1" s="3"/>
      <c r="DBL1" s="3"/>
      <c r="DBM1" s="3"/>
      <c r="DBN1" s="3"/>
      <c r="DBO1" s="3"/>
      <c r="DBP1" s="3"/>
      <c r="DBQ1" s="3"/>
      <c r="DBR1" s="3"/>
      <c r="DBS1" s="3"/>
      <c r="DBT1" s="3"/>
      <c r="DBU1" s="3"/>
      <c r="DBV1" s="3"/>
      <c r="DBW1" s="3"/>
      <c r="DBX1" s="3"/>
      <c r="DBY1" s="3"/>
      <c r="DBZ1" s="3"/>
      <c r="DCA1" s="3"/>
      <c r="DCB1" s="3"/>
      <c r="DCC1" s="3"/>
      <c r="DCD1" s="3"/>
      <c r="DCE1" s="3"/>
      <c r="DCF1" s="3"/>
      <c r="DCG1" s="3"/>
      <c r="DCH1" s="3"/>
      <c r="DCI1" s="3"/>
      <c r="DCJ1" s="3"/>
      <c r="DCK1" s="3"/>
      <c r="DCL1" s="3"/>
      <c r="DCM1" s="3"/>
      <c r="DCN1" s="3"/>
      <c r="DCO1" s="3"/>
      <c r="DCP1" s="3"/>
      <c r="DCQ1" s="3"/>
      <c r="DCR1" s="3"/>
      <c r="DCS1" s="3"/>
      <c r="DCT1" s="3"/>
      <c r="DCU1" s="3"/>
      <c r="DCV1" s="3"/>
      <c r="DCW1" s="3"/>
      <c r="DCX1" s="3"/>
      <c r="DCY1" s="3"/>
      <c r="DCZ1" s="3"/>
      <c r="DDA1" s="3"/>
      <c r="DDB1" s="3"/>
      <c r="DDC1" s="3"/>
      <c r="DDD1" s="3"/>
      <c r="DDE1" s="3"/>
      <c r="DDF1" s="3"/>
      <c r="DDG1" s="3"/>
      <c r="DDH1" s="3"/>
      <c r="DDI1" s="3"/>
      <c r="DDJ1" s="3"/>
      <c r="DDK1" s="3"/>
      <c r="DDL1" s="3"/>
      <c r="DDM1" s="3"/>
      <c r="DDN1" s="3"/>
      <c r="DDO1" s="3"/>
      <c r="DDP1" s="3"/>
      <c r="DDQ1" s="3"/>
      <c r="DDR1" s="3"/>
      <c r="DDS1" s="3"/>
      <c r="DDT1" s="3"/>
      <c r="DDU1" s="3"/>
      <c r="DDV1" s="3"/>
      <c r="DDW1" s="3"/>
      <c r="DDX1" s="3"/>
      <c r="DDY1" s="3"/>
      <c r="DDZ1" s="3"/>
      <c r="DEA1" s="3"/>
      <c r="DEB1" s="3"/>
      <c r="DEC1" s="3"/>
      <c r="DED1" s="3"/>
      <c r="DEE1" s="3"/>
      <c r="DEF1" s="3"/>
      <c r="DEG1" s="3"/>
      <c r="DEH1" s="3"/>
      <c r="DEI1" s="3"/>
      <c r="DEJ1" s="3"/>
      <c r="DEK1" s="3"/>
      <c r="DEL1" s="3"/>
      <c r="DEM1" s="3"/>
      <c r="DEN1" s="3"/>
      <c r="DEO1" s="3"/>
      <c r="DEP1" s="3"/>
      <c r="DEQ1" s="3"/>
      <c r="DER1" s="3"/>
      <c r="DES1" s="3"/>
      <c r="DET1" s="3"/>
      <c r="DEU1" s="3"/>
      <c r="DEV1" s="3"/>
      <c r="DEW1" s="3"/>
      <c r="DEX1" s="3"/>
      <c r="DEY1" s="3"/>
      <c r="DEZ1" s="3"/>
      <c r="DFA1" s="3"/>
      <c r="DFB1" s="3"/>
      <c r="DFC1" s="3"/>
      <c r="DFD1" s="3"/>
      <c r="DFE1" s="3"/>
      <c r="DFF1" s="3"/>
      <c r="DFG1" s="3"/>
      <c r="DFH1" s="3"/>
      <c r="DFI1" s="3"/>
      <c r="DFJ1" s="3"/>
      <c r="DFK1" s="3"/>
      <c r="DFL1" s="3"/>
      <c r="DFM1" s="3"/>
      <c r="DFN1" s="3"/>
      <c r="DFO1" s="3"/>
      <c r="DFP1" s="3"/>
      <c r="DFQ1" s="3"/>
      <c r="DFR1" s="3"/>
      <c r="DFS1" s="3"/>
      <c r="DFT1" s="3"/>
      <c r="DFU1" s="3"/>
      <c r="DFV1" s="3"/>
      <c r="DFW1" s="3"/>
      <c r="DFX1" s="3"/>
      <c r="DFY1" s="3"/>
      <c r="DFZ1" s="3"/>
      <c r="DGA1" s="3"/>
      <c r="DGB1" s="3"/>
      <c r="DGC1" s="3"/>
      <c r="DGD1" s="3"/>
      <c r="DGE1" s="3"/>
      <c r="DGF1" s="3"/>
      <c r="DGG1" s="3"/>
      <c r="DGH1" s="3"/>
      <c r="DGI1" s="3"/>
      <c r="DGJ1" s="3"/>
      <c r="DGK1" s="3"/>
      <c r="DGL1" s="3"/>
      <c r="DGM1" s="3"/>
      <c r="DGN1" s="3"/>
      <c r="DGO1" s="3"/>
      <c r="DGP1" s="3"/>
      <c r="DGQ1" s="3"/>
      <c r="DGR1" s="3"/>
      <c r="DGS1" s="3"/>
      <c r="DGT1" s="3"/>
      <c r="DGU1" s="3"/>
      <c r="DGV1" s="3"/>
      <c r="DGW1" s="3"/>
      <c r="DGX1" s="3"/>
      <c r="DGY1" s="3"/>
      <c r="DGZ1" s="3"/>
      <c r="DHA1" s="3"/>
      <c r="DHB1" s="3"/>
      <c r="DHC1" s="3"/>
      <c r="DHD1" s="3"/>
      <c r="DHE1" s="3"/>
      <c r="DHF1" s="3"/>
      <c r="DHG1" s="3"/>
      <c r="DHH1" s="3"/>
      <c r="DHI1" s="3"/>
      <c r="DHJ1" s="3"/>
      <c r="DHK1" s="3"/>
      <c r="DHL1" s="3"/>
      <c r="DHM1" s="3"/>
      <c r="DHN1" s="3"/>
      <c r="DHO1" s="3"/>
      <c r="DHP1" s="3"/>
      <c r="DHQ1" s="3"/>
      <c r="DHR1" s="3"/>
      <c r="DHS1" s="3"/>
      <c r="DHT1" s="3"/>
      <c r="DHU1" s="3"/>
      <c r="DHV1" s="3"/>
      <c r="DHW1" s="3"/>
      <c r="DHX1" s="3"/>
      <c r="DHY1" s="3"/>
      <c r="DHZ1" s="3"/>
      <c r="DIA1" s="3"/>
      <c r="DIB1" s="3"/>
      <c r="DIC1" s="3"/>
      <c r="DID1" s="3"/>
      <c r="DIE1" s="3"/>
      <c r="DIF1" s="3"/>
      <c r="DIG1" s="3"/>
      <c r="DIH1" s="3"/>
      <c r="DII1" s="3"/>
      <c r="DIJ1" s="3"/>
      <c r="DIK1" s="3"/>
      <c r="DIL1" s="3"/>
      <c r="DIM1" s="3"/>
      <c r="DIN1" s="3"/>
      <c r="DIO1" s="3"/>
      <c r="DIP1" s="3"/>
      <c r="DIQ1" s="3"/>
      <c r="DIR1" s="3"/>
      <c r="DIS1" s="3"/>
      <c r="DIT1" s="3"/>
      <c r="DIU1" s="3"/>
      <c r="DIV1" s="3"/>
      <c r="DIW1" s="3"/>
      <c r="DIX1" s="3"/>
      <c r="DIY1" s="3"/>
      <c r="DIZ1" s="3"/>
      <c r="DJA1" s="3"/>
      <c r="DJB1" s="3"/>
      <c r="DJC1" s="3"/>
      <c r="DJD1" s="3"/>
      <c r="DJE1" s="3"/>
      <c r="DJF1" s="3"/>
      <c r="DJG1" s="3"/>
      <c r="DJH1" s="3"/>
      <c r="DJI1" s="3"/>
      <c r="DJJ1" s="3"/>
      <c r="DJK1" s="3"/>
      <c r="DJL1" s="3"/>
      <c r="DJM1" s="3"/>
      <c r="DJN1" s="3"/>
      <c r="DJO1" s="3"/>
      <c r="DJP1" s="3"/>
      <c r="DJQ1" s="3"/>
      <c r="DJR1" s="3"/>
      <c r="DJS1" s="3"/>
      <c r="DJT1" s="3"/>
      <c r="DJU1" s="3"/>
      <c r="DJV1" s="3"/>
      <c r="DJW1" s="3"/>
      <c r="DJX1" s="3"/>
      <c r="DJY1" s="3"/>
      <c r="DJZ1" s="3"/>
      <c r="DKA1" s="3"/>
      <c r="DKB1" s="3"/>
      <c r="DKC1" s="3"/>
      <c r="DKD1" s="3"/>
      <c r="DKE1" s="3"/>
      <c r="DKF1" s="3"/>
      <c r="DKG1" s="3"/>
      <c r="DKH1" s="3"/>
      <c r="DKI1" s="3"/>
      <c r="DKJ1" s="3"/>
      <c r="DKK1" s="3"/>
      <c r="DKL1" s="3"/>
      <c r="DKM1" s="3"/>
      <c r="DKN1" s="3"/>
      <c r="DKO1" s="3"/>
      <c r="DKP1" s="3"/>
      <c r="DKQ1" s="3"/>
      <c r="DKR1" s="3"/>
      <c r="DKS1" s="3"/>
      <c r="DKT1" s="3"/>
      <c r="DKU1" s="3"/>
      <c r="DKV1" s="3"/>
      <c r="DKW1" s="3"/>
      <c r="DKX1" s="3"/>
      <c r="DKY1" s="3"/>
      <c r="DKZ1" s="3"/>
      <c r="DLA1" s="3"/>
      <c r="DLB1" s="3"/>
      <c r="DLC1" s="3"/>
      <c r="DLD1" s="3"/>
      <c r="DLE1" s="3"/>
      <c r="DLF1" s="3"/>
      <c r="DLG1" s="3"/>
      <c r="DLH1" s="3"/>
      <c r="DLI1" s="3"/>
      <c r="DLJ1" s="3"/>
      <c r="DLK1" s="3"/>
      <c r="DLL1" s="3"/>
      <c r="DLM1" s="3"/>
      <c r="DLN1" s="3"/>
      <c r="DLO1" s="3"/>
      <c r="DLP1" s="3"/>
      <c r="DLQ1" s="3"/>
      <c r="DLR1" s="3"/>
      <c r="DLS1" s="3"/>
      <c r="DLT1" s="3"/>
      <c r="DLU1" s="3"/>
      <c r="DLV1" s="3"/>
      <c r="DLW1" s="3"/>
      <c r="DLX1" s="3"/>
      <c r="DLY1" s="3"/>
      <c r="DLZ1" s="3"/>
      <c r="DMA1" s="3"/>
      <c r="DMB1" s="3"/>
      <c r="DMC1" s="3"/>
      <c r="DMD1" s="3"/>
      <c r="DME1" s="3"/>
      <c r="DMF1" s="3"/>
      <c r="DMG1" s="3"/>
      <c r="DMH1" s="3"/>
      <c r="DMI1" s="3"/>
      <c r="DMJ1" s="3"/>
      <c r="DMK1" s="3"/>
      <c r="DML1" s="3"/>
      <c r="DMM1" s="3"/>
      <c r="DMN1" s="3"/>
      <c r="DMO1" s="3"/>
      <c r="DMP1" s="3"/>
      <c r="DMQ1" s="3"/>
      <c r="DMR1" s="3"/>
      <c r="DMS1" s="3"/>
      <c r="DMT1" s="3"/>
      <c r="DMU1" s="3"/>
      <c r="DMV1" s="3"/>
      <c r="DMW1" s="3"/>
      <c r="DMX1" s="3"/>
      <c r="DMY1" s="3"/>
      <c r="DMZ1" s="3"/>
      <c r="DNA1" s="3"/>
      <c r="DNB1" s="3"/>
      <c r="DNC1" s="3"/>
      <c r="DND1" s="3"/>
      <c r="DNE1" s="3"/>
      <c r="DNF1" s="3"/>
      <c r="DNG1" s="3"/>
      <c r="DNH1" s="3"/>
      <c r="DNI1" s="3"/>
      <c r="DNJ1" s="3"/>
      <c r="DNK1" s="3"/>
      <c r="DNL1" s="3"/>
      <c r="DNM1" s="3"/>
      <c r="DNN1" s="3"/>
      <c r="DNO1" s="3"/>
      <c r="DNP1" s="3"/>
      <c r="DNQ1" s="3"/>
      <c r="DNR1" s="3"/>
      <c r="DNS1" s="3"/>
      <c r="DNT1" s="3"/>
      <c r="DNU1" s="3"/>
      <c r="DNV1" s="3"/>
      <c r="DNW1" s="3"/>
      <c r="DNX1" s="3"/>
      <c r="DNY1" s="3"/>
      <c r="DNZ1" s="3"/>
      <c r="DOA1" s="3"/>
      <c r="DOB1" s="3"/>
      <c r="DOC1" s="3"/>
      <c r="DOD1" s="3"/>
      <c r="DOE1" s="3"/>
      <c r="DOF1" s="3"/>
      <c r="DOG1" s="3"/>
      <c r="DOH1" s="3"/>
      <c r="DOI1" s="3"/>
      <c r="DOJ1" s="3"/>
      <c r="DOK1" s="3"/>
      <c r="DOL1" s="3"/>
      <c r="DOM1" s="3"/>
      <c r="DON1" s="3"/>
      <c r="DOO1" s="3"/>
      <c r="DOP1" s="3"/>
      <c r="DOQ1" s="3"/>
      <c r="DOR1" s="3"/>
      <c r="DOS1" s="3"/>
      <c r="DOT1" s="3"/>
      <c r="DOU1" s="3"/>
      <c r="DOV1" s="3"/>
      <c r="DOW1" s="3"/>
      <c r="DOX1" s="3"/>
      <c r="DOY1" s="3"/>
      <c r="DOZ1" s="3"/>
      <c r="DPA1" s="3"/>
      <c r="DPB1" s="3"/>
      <c r="DPC1" s="3"/>
      <c r="DPD1" s="3"/>
      <c r="DPE1" s="3"/>
      <c r="DPF1" s="3"/>
      <c r="DPG1" s="3"/>
      <c r="DPH1" s="3"/>
      <c r="DPI1" s="3"/>
      <c r="DPJ1" s="3"/>
      <c r="DPK1" s="3"/>
      <c r="DPL1" s="3"/>
      <c r="DPM1" s="3"/>
      <c r="DPN1" s="3"/>
      <c r="DPO1" s="3"/>
      <c r="DPP1" s="3"/>
      <c r="DPQ1" s="3"/>
      <c r="DPR1" s="3"/>
      <c r="DPS1" s="3"/>
      <c r="DPT1" s="3"/>
      <c r="DPU1" s="3"/>
      <c r="DPV1" s="3"/>
      <c r="DPW1" s="3"/>
      <c r="DPX1" s="3"/>
      <c r="DPY1" s="3"/>
      <c r="DPZ1" s="3"/>
      <c r="DQA1" s="3"/>
      <c r="DQB1" s="3"/>
      <c r="DQC1" s="3"/>
      <c r="DQD1" s="3"/>
      <c r="DQE1" s="3"/>
      <c r="DQF1" s="3"/>
      <c r="DQG1" s="3"/>
      <c r="DQH1" s="3"/>
      <c r="DQI1" s="3"/>
      <c r="DQJ1" s="3"/>
      <c r="DQK1" s="3"/>
      <c r="DQL1" s="3"/>
      <c r="DQM1" s="3"/>
      <c r="DQN1" s="3"/>
      <c r="DQO1" s="3"/>
      <c r="DQP1" s="3"/>
      <c r="DQQ1" s="3"/>
      <c r="DQR1" s="3"/>
      <c r="DQS1" s="3"/>
      <c r="DQT1" s="3"/>
      <c r="DQU1" s="3"/>
      <c r="DQV1" s="3"/>
      <c r="DQW1" s="3"/>
      <c r="DQX1" s="3"/>
      <c r="DQY1" s="3"/>
      <c r="DQZ1" s="3"/>
      <c r="DRA1" s="3"/>
      <c r="DRB1" s="3"/>
      <c r="DRC1" s="3"/>
      <c r="DRD1" s="3"/>
      <c r="DRE1" s="3"/>
      <c r="DRF1" s="3"/>
      <c r="DRG1" s="3"/>
      <c r="DRH1" s="3"/>
      <c r="DRI1" s="3"/>
      <c r="DRJ1" s="3"/>
      <c r="DRK1" s="3"/>
      <c r="DRL1" s="3"/>
      <c r="DRM1" s="3"/>
      <c r="DRN1" s="3"/>
      <c r="DRO1" s="3"/>
      <c r="DRP1" s="3"/>
      <c r="DRQ1" s="3"/>
      <c r="DRR1" s="3"/>
      <c r="DRS1" s="3"/>
      <c r="DRT1" s="3"/>
      <c r="DRU1" s="3"/>
      <c r="DRV1" s="3"/>
      <c r="DRW1" s="3"/>
      <c r="DRX1" s="3"/>
      <c r="DRY1" s="3"/>
      <c r="DRZ1" s="3"/>
      <c r="DSA1" s="3"/>
      <c r="DSB1" s="3"/>
      <c r="DSC1" s="3"/>
      <c r="DSD1" s="3"/>
      <c r="DSE1" s="3"/>
      <c r="DSF1" s="3"/>
      <c r="DSG1" s="3"/>
      <c r="DSH1" s="3"/>
      <c r="DSI1" s="3"/>
      <c r="DSJ1" s="3"/>
      <c r="DSK1" s="3"/>
      <c r="DSL1" s="3"/>
      <c r="DSM1" s="3"/>
      <c r="DSN1" s="3"/>
      <c r="DSO1" s="3"/>
      <c r="DSP1" s="3"/>
      <c r="DSQ1" s="3"/>
      <c r="DSR1" s="3"/>
      <c r="DSS1" s="3"/>
      <c r="DST1" s="3"/>
      <c r="DSU1" s="3"/>
      <c r="DSV1" s="3"/>
      <c r="DSW1" s="3"/>
      <c r="DSX1" s="3"/>
      <c r="DSY1" s="3"/>
      <c r="DSZ1" s="3"/>
      <c r="DTA1" s="3"/>
      <c r="DTB1" s="3"/>
      <c r="DTC1" s="3"/>
      <c r="DTD1" s="3"/>
      <c r="DTE1" s="3"/>
      <c r="DTF1" s="3"/>
      <c r="DTG1" s="3"/>
      <c r="DTH1" s="3"/>
      <c r="DTI1" s="3"/>
      <c r="DTJ1" s="3"/>
      <c r="DTK1" s="3"/>
      <c r="DTL1" s="3"/>
      <c r="DTM1" s="3"/>
      <c r="DTN1" s="3"/>
      <c r="DTO1" s="3"/>
      <c r="DTP1" s="3"/>
      <c r="DTQ1" s="3"/>
      <c r="DTR1" s="3"/>
      <c r="DTS1" s="3"/>
      <c r="DTT1" s="3"/>
      <c r="DTU1" s="3"/>
      <c r="DTV1" s="3"/>
      <c r="DTW1" s="3"/>
      <c r="DTX1" s="3"/>
      <c r="DTY1" s="3"/>
      <c r="DTZ1" s="3"/>
      <c r="DUA1" s="3"/>
      <c r="DUB1" s="3"/>
      <c r="DUC1" s="3"/>
      <c r="DUD1" s="3"/>
      <c r="DUE1" s="3"/>
      <c r="DUF1" s="3"/>
      <c r="DUG1" s="3"/>
      <c r="DUH1" s="3"/>
      <c r="DUI1" s="3"/>
      <c r="DUJ1" s="3"/>
      <c r="DUK1" s="3"/>
      <c r="DUL1" s="3"/>
      <c r="DUM1" s="3"/>
      <c r="DUN1" s="3"/>
      <c r="DUO1" s="3"/>
      <c r="DUP1" s="3"/>
      <c r="DUQ1" s="3"/>
      <c r="DUR1" s="3"/>
      <c r="DUS1" s="3"/>
      <c r="DUT1" s="3"/>
      <c r="DUU1" s="3"/>
      <c r="DUV1" s="3"/>
      <c r="DUW1" s="3"/>
      <c r="DUX1" s="3"/>
      <c r="DUY1" s="3"/>
      <c r="DUZ1" s="3"/>
      <c r="DVA1" s="3"/>
      <c r="DVB1" s="3"/>
      <c r="DVC1" s="3"/>
      <c r="DVD1" s="3"/>
      <c r="DVE1" s="3"/>
      <c r="DVF1" s="3"/>
      <c r="DVG1" s="3"/>
      <c r="DVH1" s="3"/>
      <c r="DVI1" s="3"/>
      <c r="DVJ1" s="3"/>
      <c r="DVK1" s="3"/>
      <c r="DVL1" s="3"/>
      <c r="DVM1" s="3"/>
      <c r="DVN1" s="3"/>
      <c r="DVO1" s="3"/>
      <c r="DVP1" s="3"/>
      <c r="DVQ1" s="3"/>
      <c r="DVR1" s="3"/>
      <c r="DVS1" s="3"/>
      <c r="DVT1" s="3"/>
      <c r="DVU1" s="3"/>
      <c r="DVV1" s="3"/>
      <c r="DVW1" s="3"/>
      <c r="DVX1" s="3"/>
      <c r="DVY1" s="3"/>
      <c r="DVZ1" s="3"/>
      <c r="DWA1" s="3"/>
      <c r="DWB1" s="3"/>
      <c r="DWC1" s="3"/>
      <c r="DWD1" s="3"/>
      <c r="DWE1" s="3"/>
      <c r="DWF1" s="3"/>
      <c r="DWG1" s="3"/>
      <c r="DWH1" s="3"/>
      <c r="DWI1" s="3"/>
      <c r="DWJ1" s="3"/>
      <c r="DWK1" s="3"/>
      <c r="DWL1" s="3"/>
      <c r="DWM1" s="3"/>
      <c r="DWN1" s="3"/>
      <c r="DWO1" s="3"/>
      <c r="DWP1" s="3"/>
      <c r="DWQ1" s="3"/>
      <c r="DWR1" s="3"/>
      <c r="DWS1" s="3"/>
      <c r="DWT1" s="3"/>
      <c r="DWU1" s="3"/>
      <c r="DWV1" s="3"/>
      <c r="DWW1" s="3"/>
      <c r="DWX1" s="3"/>
      <c r="DWY1" s="3"/>
      <c r="DWZ1" s="3"/>
      <c r="DXA1" s="3"/>
      <c r="DXB1" s="3"/>
      <c r="DXC1" s="3"/>
      <c r="DXD1" s="3"/>
      <c r="DXE1" s="3"/>
      <c r="DXF1" s="3"/>
      <c r="DXG1" s="3"/>
      <c r="DXH1" s="3"/>
      <c r="DXI1" s="3"/>
      <c r="DXJ1" s="3"/>
      <c r="DXK1" s="3"/>
      <c r="DXL1" s="3"/>
      <c r="DXM1" s="3"/>
      <c r="DXN1" s="3"/>
      <c r="DXO1" s="3"/>
      <c r="DXP1" s="3"/>
      <c r="DXQ1" s="3"/>
      <c r="DXR1" s="3"/>
      <c r="DXS1" s="3"/>
      <c r="DXT1" s="3"/>
      <c r="DXU1" s="3"/>
      <c r="DXV1" s="3"/>
      <c r="DXW1" s="3"/>
      <c r="DXX1" s="3"/>
      <c r="DXY1" s="3"/>
      <c r="DXZ1" s="3"/>
      <c r="DYA1" s="3"/>
      <c r="DYB1" s="3"/>
      <c r="DYC1" s="3"/>
      <c r="DYD1" s="3"/>
      <c r="DYE1" s="3"/>
      <c r="DYF1" s="3"/>
      <c r="DYG1" s="3"/>
      <c r="DYH1" s="3"/>
      <c r="DYI1" s="3"/>
      <c r="DYJ1" s="3"/>
      <c r="DYK1" s="3"/>
      <c r="DYL1" s="3"/>
      <c r="DYM1" s="3"/>
      <c r="DYN1" s="3"/>
      <c r="DYO1" s="3"/>
      <c r="DYP1" s="3"/>
      <c r="DYQ1" s="3"/>
      <c r="DYR1" s="3"/>
      <c r="DYS1" s="3"/>
      <c r="DYT1" s="3"/>
      <c r="DYU1" s="3"/>
      <c r="DYV1" s="3"/>
      <c r="DYW1" s="3"/>
      <c r="DYX1" s="3"/>
      <c r="DYY1" s="3"/>
      <c r="DYZ1" s="3"/>
      <c r="DZA1" s="3"/>
      <c r="DZB1" s="3"/>
      <c r="DZC1" s="3"/>
      <c r="DZD1" s="3"/>
      <c r="DZE1" s="3"/>
      <c r="DZF1" s="3"/>
      <c r="DZG1" s="3"/>
      <c r="DZH1" s="3"/>
      <c r="DZI1" s="3"/>
      <c r="DZJ1" s="3"/>
      <c r="DZK1" s="3"/>
      <c r="DZL1" s="3"/>
      <c r="DZM1" s="3"/>
      <c r="DZN1" s="3"/>
      <c r="DZO1" s="3"/>
      <c r="DZP1" s="3"/>
      <c r="DZQ1" s="3"/>
      <c r="DZR1" s="3"/>
      <c r="DZS1" s="3"/>
      <c r="DZT1" s="3"/>
      <c r="DZU1" s="3"/>
      <c r="DZV1" s="3"/>
      <c r="DZW1" s="3"/>
      <c r="DZX1" s="3"/>
      <c r="DZY1" s="3"/>
      <c r="DZZ1" s="3"/>
      <c r="EAA1" s="3"/>
      <c r="EAB1" s="3"/>
      <c r="EAC1" s="3"/>
      <c r="EAD1" s="3"/>
      <c r="EAE1" s="3"/>
      <c r="EAF1" s="3"/>
      <c r="EAG1" s="3"/>
      <c r="EAH1" s="3"/>
      <c r="EAI1" s="3"/>
      <c r="EAJ1" s="3"/>
      <c r="EAK1" s="3"/>
      <c r="EAL1" s="3"/>
      <c r="EAM1" s="3"/>
      <c r="EAN1" s="3"/>
      <c r="EAO1" s="3"/>
      <c r="EAP1" s="3"/>
      <c r="EAQ1" s="3"/>
      <c r="EAR1" s="3"/>
      <c r="EAS1" s="3"/>
      <c r="EAT1" s="3"/>
      <c r="EAU1" s="3"/>
      <c r="EAV1" s="3"/>
      <c r="EAW1" s="3"/>
      <c r="EAX1" s="3"/>
      <c r="EAY1" s="3"/>
      <c r="EAZ1" s="3"/>
      <c r="EBA1" s="3"/>
      <c r="EBB1" s="3"/>
      <c r="EBC1" s="3"/>
      <c r="EBD1" s="3"/>
      <c r="EBE1" s="3"/>
      <c r="EBF1" s="3"/>
      <c r="EBG1" s="3"/>
      <c r="EBH1" s="3"/>
      <c r="EBI1" s="3"/>
      <c r="EBJ1" s="3"/>
      <c r="EBK1" s="3"/>
      <c r="EBL1" s="3"/>
      <c r="EBM1" s="3"/>
      <c r="EBN1" s="3"/>
      <c r="EBO1" s="3"/>
      <c r="EBP1" s="3"/>
      <c r="EBQ1" s="3"/>
      <c r="EBR1" s="3"/>
      <c r="EBS1" s="3"/>
      <c r="EBT1" s="3"/>
      <c r="EBU1" s="3"/>
      <c r="EBV1" s="3"/>
      <c r="EBW1" s="3"/>
      <c r="EBX1" s="3"/>
      <c r="EBY1" s="3"/>
      <c r="EBZ1" s="3"/>
      <c r="ECA1" s="3"/>
      <c r="ECB1" s="3"/>
      <c r="ECC1" s="3"/>
      <c r="ECD1" s="3"/>
      <c r="ECE1" s="3"/>
      <c r="ECF1" s="3"/>
      <c r="ECG1" s="3"/>
      <c r="ECH1" s="3"/>
      <c r="ECI1" s="3"/>
      <c r="ECJ1" s="3"/>
      <c r="ECK1" s="3"/>
      <c r="ECL1" s="3"/>
      <c r="ECM1" s="3"/>
      <c r="ECN1" s="3"/>
      <c r="ECO1" s="3"/>
      <c r="ECP1" s="3"/>
      <c r="ECQ1" s="3"/>
      <c r="ECR1" s="3"/>
      <c r="ECS1" s="3"/>
      <c r="ECT1" s="3"/>
      <c r="ECU1" s="3"/>
      <c r="ECV1" s="3"/>
      <c r="ECW1" s="3"/>
      <c r="ECX1" s="3"/>
      <c r="ECY1" s="3"/>
      <c r="ECZ1" s="3"/>
      <c r="EDA1" s="3"/>
      <c r="EDB1" s="3"/>
      <c r="EDC1" s="3"/>
      <c r="EDD1" s="3"/>
      <c r="EDE1" s="3"/>
      <c r="EDF1" s="3"/>
      <c r="EDG1" s="3"/>
      <c r="EDH1" s="3"/>
      <c r="EDI1" s="3"/>
      <c r="EDJ1" s="3"/>
      <c r="EDK1" s="3"/>
      <c r="EDL1" s="3"/>
      <c r="EDM1" s="3"/>
      <c r="EDN1" s="3"/>
      <c r="EDO1" s="3"/>
      <c r="EDP1" s="3"/>
      <c r="EDQ1" s="3"/>
      <c r="EDR1" s="3"/>
      <c r="EDS1" s="3"/>
      <c r="EDT1" s="3"/>
      <c r="EDU1" s="3"/>
      <c r="EDV1" s="3"/>
      <c r="EDW1" s="3"/>
      <c r="EDX1" s="3"/>
      <c r="EDY1" s="3"/>
      <c r="EDZ1" s="3"/>
      <c r="EEA1" s="3"/>
      <c r="EEB1" s="3"/>
      <c r="EEC1" s="3"/>
      <c r="EED1" s="3"/>
      <c r="EEE1" s="3"/>
      <c r="EEF1" s="3"/>
      <c r="EEG1" s="3"/>
      <c r="EEH1" s="3"/>
      <c r="EEI1" s="3"/>
      <c r="EEJ1" s="3"/>
      <c r="EEK1" s="3"/>
      <c r="EEL1" s="3"/>
      <c r="EEM1" s="3"/>
      <c r="EEN1" s="3"/>
      <c r="EEO1" s="3"/>
      <c r="EEP1" s="3"/>
      <c r="EEQ1" s="3"/>
      <c r="EER1" s="3"/>
      <c r="EES1" s="3"/>
      <c r="EET1" s="3"/>
      <c r="EEU1" s="3"/>
      <c r="EEV1" s="3"/>
      <c r="EEW1" s="3"/>
      <c r="EEX1" s="3"/>
      <c r="EEY1" s="3"/>
      <c r="EEZ1" s="3"/>
      <c r="EFA1" s="3"/>
      <c r="EFB1" s="3"/>
      <c r="EFC1" s="3"/>
      <c r="EFD1" s="3"/>
      <c r="EFE1" s="3"/>
      <c r="EFF1" s="3"/>
      <c r="EFG1" s="3"/>
      <c r="EFH1" s="3"/>
      <c r="EFI1" s="3"/>
      <c r="EFJ1" s="3"/>
      <c r="EFK1" s="3"/>
      <c r="EFL1" s="3"/>
      <c r="EFM1" s="3"/>
      <c r="EFN1" s="3"/>
      <c r="EFO1" s="3"/>
      <c r="EFP1" s="3"/>
      <c r="EFQ1" s="3"/>
      <c r="EFR1" s="3"/>
      <c r="EFS1" s="3"/>
      <c r="EFT1" s="3"/>
      <c r="EFU1" s="3"/>
      <c r="EFV1" s="3"/>
      <c r="EFW1" s="3"/>
      <c r="EFX1" s="3"/>
      <c r="EFY1" s="3"/>
      <c r="EFZ1" s="3"/>
      <c r="EGA1" s="3"/>
      <c r="EGB1" s="3"/>
      <c r="EGC1" s="3"/>
      <c r="EGD1" s="3"/>
      <c r="EGE1" s="3"/>
      <c r="EGF1" s="3"/>
      <c r="EGG1" s="3"/>
      <c r="EGH1" s="3"/>
      <c r="EGI1" s="3"/>
      <c r="EGJ1" s="3"/>
      <c r="EGK1" s="3"/>
      <c r="EGL1" s="3"/>
      <c r="EGM1" s="3"/>
      <c r="EGN1" s="3"/>
      <c r="EGO1" s="3"/>
      <c r="EGP1" s="3"/>
      <c r="EGQ1" s="3"/>
      <c r="EGR1" s="3"/>
      <c r="EGS1" s="3"/>
      <c r="EGT1" s="3"/>
      <c r="EGU1" s="3"/>
      <c r="EGV1" s="3"/>
      <c r="EGW1" s="3"/>
      <c r="EGX1" s="3"/>
      <c r="EGY1" s="3"/>
      <c r="EGZ1" s="3"/>
      <c r="EHA1" s="3"/>
      <c r="EHB1" s="3"/>
      <c r="EHC1" s="3"/>
      <c r="EHD1" s="3"/>
      <c r="EHE1" s="3"/>
      <c r="EHF1" s="3"/>
      <c r="EHG1" s="3"/>
      <c r="EHH1" s="3"/>
      <c r="EHI1" s="3"/>
      <c r="EHJ1" s="3"/>
      <c r="EHK1" s="3"/>
      <c r="EHL1" s="3"/>
      <c r="EHM1" s="3"/>
      <c r="EHN1" s="3"/>
      <c r="EHO1" s="3"/>
      <c r="EHP1" s="3"/>
      <c r="EHQ1" s="3"/>
      <c r="EHR1" s="3"/>
      <c r="EHS1" s="3"/>
      <c r="EHT1" s="3"/>
      <c r="EHU1" s="3"/>
      <c r="EHV1" s="3"/>
      <c r="EHW1" s="3"/>
      <c r="EHX1" s="3"/>
      <c r="EHY1" s="3"/>
      <c r="EHZ1" s="3"/>
      <c r="EIA1" s="3"/>
      <c r="EIB1" s="3"/>
      <c r="EIC1" s="3"/>
      <c r="EID1" s="3"/>
      <c r="EIE1" s="3"/>
      <c r="EIF1" s="3"/>
      <c r="EIG1" s="3"/>
      <c r="EIH1" s="3"/>
      <c r="EII1" s="3"/>
      <c r="EIJ1" s="3"/>
      <c r="EIK1" s="3"/>
      <c r="EIL1" s="3"/>
      <c r="EIM1" s="3"/>
      <c r="EIN1" s="3"/>
      <c r="EIO1" s="3"/>
      <c r="EIP1" s="3"/>
      <c r="EIQ1" s="3"/>
      <c r="EIR1" s="3"/>
      <c r="EIS1" s="3"/>
      <c r="EIT1" s="3"/>
      <c r="EIU1" s="3"/>
      <c r="EIV1" s="3"/>
      <c r="EIW1" s="3"/>
      <c r="EIX1" s="3"/>
      <c r="EIY1" s="3"/>
      <c r="EIZ1" s="3"/>
      <c r="EJA1" s="3"/>
      <c r="EJB1" s="3"/>
      <c r="EJC1" s="3"/>
      <c r="EJD1" s="3"/>
      <c r="EJE1" s="3"/>
      <c r="EJF1" s="3"/>
      <c r="EJG1" s="3"/>
      <c r="EJH1" s="3"/>
      <c r="EJI1" s="3"/>
      <c r="EJJ1" s="3"/>
      <c r="EJK1" s="3"/>
      <c r="EJL1" s="3"/>
      <c r="EJM1" s="3"/>
      <c r="EJN1" s="3"/>
      <c r="EJO1" s="3"/>
      <c r="EJP1" s="3"/>
      <c r="EJQ1" s="3"/>
      <c r="EJR1" s="3"/>
      <c r="EJS1" s="3"/>
      <c r="EJT1" s="3"/>
      <c r="EJU1" s="3"/>
      <c r="EJV1" s="3"/>
      <c r="EJW1" s="3"/>
      <c r="EJX1" s="3"/>
      <c r="EJY1" s="3"/>
      <c r="EJZ1" s="3"/>
      <c r="EKA1" s="3"/>
      <c r="EKB1" s="3"/>
      <c r="EKC1" s="3"/>
      <c r="EKD1" s="3"/>
      <c r="EKE1" s="3"/>
      <c r="EKF1" s="3"/>
      <c r="EKG1" s="3"/>
      <c r="EKH1" s="3"/>
      <c r="EKI1" s="3"/>
      <c r="EKJ1" s="3"/>
      <c r="EKK1" s="3"/>
      <c r="EKL1" s="3"/>
      <c r="EKM1" s="3"/>
      <c r="EKN1" s="3"/>
      <c r="EKO1" s="3"/>
      <c r="EKP1" s="3"/>
      <c r="EKQ1" s="3"/>
      <c r="EKR1" s="3"/>
      <c r="EKS1" s="3"/>
      <c r="EKT1" s="3"/>
      <c r="EKU1" s="3"/>
      <c r="EKV1" s="3"/>
      <c r="EKW1" s="3"/>
      <c r="EKX1" s="3"/>
      <c r="EKY1" s="3"/>
      <c r="EKZ1" s="3"/>
      <c r="ELA1" s="3"/>
      <c r="ELB1" s="3"/>
      <c r="ELC1" s="3"/>
      <c r="ELD1" s="3"/>
      <c r="ELE1" s="3"/>
      <c r="ELF1" s="3"/>
      <c r="ELG1" s="3"/>
      <c r="ELH1" s="3"/>
      <c r="ELI1" s="3"/>
      <c r="ELJ1" s="3"/>
      <c r="ELK1" s="3"/>
      <c r="ELL1" s="3"/>
      <c r="ELM1" s="3"/>
      <c r="ELN1" s="3"/>
      <c r="ELO1" s="3"/>
      <c r="ELP1" s="3"/>
      <c r="ELQ1" s="3"/>
      <c r="ELR1" s="3"/>
      <c r="ELS1" s="3"/>
      <c r="ELT1" s="3"/>
      <c r="ELU1" s="3"/>
      <c r="ELV1" s="3"/>
      <c r="ELW1" s="3"/>
      <c r="ELX1" s="3"/>
      <c r="ELY1" s="3"/>
      <c r="ELZ1" s="3"/>
      <c r="EMA1" s="3"/>
      <c r="EMB1" s="3"/>
      <c r="EMC1" s="3"/>
      <c r="EMD1" s="3"/>
      <c r="EME1" s="3"/>
      <c r="EMF1" s="3"/>
      <c r="EMG1" s="3"/>
      <c r="EMH1" s="3"/>
      <c r="EMI1" s="3"/>
      <c r="EMJ1" s="3"/>
      <c r="EMK1" s="3"/>
      <c r="EML1" s="3"/>
      <c r="EMM1" s="3"/>
      <c r="EMN1" s="3"/>
      <c r="EMO1" s="3"/>
      <c r="EMP1" s="3"/>
      <c r="EMQ1" s="3"/>
      <c r="EMR1" s="3"/>
      <c r="EMS1" s="3"/>
      <c r="EMT1" s="3"/>
      <c r="EMU1" s="3"/>
      <c r="EMV1" s="3"/>
      <c r="EMW1" s="3"/>
      <c r="EMX1" s="3"/>
      <c r="EMY1" s="3"/>
      <c r="EMZ1" s="3"/>
      <c r="ENA1" s="3"/>
      <c r="ENB1" s="3"/>
      <c r="ENC1" s="3"/>
      <c r="END1" s="3"/>
      <c r="ENE1" s="3"/>
      <c r="ENF1" s="3"/>
      <c r="ENG1" s="3"/>
      <c r="ENH1" s="3"/>
      <c r="ENI1" s="3"/>
      <c r="ENJ1" s="3"/>
      <c r="ENK1" s="3"/>
      <c r="ENL1" s="3"/>
      <c r="ENM1" s="3"/>
      <c r="ENN1" s="3"/>
      <c r="ENO1" s="3"/>
      <c r="ENP1" s="3"/>
      <c r="ENQ1" s="3"/>
      <c r="ENR1" s="3"/>
      <c r="ENS1" s="3"/>
      <c r="ENT1" s="3"/>
      <c r="ENU1" s="3"/>
      <c r="ENV1" s="3"/>
      <c r="ENW1" s="3"/>
      <c r="ENX1" s="3"/>
      <c r="ENY1" s="3"/>
      <c r="ENZ1" s="3"/>
      <c r="EOA1" s="3"/>
      <c r="EOB1" s="3"/>
      <c r="EOC1" s="3"/>
      <c r="EOD1" s="3"/>
      <c r="EOE1" s="3"/>
      <c r="EOF1" s="3"/>
      <c r="EOG1" s="3"/>
      <c r="EOH1" s="3"/>
      <c r="EOI1" s="3"/>
      <c r="EOJ1" s="3"/>
      <c r="EOK1" s="3"/>
      <c r="EOL1" s="3"/>
      <c r="EOM1" s="3"/>
      <c r="EON1" s="3"/>
      <c r="EOO1" s="3"/>
      <c r="EOP1" s="3"/>
      <c r="EOQ1" s="3"/>
      <c r="EOR1" s="3"/>
      <c r="EOS1" s="3"/>
      <c r="EOT1" s="3"/>
      <c r="EOU1" s="3"/>
      <c r="EOV1" s="3"/>
      <c r="EOW1" s="3"/>
      <c r="EOX1" s="3"/>
      <c r="EOY1" s="3"/>
      <c r="EOZ1" s="3"/>
      <c r="EPA1" s="3"/>
      <c r="EPB1" s="3"/>
      <c r="EPC1" s="3"/>
      <c r="EPD1" s="3"/>
      <c r="EPE1" s="3"/>
      <c r="EPF1" s="3"/>
      <c r="EPG1" s="3"/>
      <c r="EPH1" s="3"/>
      <c r="EPI1" s="3"/>
      <c r="EPJ1" s="3"/>
      <c r="EPK1" s="3"/>
      <c r="EPL1" s="3"/>
      <c r="EPM1" s="3"/>
      <c r="EPN1" s="3"/>
      <c r="EPO1" s="3"/>
      <c r="EPP1" s="3"/>
      <c r="EPQ1" s="3"/>
      <c r="EPR1" s="3"/>
      <c r="EPS1" s="3"/>
      <c r="EPT1" s="3"/>
      <c r="EPU1" s="3"/>
      <c r="EPV1" s="3"/>
      <c r="EPW1" s="3"/>
      <c r="EPX1" s="3"/>
      <c r="EPY1" s="3"/>
      <c r="EPZ1" s="3"/>
      <c r="EQA1" s="3"/>
      <c r="EQB1" s="3"/>
      <c r="EQC1" s="3"/>
      <c r="EQD1" s="3"/>
      <c r="EQE1" s="3"/>
      <c r="EQF1" s="3"/>
      <c r="EQG1" s="3"/>
      <c r="EQH1" s="3"/>
      <c r="EQI1" s="3"/>
      <c r="EQJ1" s="3"/>
      <c r="EQK1" s="3"/>
      <c r="EQL1" s="3"/>
      <c r="EQM1" s="3"/>
      <c r="EQN1" s="3"/>
      <c r="EQO1" s="3"/>
      <c r="EQP1" s="3"/>
      <c r="EQQ1" s="3"/>
      <c r="EQR1" s="3"/>
      <c r="EQS1" s="3"/>
      <c r="EQT1" s="3"/>
      <c r="EQU1" s="3"/>
      <c r="EQV1" s="3"/>
      <c r="EQW1" s="3"/>
      <c r="EQX1" s="3"/>
      <c r="EQY1" s="3"/>
      <c r="EQZ1" s="3"/>
      <c r="ERA1" s="3"/>
      <c r="ERB1" s="3"/>
      <c r="ERC1" s="3"/>
      <c r="ERD1" s="3"/>
      <c r="ERE1" s="3"/>
      <c r="ERF1" s="3"/>
      <c r="ERG1" s="3"/>
      <c r="ERH1" s="3"/>
      <c r="ERI1" s="3"/>
      <c r="ERJ1" s="3"/>
      <c r="ERK1" s="3"/>
      <c r="ERL1" s="3"/>
      <c r="ERM1" s="3"/>
      <c r="ERN1" s="3"/>
      <c r="ERO1" s="3"/>
      <c r="ERP1" s="3"/>
      <c r="ERQ1" s="3"/>
      <c r="ERR1" s="3"/>
      <c r="ERS1" s="3"/>
      <c r="ERT1" s="3"/>
      <c r="ERU1" s="3"/>
      <c r="ERV1" s="3"/>
      <c r="ERW1" s="3"/>
      <c r="ERX1" s="3"/>
      <c r="ERY1" s="3"/>
      <c r="ERZ1" s="3"/>
      <c r="ESA1" s="3"/>
      <c r="ESB1" s="3"/>
      <c r="ESC1" s="3"/>
      <c r="ESD1" s="3"/>
      <c r="ESE1" s="3"/>
      <c r="ESF1" s="3"/>
      <c r="ESG1" s="3"/>
      <c r="ESH1" s="3"/>
      <c r="ESI1" s="3"/>
      <c r="ESJ1" s="3"/>
      <c r="ESK1" s="3"/>
      <c r="ESL1" s="3"/>
      <c r="ESM1" s="3"/>
      <c r="ESN1" s="3"/>
      <c r="ESO1" s="3"/>
      <c r="ESP1" s="3"/>
      <c r="ESQ1" s="3"/>
      <c r="ESR1" s="3"/>
      <c r="ESS1" s="3"/>
      <c r="EST1" s="3"/>
      <c r="ESU1" s="3"/>
      <c r="ESV1" s="3"/>
      <c r="ESW1" s="3"/>
      <c r="ESX1" s="3"/>
      <c r="ESY1" s="3"/>
      <c r="ESZ1" s="3"/>
      <c r="ETA1" s="3"/>
      <c r="ETB1" s="3"/>
      <c r="ETC1" s="3"/>
      <c r="ETD1" s="3"/>
      <c r="ETE1" s="3"/>
      <c r="ETF1" s="3"/>
      <c r="ETG1" s="3"/>
      <c r="ETH1" s="3"/>
      <c r="ETI1" s="3"/>
      <c r="ETJ1" s="3"/>
      <c r="ETK1" s="3"/>
      <c r="ETL1" s="3"/>
      <c r="ETM1" s="3"/>
      <c r="ETN1" s="3"/>
      <c r="ETO1" s="3"/>
      <c r="ETP1" s="3"/>
      <c r="ETQ1" s="3"/>
      <c r="ETR1" s="3"/>
      <c r="ETS1" s="3"/>
      <c r="ETT1" s="3"/>
      <c r="ETU1" s="3"/>
      <c r="ETV1" s="3"/>
      <c r="ETW1" s="3"/>
      <c r="ETX1" s="3"/>
      <c r="ETY1" s="3"/>
      <c r="ETZ1" s="3"/>
      <c r="EUA1" s="3"/>
      <c r="EUB1" s="3"/>
      <c r="EUC1" s="3"/>
      <c r="EUD1" s="3"/>
      <c r="EUE1" s="3"/>
      <c r="EUF1" s="3"/>
      <c r="EUG1" s="3"/>
      <c r="EUH1" s="3"/>
      <c r="EUI1" s="3"/>
      <c r="EUJ1" s="3"/>
      <c r="EUK1" s="3"/>
      <c r="EUL1" s="3"/>
      <c r="EUM1" s="3"/>
      <c r="EUN1" s="3"/>
      <c r="EUO1" s="3"/>
      <c r="EUP1" s="3"/>
      <c r="EUQ1" s="3"/>
      <c r="EUR1" s="3"/>
      <c r="EUS1" s="3"/>
      <c r="EUT1" s="3"/>
      <c r="EUU1" s="3"/>
      <c r="EUV1" s="3"/>
      <c r="EUW1" s="3"/>
      <c r="EUX1" s="3"/>
      <c r="EUY1" s="3"/>
      <c r="EUZ1" s="3"/>
      <c r="EVA1" s="3"/>
      <c r="EVB1" s="3"/>
      <c r="EVC1" s="3"/>
      <c r="EVD1" s="3"/>
      <c r="EVE1" s="3"/>
      <c r="EVF1" s="3"/>
      <c r="EVG1" s="3"/>
      <c r="EVH1" s="3"/>
      <c r="EVI1" s="3"/>
      <c r="EVJ1" s="3"/>
      <c r="EVK1" s="3"/>
      <c r="EVL1" s="3"/>
      <c r="EVM1" s="3"/>
      <c r="EVN1" s="3"/>
      <c r="EVO1" s="3"/>
      <c r="EVP1" s="3"/>
      <c r="EVQ1" s="3"/>
      <c r="EVR1" s="3"/>
      <c r="EVS1" s="3"/>
      <c r="EVT1" s="3"/>
      <c r="EVU1" s="3"/>
      <c r="EVV1" s="3"/>
      <c r="EVW1" s="3"/>
      <c r="EVX1" s="3"/>
      <c r="EVY1" s="3"/>
      <c r="EVZ1" s="3"/>
      <c r="EWA1" s="3"/>
      <c r="EWB1" s="3"/>
      <c r="EWC1" s="3"/>
      <c r="EWD1" s="3"/>
      <c r="EWE1" s="3"/>
      <c r="EWF1" s="3"/>
      <c r="EWG1" s="3"/>
      <c r="EWH1" s="3"/>
      <c r="EWI1" s="3"/>
      <c r="EWJ1" s="3"/>
      <c r="EWK1" s="3"/>
      <c r="EWL1" s="3"/>
      <c r="EWM1" s="3"/>
      <c r="EWN1" s="3"/>
      <c r="EWO1" s="3"/>
      <c r="EWP1" s="3"/>
      <c r="EWQ1" s="3"/>
      <c r="EWR1" s="3"/>
      <c r="EWS1" s="3"/>
      <c r="EWT1" s="3"/>
      <c r="EWU1" s="3"/>
      <c r="EWV1" s="3"/>
      <c r="EWW1" s="3"/>
      <c r="EWX1" s="3"/>
      <c r="EWY1" s="3"/>
      <c r="EWZ1" s="3"/>
      <c r="EXA1" s="3"/>
      <c r="EXB1" s="3"/>
      <c r="EXC1" s="3"/>
      <c r="EXD1" s="3"/>
      <c r="EXE1" s="3"/>
      <c r="EXF1" s="3"/>
      <c r="EXG1" s="3"/>
      <c r="EXH1" s="3"/>
      <c r="EXI1" s="3"/>
      <c r="EXJ1" s="3"/>
      <c r="EXK1" s="3"/>
      <c r="EXL1" s="3"/>
      <c r="EXM1" s="3"/>
      <c r="EXN1" s="3"/>
      <c r="EXO1" s="3"/>
      <c r="EXP1" s="3"/>
      <c r="EXQ1" s="3"/>
      <c r="EXR1" s="3"/>
      <c r="EXS1" s="3"/>
      <c r="EXT1" s="3"/>
      <c r="EXU1" s="3"/>
      <c r="EXV1" s="3"/>
      <c r="EXW1" s="3"/>
      <c r="EXX1" s="3"/>
      <c r="EXY1" s="3"/>
      <c r="EXZ1" s="3"/>
      <c r="EYA1" s="3"/>
      <c r="EYB1" s="3"/>
      <c r="EYC1" s="3"/>
      <c r="EYD1" s="3"/>
      <c r="EYE1" s="3"/>
      <c r="EYF1" s="3"/>
      <c r="EYG1" s="3"/>
      <c r="EYH1" s="3"/>
      <c r="EYI1" s="3"/>
      <c r="EYJ1" s="3"/>
      <c r="EYK1" s="3"/>
      <c r="EYL1" s="3"/>
      <c r="EYM1" s="3"/>
      <c r="EYN1" s="3"/>
      <c r="EYO1" s="3"/>
      <c r="EYP1" s="3"/>
      <c r="EYQ1" s="3"/>
      <c r="EYR1" s="3"/>
      <c r="EYS1" s="3"/>
      <c r="EYT1" s="3"/>
      <c r="EYU1" s="3"/>
      <c r="EYV1" s="3"/>
      <c r="EYW1" s="3"/>
      <c r="EYX1" s="3"/>
      <c r="EYY1" s="3"/>
      <c r="EYZ1" s="3"/>
      <c r="EZA1" s="3"/>
      <c r="EZB1" s="3"/>
      <c r="EZC1" s="3"/>
      <c r="EZD1" s="3"/>
      <c r="EZE1" s="3"/>
      <c r="EZF1" s="3"/>
      <c r="EZG1" s="3"/>
      <c r="EZH1" s="3"/>
      <c r="EZI1" s="3"/>
      <c r="EZJ1" s="3"/>
      <c r="EZK1" s="3"/>
      <c r="EZL1" s="3"/>
      <c r="EZM1" s="3"/>
      <c r="EZN1" s="3"/>
      <c r="EZO1" s="3"/>
      <c r="EZP1" s="3"/>
      <c r="EZQ1" s="3"/>
      <c r="EZR1" s="3"/>
      <c r="EZS1" s="3"/>
      <c r="EZT1" s="3"/>
      <c r="EZU1" s="3"/>
      <c r="EZV1" s="3"/>
      <c r="EZW1" s="3"/>
      <c r="EZX1" s="3"/>
      <c r="EZY1" s="3"/>
      <c r="EZZ1" s="3"/>
      <c r="FAA1" s="3"/>
      <c r="FAB1" s="3"/>
      <c r="FAC1" s="3"/>
      <c r="FAD1" s="3"/>
      <c r="FAE1" s="3"/>
      <c r="FAF1" s="3"/>
      <c r="FAG1" s="3"/>
      <c r="FAH1" s="3"/>
      <c r="FAI1" s="3"/>
      <c r="FAJ1" s="3"/>
      <c r="FAK1" s="3"/>
      <c r="FAL1" s="3"/>
      <c r="FAM1" s="3"/>
      <c r="FAN1" s="3"/>
      <c r="FAO1" s="3"/>
      <c r="FAP1" s="3"/>
      <c r="FAQ1" s="3"/>
      <c r="FAR1" s="3"/>
      <c r="FAS1" s="3"/>
      <c r="FAT1" s="3"/>
      <c r="FAU1" s="3"/>
      <c r="FAV1" s="3"/>
      <c r="FAW1" s="3"/>
      <c r="FAX1" s="3"/>
      <c r="FAY1" s="3"/>
      <c r="FAZ1" s="3"/>
      <c r="FBA1" s="3"/>
      <c r="FBB1" s="3"/>
      <c r="FBC1" s="3"/>
      <c r="FBD1" s="3"/>
      <c r="FBE1" s="3"/>
      <c r="FBF1" s="3"/>
      <c r="FBG1" s="3"/>
      <c r="FBH1" s="3"/>
      <c r="FBI1" s="3"/>
      <c r="FBJ1" s="3"/>
      <c r="FBK1" s="3"/>
      <c r="FBL1" s="3"/>
      <c r="FBM1" s="3"/>
      <c r="FBN1" s="3"/>
      <c r="FBO1" s="3"/>
      <c r="FBP1" s="3"/>
      <c r="FBQ1" s="3"/>
      <c r="FBR1" s="3"/>
      <c r="FBS1" s="3"/>
      <c r="FBT1" s="3"/>
      <c r="FBU1" s="3"/>
      <c r="FBV1" s="3"/>
      <c r="FBW1" s="3"/>
      <c r="FBX1" s="3"/>
      <c r="FBY1" s="3"/>
      <c r="FBZ1" s="3"/>
      <c r="FCA1" s="3"/>
      <c r="FCB1" s="3"/>
      <c r="FCC1" s="3"/>
      <c r="FCD1" s="3"/>
      <c r="FCE1" s="3"/>
      <c r="FCF1" s="3"/>
      <c r="FCG1" s="3"/>
      <c r="FCH1" s="3"/>
      <c r="FCI1" s="3"/>
      <c r="FCJ1" s="3"/>
      <c r="FCK1" s="3"/>
      <c r="FCL1" s="3"/>
      <c r="FCM1" s="3"/>
      <c r="FCN1" s="3"/>
      <c r="FCO1" s="3"/>
      <c r="FCP1" s="3"/>
      <c r="FCQ1" s="3"/>
      <c r="FCR1" s="3"/>
      <c r="FCS1" s="3"/>
      <c r="FCT1" s="3"/>
      <c r="FCU1" s="3"/>
      <c r="FCV1" s="3"/>
      <c r="FCW1" s="3"/>
      <c r="FCX1" s="3"/>
      <c r="FCY1" s="3"/>
      <c r="FCZ1" s="3"/>
      <c r="FDA1" s="3"/>
      <c r="FDB1" s="3"/>
      <c r="FDC1" s="3"/>
      <c r="FDD1" s="3"/>
      <c r="FDE1" s="3"/>
      <c r="FDF1" s="3"/>
      <c r="FDG1" s="3"/>
      <c r="FDH1" s="3"/>
      <c r="FDI1" s="3"/>
      <c r="FDJ1" s="3"/>
      <c r="FDK1" s="3"/>
      <c r="FDL1" s="3"/>
      <c r="FDM1" s="3"/>
      <c r="FDN1" s="3"/>
      <c r="FDO1" s="3"/>
      <c r="FDP1" s="3"/>
      <c r="FDQ1" s="3"/>
      <c r="FDR1" s="3"/>
      <c r="FDS1" s="3"/>
      <c r="FDT1" s="3"/>
      <c r="FDU1" s="3"/>
      <c r="FDV1" s="3"/>
      <c r="FDW1" s="3"/>
      <c r="FDX1" s="3"/>
      <c r="FDY1" s="3"/>
      <c r="FDZ1" s="3"/>
      <c r="FEA1" s="3"/>
      <c r="FEB1" s="3"/>
      <c r="FEC1" s="3"/>
      <c r="FED1" s="3"/>
      <c r="FEE1" s="3"/>
      <c r="FEF1" s="3"/>
      <c r="FEG1" s="3"/>
      <c r="FEH1" s="3"/>
      <c r="FEI1" s="3"/>
      <c r="FEJ1" s="3"/>
      <c r="FEK1" s="3"/>
      <c r="FEL1" s="3"/>
      <c r="FEM1" s="3"/>
      <c r="FEN1" s="3"/>
      <c r="FEO1" s="3"/>
      <c r="FEP1" s="3"/>
      <c r="FEQ1" s="3"/>
      <c r="FER1" s="3"/>
      <c r="FES1" s="3"/>
      <c r="FET1" s="3"/>
      <c r="FEU1" s="3"/>
      <c r="FEV1" s="3"/>
      <c r="FEW1" s="3"/>
      <c r="FEX1" s="3"/>
      <c r="FEY1" s="3"/>
      <c r="FEZ1" s="3"/>
      <c r="FFA1" s="3"/>
      <c r="FFB1" s="3"/>
      <c r="FFC1" s="3"/>
      <c r="FFD1" s="3"/>
      <c r="FFE1" s="3"/>
      <c r="FFF1" s="3"/>
      <c r="FFG1" s="3"/>
      <c r="FFH1" s="3"/>
      <c r="FFI1" s="3"/>
      <c r="FFJ1" s="3"/>
      <c r="FFK1" s="3"/>
      <c r="FFL1" s="3"/>
      <c r="FFM1" s="3"/>
      <c r="FFN1" s="3"/>
      <c r="FFO1" s="3"/>
      <c r="FFP1" s="3"/>
      <c r="FFQ1" s="3"/>
      <c r="FFR1" s="3"/>
      <c r="FFS1" s="3"/>
      <c r="FFT1" s="3"/>
      <c r="FFU1" s="3"/>
      <c r="FFV1" s="3"/>
      <c r="FFW1" s="3"/>
      <c r="FFX1" s="3"/>
      <c r="FFY1" s="3"/>
      <c r="FFZ1" s="3"/>
      <c r="FGA1" s="3"/>
      <c r="FGB1" s="3"/>
      <c r="FGC1" s="3"/>
      <c r="FGD1" s="3"/>
      <c r="FGE1" s="3"/>
      <c r="FGF1" s="3"/>
      <c r="FGG1" s="3"/>
      <c r="FGH1" s="3"/>
      <c r="FGI1" s="3"/>
      <c r="FGJ1" s="3"/>
      <c r="FGK1" s="3"/>
      <c r="FGL1" s="3"/>
      <c r="FGM1" s="3"/>
      <c r="FGN1" s="3"/>
      <c r="FGO1" s="3"/>
      <c r="FGP1" s="3"/>
      <c r="FGQ1" s="3"/>
      <c r="FGR1" s="3"/>
      <c r="FGS1" s="3"/>
      <c r="FGT1" s="3"/>
      <c r="FGU1" s="3"/>
      <c r="FGV1" s="3"/>
      <c r="FGW1" s="3"/>
      <c r="FGX1" s="3"/>
      <c r="FGY1" s="3"/>
      <c r="FGZ1" s="3"/>
      <c r="FHA1" s="3"/>
      <c r="FHB1" s="3"/>
      <c r="FHC1" s="3"/>
      <c r="FHD1" s="3"/>
      <c r="FHE1" s="3"/>
      <c r="FHF1" s="3"/>
      <c r="FHG1" s="3"/>
      <c r="FHH1" s="3"/>
      <c r="FHI1" s="3"/>
      <c r="FHJ1" s="3"/>
      <c r="FHK1" s="3"/>
      <c r="FHL1" s="3"/>
      <c r="FHM1" s="3"/>
      <c r="FHN1" s="3"/>
      <c r="FHO1" s="3"/>
      <c r="FHP1" s="3"/>
      <c r="FHQ1" s="3"/>
      <c r="FHR1" s="3"/>
      <c r="FHS1" s="3"/>
      <c r="FHT1" s="3"/>
      <c r="FHU1" s="3"/>
      <c r="FHV1" s="3"/>
      <c r="FHW1" s="3"/>
      <c r="FHX1" s="3"/>
      <c r="FHY1" s="3"/>
      <c r="FHZ1" s="3"/>
      <c r="FIA1" s="3"/>
      <c r="FIB1" s="3"/>
      <c r="FIC1" s="3"/>
      <c r="FID1" s="3"/>
      <c r="FIE1" s="3"/>
      <c r="FIF1" s="3"/>
      <c r="FIG1" s="3"/>
      <c r="FIH1" s="3"/>
      <c r="FII1" s="3"/>
      <c r="FIJ1" s="3"/>
      <c r="FIK1" s="3"/>
      <c r="FIL1" s="3"/>
      <c r="FIM1" s="3"/>
      <c r="FIN1" s="3"/>
      <c r="FIO1" s="3"/>
      <c r="FIP1" s="3"/>
      <c r="FIQ1" s="3"/>
      <c r="FIR1" s="3"/>
      <c r="FIS1" s="3"/>
      <c r="FIT1" s="3"/>
      <c r="FIU1" s="3"/>
      <c r="FIV1" s="3"/>
      <c r="FIW1" s="3"/>
      <c r="FIX1" s="3"/>
      <c r="FIY1" s="3"/>
      <c r="FIZ1" s="3"/>
      <c r="FJA1" s="3"/>
      <c r="FJB1" s="3"/>
      <c r="FJC1" s="3"/>
      <c r="FJD1" s="3"/>
      <c r="FJE1" s="3"/>
      <c r="FJF1" s="3"/>
      <c r="FJG1" s="3"/>
      <c r="FJH1" s="3"/>
      <c r="FJI1" s="3"/>
      <c r="FJJ1" s="3"/>
      <c r="FJK1" s="3"/>
      <c r="FJL1" s="3"/>
      <c r="FJM1" s="3"/>
      <c r="FJN1" s="3"/>
      <c r="FJO1" s="3"/>
      <c r="FJP1" s="3"/>
      <c r="FJQ1" s="3"/>
      <c r="FJR1" s="3"/>
      <c r="FJS1" s="3"/>
      <c r="FJT1" s="3"/>
      <c r="FJU1" s="3"/>
      <c r="FJV1" s="3"/>
      <c r="FJW1" s="3"/>
      <c r="FJX1" s="3"/>
      <c r="FJY1" s="3"/>
      <c r="FJZ1" s="3"/>
      <c r="FKA1" s="3"/>
      <c r="FKB1" s="3"/>
      <c r="FKC1" s="3"/>
      <c r="FKD1" s="3"/>
      <c r="FKE1" s="3"/>
      <c r="FKF1" s="3"/>
      <c r="FKG1" s="3"/>
      <c r="FKH1" s="3"/>
      <c r="FKI1" s="3"/>
      <c r="FKJ1" s="3"/>
      <c r="FKK1" s="3"/>
      <c r="FKL1" s="3"/>
      <c r="FKM1" s="3"/>
      <c r="FKN1" s="3"/>
      <c r="FKO1" s="3"/>
      <c r="FKP1" s="3"/>
      <c r="FKQ1" s="3"/>
      <c r="FKR1" s="3"/>
      <c r="FKS1" s="3"/>
      <c r="FKT1" s="3"/>
      <c r="FKU1" s="3"/>
      <c r="FKV1" s="3"/>
      <c r="FKW1" s="3"/>
      <c r="FKX1" s="3"/>
      <c r="FKY1" s="3"/>
      <c r="FKZ1" s="3"/>
      <c r="FLA1" s="3"/>
      <c r="FLB1" s="3"/>
      <c r="FLC1" s="3"/>
      <c r="FLD1" s="3"/>
      <c r="FLE1" s="3"/>
      <c r="FLF1" s="3"/>
      <c r="FLG1" s="3"/>
      <c r="FLH1" s="3"/>
      <c r="FLI1" s="3"/>
      <c r="FLJ1" s="3"/>
      <c r="FLK1" s="3"/>
      <c r="FLL1" s="3"/>
      <c r="FLM1" s="3"/>
      <c r="FLN1" s="3"/>
      <c r="FLO1" s="3"/>
      <c r="FLP1" s="3"/>
      <c r="FLQ1" s="3"/>
      <c r="FLR1" s="3"/>
      <c r="FLS1" s="3"/>
      <c r="FLT1" s="3"/>
      <c r="FLU1" s="3"/>
      <c r="FLV1" s="3"/>
      <c r="FLW1" s="3"/>
      <c r="FLX1" s="3"/>
      <c r="FLY1" s="3"/>
      <c r="FLZ1" s="3"/>
      <c r="FMA1" s="3"/>
      <c r="FMB1" s="3"/>
      <c r="FMC1" s="3"/>
      <c r="FMD1" s="3"/>
      <c r="FME1" s="3"/>
      <c r="FMF1" s="3"/>
      <c r="FMG1" s="3"/>
      <c r="FMH1" s="3"/>
      <c r="FMI1" s="3"/>
      <c r="FMJ1" s="3"/>
      <c r="FMK1" s="3"/>
      <c r="FML1" s="3"/>
      <c r="FMM1" s="3"/>
      <c r="FMN1" s="3"/>
      <c r="FMO1" s="3"/>
      <c r="FMP1" s="3"/>
      <c r="FMQ1" s="3"/>
      <c r="FMR1" s="3"/>
      <c r="FMS1" s="3"/>
      <c r="FMT1" s="3"/>
      <c r="FMU1" s="3"/>
      <c r="FMV1" s="3"/>
      <c r="FMW1" s="3"/>
      <c r="FMX1" s="3"/>
      <c r="FMY1" s="3"/>
      <c r="FMZ1" s="3"/>
      <c r="FNA1" s="3"/>
      <c r="FNB1" s="3"/>
      <c r="FNC1" s="3"/>
      <c r="FND1" s="3"/>
      <c r="FNE1" s="3"/>
      <c r="FNF1" s="3"/>
      <c r="FNG1" s="3"/>
      <c r="FNH1" s="3"/>
      <c r="FNI1" s="3"/>
      <c r="FNJ1" s="3"/>
      <c r="FNK1" s="3"/>
      <c r="FNL1" s="3"/>
      <c r="FNM1" s="3"/>
      <c r="FNN1" s="3"/>
      <c r="FNO1" s="3"/>
      <c r="FNP1" s="3"/>
      <c r="FNQ1" s="3"/>
      <c r="FNR1" s="3"/>
      <c r="FNS1" s="3"/>
      <c r="FNT1" s="3"/>
      <c r="FNU1" s="3"/>
      <c r="FNV1" s="3"/>
      <c r="FNW1" s="3"/>
      <c r="FNX1" s="3"/>
      <c r="FNY1" s="3"/>
      <c r="FNZ1" s="3"/>
      <c r="FOA1" s="3"/>
      <c r="FOB1" s="3"/>
      <c r="FOC1" s="3"/>
      <c r="FOD1" s="3"/>
      <c r="FOE1" s="3"/>
      <c r="FOF1" s="3"/>
      <c r="FOG1" s="3"/>
      <c r="FOH1" s="3"/>
      <c r="FOI1" s="3"/>
      <c r="FOJ1" s="3"/>
      <c r="FOK1" s="3"/>
      <c r="FOL1" s="3"/>
      <c r="FOM1" s="3"/>
      <c r="FON1" s="3"/>
      <c r="FOO1" s="3"/>
      <c r="FOP1" s="3"/>
      <c r="FOQ1" s="3"/>
      <c r="FOR1" s="3"/>
      <c r="FOS1" s="3"/>
      <c r="FOT1" s="3"/>
      <c r="FOU1" s="3"/>
      <c r="FOV1" s="3"/>
      <c r="FOW1" s="3"/>
      <c r="FOX1" s="3"/>
      <c r="FOY1" s="3"/>
      <c r="FOZ1" s="3"/>
      <c r="FPA1" s="3"/>
      <c r="FPB1" s="3"/>
      <c r="FPC1" s="3"/>
      <c r="FPD1" s="3"/>
      <c r="FPE1" s="3"/>
      <c r="FPF1" s="3"/>
      <c r="FPG1" s="3"/>
      <c r="FPH1" s="3"/>
      <c r="FPI1" s="3"/>
      <c r="FPJ1" s="3"/>
      <c r="FPK1" s="3"/>
      <c r="FPL1" s="3"/>
      <c r="FPM1" s="3"/>
      <c r="FPN1" s="3"/>
      <c r="FPO1" s="3"/>
      <c r="FPP1" s="3"/>
      <c r="FPQ1" s="3"/>
      <c r="FPR1" s="3"/>
      <c r="FPS1" s="3"/>
      <c r="FPT1" s="3"/>
      <c r="FPU1" s="3"/>
      <c r="FPV1" s="3"/>
      <c r="FPW1" s="3"/>
      <c r="FPX1" s="3"/>
      <c r="FPY1" s="3"/>
      <c r="FPZ1" s="3"/>
      <c r="FQA1" s="3"/>
      <c r="FQB1" s="3"/>
      <c r="FQC1" s="3"/>
      <c r="FQD1" s="3"/>
      <c r="FQE1" s="3"/>
      <c r="FQF1" s="3"/>
      <c r="FQG1" s="3"/>
      <c r="FQH1" s="3"/>
      <c r="FQI1" s="3"/>
      <c r="FQJ1" s="3"/>
      <c r="FQK1" s="3"/>
      <c r="FQL1" s="3"/>
      <c r="FQM1" s="3"/>
      <c r="FQN1" s="3"/>
      <c r="FQO1" s="3"/>
      <c r="FQP1" s="3"/>
      <c r="FQQ1" s="3"/>
      <c r="FQR1" s="3"/>
      <c r="FQS1" s="3"/>
      <c r="FQT1" s="3"/>
      <c r="FQU1" s="3"/>
      <c r="FQV1" s="3"/>
      <c r="FQW1" s="3"/>
      <c r="FQX1" s="3"/>
      <c r="FQY1" s="3"/>
      <c r="FQZ1" s="3"/>
      <c r="FRA1" s="3"/>
      <c r="FRB1" s="3"/>
      <c r="FRC1" s="3"/>
      <c r="FRD1" s="3"/>
      <c r="FRE1" s="3"/>
      <c r="FRF1" s="3"/>
      <c r="FRG1" s="3"/>
      <c r="FRH1" s="3"/>
      <c r="FRI1" s="3"/>
      <c r="FRJ1" s="3"/>
      <c r="FRK1" s="3"/>
      <c r="FRL1" s="3"/>
      <c r="FRM1" s="3"/>
      <c r="FRN1" s="3"/>
      <c r="FRO1" s="3"/>
      <c r="FRP1" s="3"/>
      <c r="FRQ1" s="3"/>
      <c r="FRR1" s="3"/>
      <c r="FRS1" s="3"/>
      <c r="FRT1" s="3"/>
      <c r="FRU1" s="3"/>
      <c r="FRV1" s="3"/>
      <c r="FRW1" s="3"/>
      <c r="FRX1" s="3"/>
      <c r="FRY1" s="3"/>
      <c r="FRZ1" s="3"/>
      <c r="FSA1" s="3"/>
      <c r="FSB1" s="3"/>
      <c r="FSC1" s="3"/>
      <c r="FSD1" s="3"/>
      <c r="FSE1" s="3"/>
      <c r="FSF1" s="3"/>
      <c r="FSG1" s="3"/>
      <c r="FSH1" s="3"/>
      <c r="FSI1" s="3"/>
      <c r="FSJ1" s="3"/>
      <c r="FSK1" s="3"/>
      <c r="FSL1" s="3"/>
      <c r="FSM1" s="3"/>
      <c r="FSN1" s="3"/>
      <c r="FSO1" s="3"/>
      <c r="FSP1" s="3"/>
      <c r="FSQ1" s="3"/>
      <c r="FSR1" s="3"/>
      <c r="FSS1" s="3"/>
      <c r="FST1" s="3"/>
      <c r="FSU1" s="3"/>
      <c r="FSV1" s="3"/>
      <c r="FSW1" s="3"/>
      <c r="FSX1" s="3"/>
      <c r="FSY1" s="3"/>
      <c r="FSZ1" s="3"/>
      <c r="FTA1" s="3"/>
      <c r="FTB1" s="3"/>
      <c r="FTC1" s="3"/>
      <c r="FTD1" s="3"/>
      <c r="FTE1" s="3"/>
      <c r="FTF1" s="3"/>
      <c r="FTG1" s="3"/>
      <c r="FTH1" s="3"/>
      <c r="FTI1" s="3"/>
      <c r="FTJ1" s="3"/>
      <c r="FTK1" s="3"/>
      <c r="FTL1" s="3"/>
      <c r="FTM1" s="3"/>
      <c r="FTN1" s="3"/>
      <c r="FTO1" s="3"/>
      <c r="FTP1" s="3"/>
      <c r="FTQ1" s="3"/>
      <c r="FTR1" s="3"/>
      <c r="FTS1" s="3"/>
      <c r="FTT1" s="3"/>
      <c r="FTU1" s="3"/>
      <c r="FTV1" s="3"/>
      <c r="FTW1" s="3"/>
      <c r="FTX1" s="3"/>
      <c r="FTY1" s="3"/>
      <c r="FTZ1" s="3"/>
      <c r="FUA1" s="3"/>
      <c r="FUB1" s="3"/>
      <c r="FUC1" s="3"/>
      <c r="FUD1" s="3"/>
      <c r="FUE1" s="3"/>
      <c r="FUF1" s="3"/>
      <c r="FUG1" s="3"/>
      <c r="FUH1" s="3"/>
      <c r="FUI1" s="3"/>
      <c r="FUJ1" s="3"/>
      <c r="FUK1" s="3"/>
      <c r="FUL1" s="3"/>
      <c r="FUM1" s="3"/>
      <c r="FUN1" s="3"/>
      <c r="FUO1" s="3"/>
      <c r="FUP1" s="3"/>
      <c r="FUQ1" s="3"/>
      <c r="FUR1" s="3"/>
      <c r="FUS1" s="3"/>
      <c r="FUT1" s="3"/>
      <c r="FUU1" s="3"/>
      <c r="FUV1" s="3"/>
      <c r="FUW1" s="3"/>
      <c r="FUX1" s="3"/>
      <c r="FUY1" s="3"/>
      <c r="FUZ1" s="3"/>
      <c r="FVA1" s="3"/>
      <c r="FVB1" s="3"/>
      <c r="FVC1" s="3"/>
      <c r="FVD1" s="3"/>
      <c r="FVE1" s="3"/>
      <c r="FVF1" s="3"/>
      <c r="FVG1" s="3"/>
      <c r="FVH1" s="3"/>
      <c r="FVI1" s="3"/>
      <c r="FVJ1" s="3"/>
      <c r="FVK1" s="3"/>
      <c r="FVL1" s="3"/>
      <c r="FVM1" s="3"/>
      <c r="FVN1" s="3"/>
      <c r="FVO1" s="3"/>
      <c r="FVP1" s="3"/>
      <c r="FVQ1" s="3"/>
      <c r="FVR1" s="3"/>
      <c r="FVS1" s="3"/>
      <c r="FVT1" s="3"/>
      <c r="FVU1" s="3"/>
      <c r="FVV1" s="3"/>
      <c r="FVW1" s="3"/>
      <c r="FVX1" s="3"/>
      <c r="FVY1" s="3"/>
      <c r="FVZ1" s="3"/>
      <c r="FWA1" s="3"/>
      <c r="FWB1" s="3"/>
      <c r="FWC1" s="3"/>
      <c r="FWD1" s="3"/>
      <c r="FWE1" s="3"/>
      <c r="FWF1" s="3"/>
      <c r="FWG1" s="3"/>
      <c r="FWH1" s="3"/>
      <c r="FWI1" s="3"/>
      <c r="FWJ1" s="3"/>
      <c r="FWK1" s="3"/>
      <c r="FWL1" s="3"/>
      <c r="FWM1" s="3"/>
      <c r="FWN1" s="3"/>
      <c r="FWO1" s="3"/>
      <c r="FWP1" s="3"/>
      <c r="FWQ1" s="3"/>
      <c r="FWR1" s="3"/>
      <c r="FWS1" s="3"/>
      <c r="FWT1" s="3"/>
      <c r="FWU1" s="3"/>
      <c r="FWV1" s="3"/>
      <c r="FWW1" s="3"/>
      <c r="FWX1" s="3"/>
      <c r="FWY1" s="3"/>
      <c r="FWZ1" s="3"/>
      <c r="FXA1" s="3"/>
      <c r="FXB1" s="3"/>
      <c r="FXC1" s="3"/>
      <c r="FXD1" s="3"/>
      <c r="FXE1" s="3"/>
      <c r="FXF1" s="3"/>
      <c r="FXG1" s="3"/>
      <c r="FXH1" s="3"/>
      <c r="FXI1" s="3"/>
      <c r="FXJ1" s="3"/>
      <c r="FXK1" s="3"/>
      <c r="FXL1" s="3"/>
      <c r="FXM1" s="3"/>
      <c r="FXN1" s="3"/>
      <c r="FXO1" s="3"/>
      <c r="FXP1" s="3"/>
      <c r="FXQ1" s="3"/>
      <c r="FXR1" s="3"/>
      <c r="FXS1" s="3"/>
      <c r="FXT1" s="3"/>
      <c r="FXU1" s="3"/>
      <c r="FXV1" s="3"/>
      <c r="FXW1" s="3"/>
      <c r="FXX1" s="3"/>
      <c r="FXY1" s="3"/>
      <c r="FXZ1" s="3"/>
      <c r="FYA1" s="3"/>
      <c r="FYB1" s="3"/>
      <c r="FYC1" s="3"/>
      <c r="FYD1" s="3"/>
      <c r="FYE1" s="3"/>
      <c r="FYF1" s="3"/>
      <c r="FYG1" s="3"/>
      <c r="FYH1" s="3"/>
      <c r="FYI1" s="3"/>
      <c r="FYJ1" s="3"/>
      <c r="FYK1" s="3"/>
      <c r="FYL1" s="3"/>
      <c r="FYM1" s="3"/>
      <c r="FYN1" s="3"/>
      <c r="FYO1" s="3"/>
      <c r="FYP1" s="3"/>
      <c r="FYQ1" s="3"/>
      <c r="FYR1" s="3"/>
      <c r="FYS1" s="3"/>
      <c r="FYT1" s="3"/>
      <c r="FYU1" s="3"/>
      <c r="FYV1" s="3"/>
      <c r="FYW1" s="3"/>
      <c r="FYX1" s="3"/>
      <c r="FYY1" s="3"/>
      <c r="FYZ1" s="3"/>
      <c r="FZA1" s="3"/>
      <c r="FZB1" s="3"/>
      <c r="FZC1" s="3"/>
      <c r="FZD1" s="3"/>
      <c r="FZE1" s="3"/>
      <c r="FZF1" s="3"/>
      <c r="FZG1" s="3"/>
      <c r="FZH1" s="3"/>
      <c r="FZI1" s="3"/>
      <c r="FZJ1" s="3"/>
      <c r="FZK1" s="3"/>
      <c r="FZL1" s="3"/>
      <c r="FZM1" s="3"/>
      <c r="FZN1" s="3"/>
      <c r="FZO1" s="3"/>
      <c r="FZP1" s="3"/>
      <c r="FZQ1" s="3"/>
      <c r="FZR1" s="3"/>
      <c r="FZS1" s="3"/>
      <c r="FZT1" s="3"/>
      <c r="FZU1" s="3"/>
      <c r="FZV1" s="3"/>
      <c r="FZW1" s="3"/>
      <c r="FZX1" s="3"/>
      <c r="FZY1" s="3"/>
      <c r="FZZ1" s="3"/>
      <c r="GAA1" s="3"/>
      <c r="GAB1" s="3"/>
      <c r="GAC1" s="3"/>
      <c r="GAD1" s="3"/>
      <c r="GAE1" s="3"/>
      <c r="GAF1" s="3"/>
      <c r="GAG1" s="3"/>
      <c r="GAH1" s="3"/>
      <c r="GAI1" s="3"/>
      <c r="GAJ1" s="3"/>
      <c r="GAK1" s="3"/>
      <c r="GAL1" s="3"/>
      <c r="GAM1" s="3"/>
      <c r="GAN1" s="3"/>
      <c r="GAO1" s="3"/>
      <c r="GAP1" s="3"/>
      <c r="GAQ1" s="3"/>
      <c r="GAR1" s="3"/>
      <c r="GAS1" s="3"/>
      <c r="GAT1" s="3"/>
      <c r="GAU1" s="3"/>
      <c r="GAV1" s="3"/>
      <c r="GAW1" s="3"/>
      <c r="GAX1" s="3"/>
      <c r="GAY1" s="3"/>
      <c r="GAZ1" s="3"/>
      <c r="GBA1" s="3"/>
      <c r="GBB1" s="3"/>
      <c r="GBC1" s="3"/>
      <c r="GBD1" s="3"/>
      <c r="GBE1" s="3"/>
      <c r="GBF1" s="3"/>
      <c r="GBG1" s="3"/>
      <c r="GBH1" s="3"/>
      <c r="GBI1" s="3"/>
      <c r="GBJ1" s="3"/>
      <c r="GBK1" s="3"/>
      <c r="GBL1" s="3"/>
      <c r="GBM1" s="3"/>
      <c r="GBN1" s="3"/>
      <c r="GBO1" s="3"/>
      <c r="GBP1" s="3"/>
      <c r="GBQ1" s="3"/>
      <c r="GBR1" s="3"/>
      <c r="GBS1" s="3"/>
      <c r="GBT1" s="3"/>
      <c r="GBU1" s="3"/>
      <c r="GBV1" s="3"/>
      <c r="GBW1" s="3"/>
      <c r="GBX1" s="3"/>
      <c r="GBY1" s="3"/>
      <c r="GBZ1" s="3"/>
      <c r="GCA1" s="3"/>
      <c r="GCB1" s="3"/>
      <c r="GCC1" s="3"/>
      <c r="GCD1" s="3"/>
      <c r="GCE1" s="3"/>
      <c r="GCF1" s="3"/>
      <c r="GCG1" s="3"/>
      <c r="GCH1" s="3"/>
      <c r="GCI1" s="3"/>
      <c r="GCJ1" s="3"/>
      <c r="GCK1" s="3"/>
      <c r="GCL1" s="3"/>
      <c r="GCM1" s="3"/>
      <c r="GCN1" s="3"/>
      <c r="GCO1" s="3"/>
      <c r="GCP1" s="3"/>
      <c r="GCQ1" s="3"/>
      <c r="GCR1" s="3"/>
      <c r="GCS1" s="3"/>
      <c r="GCT1" s="3"/>
      <c r="GCU1" s="3"/>
      <c r="GCV1" s="3"/>
      <c r="GCW1" s="3"/>
      <c r="GCX1" s="3"/>
      <c r="GCY1" s="3"/>
      <c r="GCZ1" s="3"/>
      <c r="GDA1" s="3"/>
      <c r="GDB1" s="3"/>
      <c r="GDC1" s="3"/>
      <c r="GDD1" s="3"/>
      <c r="GDE1" s="3"/>
      <c r="GDF1" s="3"/>
      <c r="GDG1" s="3"/>
      <c r="GDH1" s="3"/>
      <c r="GDI1" s="3"/>
      <c r="GDJ1" s="3"/>
      <c r="GDK1" s="3"/>
      <c r="GDL1" s="3"/>
      <c r="GDM1" s="3"/>
      <c r="GDN1" s="3"/>
      <c r="GDO1" s="3"/>
      <c r="GDP1" s="3"/>
      <c r="GDQ1" s="3"/>
      <c r="GDR1" s="3"/>
      <c r="GDS1" s="3"/>
      <c r="GDT1" s="3"/>
      <c r="GDU1" s="3"/>
      <c r="GDV1" s="3"/>
      <c r="GDW1" s="3"/>
      <c r="GDX1" s="3"/>
      <c r="GDY1" s="3"/>
      <c r="GDZ1" s="3"/>
      <c r="GEA1" s="3"/>
      <c r="GEB1" s="3"/>
      <c r="GEC1" s="3"/>
      <c r="GED1" s="3"/>
      <c r="GEE1" s="3"/>
      <c r="GEF1" s="3"/>
      <c r="GEG1" s="3"/>
      <c r="GEH1" s="3"/>
      <c r="GEI1" s="3"/>
      <c r="GEJ1" s="3"/>
      <c r="GEK1" s="3"/>
      <c r="GEL1" s="3"/>
      <c r="GEM1" s="3"/>
      <c r="GEN1" s="3"/>
      <c r="GEO1" s="3"/>
      <c r="GEP1" s="3"/>
      <c r="GEQ1" s="3"/>
      <c r="GER1" s="3"/>
      <c r="GES1" s="3"/>
      <c r="GET1" s="3"/>
      <c r="GEU1" s="3"/>
      <c r="GEV1" s="3"/>
      <c r="GEW1" s="3"/>
      <c r="GEX1" s="3"/>
      <c r="GEY1" s="3"/>
      <c r="GEZ1" s="3"/>
      <c r="GFA1" s="3"/>
      <c r="GFB1" s="3"/>
      <c r="GFC1" s="3"/>
      <c r="GFD1" s="3"/>
      <c r="GFE1" s="3"/>
      <c r="GFF1" s="3"/>
      <c r="GFG1" s="3"/>
      <c r="GFH1" s="3"/>
      <c r="GFI1" s="3"/>
      <c r="GFJ1" s="3"/>
      <c r="GFK1" s="3"/>
      <c r="GFL1" s="3"/>
      <c r="GFM1" s="3"/>
      <c r="GFN1" s="3"/>
      <c r="GFO1" s="3"/>
      <c r="GFP1" s="3"/>
      <c r="GFQ1" s="3"/>
      <c r="GFR1" s="3"/>
      <c r="GFS1" s="3"/>
      <c r="GFT1" s="3"/>
      <c r="GFU1" s="3"/>
      <c r="GFV1" s="3"/>
      <c r="GFW1" s="3"/>
      <c r="GFX1" s="3"/>
      <c r="GFY1" s="3"/>
      <c r="GFZ1" s="3"/>
      <c r="GGA1" s="3"/>
      <c r="GGB1" s="3"/>
      <c r="GGC1" s="3"/>
      <c r="GGD1" s="3"/>
      <c r="GGE1" s="3"/>
      <c r="GGF1" s="3"/>
      <c r="GGG1" s="3"/>
      <c r="GGH1" s="3"/>
      <c r="GGI1" s="3"/>
      <c r="GGJ1" s="3"/>
      <c r="GGK1" s="3"/>
      <c r="GGL1" s="3"/>
      <c r="GGM1" s="3"/>
      <c r="GGN1" s="3"/>
      <c r="GGO1" s="3"/>
      <c r="GGP1" s="3"/>
      <c r="GGQ1" s="3"/>
      <c r="GGR1" s="3"/>
      <c r="GGS1" s="3"/>
      <c r="GGT1" s="3"/>
      <c r="GGU1" s="3"/>
      <c r="GGV1" s="3"/>
      <c r="GGW1" s="3"/>
      <c r="GGX1" s="3"/>
      <c r="GGY1" s="3"/>
      <c r="GGZ1" s="3"/>
      <c r="GHA1" s="3"/>
      <c r="GHB1" s="3"/>
      <c r="GHC1" s="3"/>
      <c r="GHD1" s="3"/>
      <c r="GHE1" s="3"/>
      <c r="GHF1" s="3"/>
      <c r="GHG1" s="3"/>
      <c r="GHH1" s="3"/>
      <c r="GHI1" s="3"/>
      <c r="GHJ1" s="3"/>
      <c r="GHK1" s="3"/>
      <c r="GHL1" s="3"/>
      <c r="GHM1" s="3"/>
      <c r="GHN1" s="3"/>
      <c r="GHO1" s="3"/>
      <c r="GHP1" s="3"/>
      <c r="GHQ1" s="3"/>
      <c r="GHR1" s="3"/>
      <c r="GHS1" s="3"/>
      <c r="GHT1" s="3"/>
      <c r="GHU1" s="3"/>
      <c r="GHV1" s="3"/>
      <c r="GHW1" s="3"/>
      <c r="GHX1" s="3"/>
      <c r="GHY1" s="3"/>
      <c r="GHZ1" s="3"/>
      <c r="GIA1" s="3"/>
      <c r="GIB1" s="3"/>
      <c r="GIC1" s="3"/>
      <c r="GID1" s="3"/>
      <c r="GIE1" s="3"/>
      <c r="GIF1" s="3"/>
      <c r="GIG1" s="3"/>
      <c r="GIH1" s="3"/>
      <c r="GII1" s="3"/>
      <c r="GIJ1" s="3"/>
      <c r="GIK1" s="3"/>
      <c r="GIL1" s="3"/>
      <c r="GIM1" s="3"/>
      <c r="GIN1" s="3"/>
      <c r="GIO1" s="3"/>
      <c r="GIP1" s="3"/>
      <c r="GIQ1" s="3"/>
      <c r="GIR1" s="3"/>
      <c r="GIS1" s="3"/>
      <c r="GIT1" s="3"/>
      <c r="GIU1" s="3"/>
      <c r="GIV1" s="3"/>
      <c r="GIW1" s="3"/>
      <c r="GIX1" s="3"/>
      <c r="GIY1" s="3"/>
      <c r="GIZ1" s="3"/>
      <c r="GJA1" s="3"/>
      <c r="GJB1" s="3"/>
      <c r="GJC1" s="3"/>
      <c r="GJD1" s="3"/>
      <c r="GJE1" s="3"/>
      <c r="GJF1" s="3"/>
      <c r="GJG1" s="3"/>
      <c r="GJH1" s="3"/>
      <c r="GJI1" s="3"/>
      <c r="GJJ1" s="3"/>
      <c r="GJK1" s="3"/>
      <c r="GJL1" s="3"/>
      <c r="GJM1" s="3"/>
      <c r="GJN1" s="3"/>
      <c r="GJO1" s="3"/>
      <c r="GJP1" s="3"/>
      <c r="GJQ1" s="3"/>
      <c r="GJR1" s="3"/>
      <c r="GJS1" s="3"/>
      <c r="GJT1" s="3"/>
      <c r="GJU1" s="3"/>
      <c r="GJV1" s="3"/>
      <c r="GJW1" s="3"/>
      <c r="GJX1" s="3"/>
      <c r="GJY1" s="3"/>
      <c r="GJZ1" s="3"/>
      <c r="GKA1" s="3"/>
      <c r="GKB1" s="3"/>
      <c r="GKC1" s="3"/>
      <c r="GKD1" s="3"/>
      <c r="GKE1" s="3"/>
      <c r="GKF1" s="3"/>
      <c r="GKG1" s="3"/>
      <c r="GKH1" s="3"/>
      <c r="GKI1" s="3"/>
      <c r="GKJ1" s="3"/>
      <c r="GKK1" s="3"/>
      <c r="GKL1" s="3"/>
      <c r="GKM1" s="3"/>
      <c r="GKN1" s="3"/>
      <c r="GKO1" s="3"/>
      <c r="GKP1" s="3"/>
      <c r="GKQ1" s="3"/>
      <c r="GKR1" s="3"/>
      <c r="GKS1" s="3"/>
      <c r="GKT1" s="3"/>
      <c r="GKU1" s="3"/>
      <c r="GKV1" s="3"/>
      <c r="GKW1" s="3"/>
      <c r="GKX1" s="3"/>
      <c r="GKY1" s="3"/>
      <c r="GKZ1" s="3"/>
      <c r="GLA1" s="3"/>
      <c r="GLB1" s="3"/>
      <c r="GLC1" s="3"/>
      <c r="GLD1" s="3"/>
      <c r="GLE1" s="3"/>
      <c r="GLF1" s="3"/>
      <c r="GLG1" s="3"/>
      <c r="GLH1" s="3"/>
      <c r="GLI1" s="3"/>
      <c r="GLJ1" s="3"/>
      <c r="GLK1" s="3"/>
      <c r="GLL1" s="3"/>
      <c r="GLM1" s="3"/>
      <c r="GLN1" s="3"/>
      <c r="GLO1" s="3"/>
      <c r="GLP1" s="3"/>
      <c r="GLQ1" s="3"/>
      <c r="GLR1" s="3"/>
      <c r="GLS1" s="3"/>
      <c r="GLT1" s="3"/>
      <c r="GLU1" s="3"/>
      <c r="GLV1" s="3"/>
      <c r="GLW1" s="3"/>
      <c r="GLX1" s="3"/>
      <c r="GLY1" s="3"/>
      <c r="GLZ1" s="3"/>
      <c r="GMA1" s="3"/>
      <c r="GMB1" s="3"/>
      <c r="GMC1" s="3"/>
      <c r="GMD1" s="3"/>
      <c r="GME1" s="3"/>
      <c r="GMF1" s="3"/>
      <c r="GMG1" s="3"/>
      <c r="GMH1" s="3"/>
      <c r="GMI1" s="3"/>
      <c r="GMJ1" s="3"/>
      <c r="GMK1" s="3"/>
      <c r="GML1" s="3"/>
      <c r="GMM1" s="3"/>
      <c r="GMN1" s="3"/>
      <c r="GMO1" s="3"/>
      <c r="GMP1" s="3"/>
      <c r="GMQ1" s="3"/>
      <c r="GMR1" s="3"/>
      <c r="GMS1" s="3"/>
      <c r="GMT1" s="3"/>
      <c r="GMU1" s="3"/>
      <c r="GMV1" s="3"/>
      <c r="GMW1" s="3"/>
      <c r="GMX1" s="3"/>
      <c r="GMY1" s="3"/>
      <c r="GMZ1" s="3"/>
      <c r="GNA1" s="3"/>
      <c r="GNB1" s="3"/>
      <c r="GNC1" s="3"/>
      <c r="GND1" s="3"/>
      <c r="GNE1" s="3"/>
      <c r="GNF1" s="3"/>
      <c r="GNG1" s="3"/>
      <c r="GNH1" s="3"/>
      <c r="GNI1" s="3"/>
      <c r="GNJ1" s="3"/>
      <c r="GNK1" s="3"/>
      <c r="GNL1" s="3"/>
      <c r="GNM1" s="3"/>
      <c r="GNN1" s="3"/>
      <c r="GNO1" s="3"/>
      <c r="GNP1" s="3"/>
      <c r="GNQ1" s="3"/>
      <c r="GNR1" s="3"/>
      <c r="GNS1" s="3"/>
      <c r="GNT1" s="3"/>
      <c r="GNU1" s="3"/>
      <c r="GNV1" s="3"/>
      <c r="GNW1" s="3"/>
      <c r="GNX1" s="3"/>
      <c r="GNY1" s="3"/>
      <c r="GNZ1" s="3"/>
      <c r="GOA1" s="3"/>
      <c r="GOB1" s="3"/>
      <c r="GOC1" s="3"/>
      <c r="GOD1" s="3"/>
      <c r="GOE1" s="3"/>
      <c r="GOF1" s="3"/>
      <c r="GOG1" s="3"/>
      <c r="GOH1" s="3"/>
      <c r="GOI1" s="3"/>
      <c r="GOJ1" s="3"/>
      <c r="GOK1" s="3"/>
      <c r="GOL1" s="3"/>
      <c r="GOM1" s="3"/>
      <c r="GON1" s="3"/>
      <c r="GOO1" s="3"/>
      <c r="GOP1" s="3"/>
      <c r="GOQ1" s="3"/>
      <c r="GOR1" s="3"/>
      <c r="GOS1" s="3"/>
      <c r="GOT1" s="3"/>
      <c r="GOU1" s="3"/>
      <c r="GOV1" s="3"/>
      <c r="GOW1" s="3"/>
      <c r="GOX1" s="3"/>
      <c r="GOY1" s="3"/>
      <c r="GOZ1" s="3"/>
      <c r="GPA1" s="3"/>
      <c r="GPB1" s="3"/>
      <c r="GPC1" s="3"/>
      <c r="GPD1" s="3"/>
      <c r="GPE1" s="3"/>
      <c r="GPF1" s="3"/>
      <c r="GPG1" s="3"/>
      <c r="GPH1" s="3"/>
      <c r="GPI1" s="3"/>
      <c r="GPJ1" s="3"/>
      <c r="GPK1" s="3"/>
      <c r="GPL1" s="3"/>
      <c r="GPM1" s="3"/>
      <c r="GPN1" s="3"/>
      <c r="GPO1" s="3"/>
      <c r="GPP1" s="3"/>
      <c r="GPQ1" s="3"/>
      <c r="GPR1" s="3"/>
      <c r="GPS1" s="3"/>
      <c r="GPT1" s="3"/>
      <c r="GPU1" s="3"/>
      <c r="GPV1" s="3"/>
      <c r="GPW1" s="3"/>
      <c r="GPX1" s="3"/>
      <c r="GPY1" s="3"/>
      <c r="GPZ1" s="3"/>
      <c r="GQA1" s="3"/>
      <c r="GQB1" s="3"/>
      <c r="GQC1" s="3"/>
      <c r="GQD1" s="3"/>
      <c r="GQE1" s="3"/>
      <c r="GQF1" s="3"/>
      <c r="GQG1" s="3"/>
      <c r="GQH1" s="3"/>
      <c r="GQI1" s="3"/>
      <c r="GQJ1" s="3"/>
      <c r="GQK1" s="3"/>
      <c r="GQL1" s="3"/>
      <c r="GQM1" s="3"/>
      <c r="GQN1" s="3"/>
      <c r="GQO1" s="3"/>
      <c r="GQP1" s="3"/>
      <c r="GQQ1" s="3"/>
      <c r="GQR1" s="3"/>
      <c r="GQS1" s="3"/>
      <c r="GQT1" s="3"/>
      <c r="GQU1" s="3"/>
      <c r="GQV1" s="3"/>
      <c r="GQW1" s="3"/>
      <c r="GQX1" s="3"/>
      <c r="GQY1" s="3"/>
      <c r="GQZ1" s="3"/>
      <c r="GRA1" s="3"/>
      <c r="GRB1" s="3"/>
      <c r="GRC1" s="3"/>
      <c r="GRD1" s="3"/>
      <c r="GRE1" s="3"/>
      <c r="GRF1" s="3"/>
      <c r="GRG1" s="3"/>
      <c r="GRH1" s="3"/>
      <c r="GRI1" s="3"/>
      <c r="GRJ1" s="3"/>
      <c r="GRK1" s="3"/>
      <c r="GRL1" s="3"/>
      <c r="GRM1" s="3"/>
      <c r="GRN1" s="3"/>
      <c r="GRO1" s="3"/>
      <c r="GRP1" s="3"/>
      <c r="GRQ1" s="3"/>
      <c r="GRR1" s="3"/>
      <c r="GRS1" s="3"/>
      <c r="GRT1" s="3"/>
      <c r="GRU1" s="3"/>
      <c r="GRV1" s="3"/>
      <c r="GRW1" s="3"/>
      <c r="GRX1" s="3"/>
      <c r="GRY1" s="3"/>
      <c r="GRZ1" s="3"/>
      <c r="GSA1" s="3"/>
      <c r="GSB1" s="3"/>
      <c r="GSC1" s="3"/>
      <c r="GSD1" s="3"/>
      <c r="GSE1" s="3"/>
      <c r="GSF1" s="3"/>
      <c r="GSG1" s="3"/>
      <c r="GSH1" s="3"/>
      <c r="GSI1" s="3"/>
      <c r="GSJ1" s="3"/>
      <c r="GSK1" s="3"/>
      <c r="GSL1" s="3"/>
      <c r="GSM1" s="3"/>
      <c r="GSN1" s="3"/>
      <c r="GSO1" s="3"/>
      <c r="GSP1" s="3"/>
      <c r="GSQ1" s="3"/>
      <c r="GSR1" s="3"/>
      <c r="GSS1" s="3"/>
      <c r="GST1" s="3"/>
      <c r="GSU1" s="3"/>
      <c r="GSV1" s="3"/>
      <c r="GSW1" s="3"/>
      <c r="GSX1" s="3"/>
      <c r="GSY1" s="3"/>
      <c r="GSZ1" s="3"/>
      <c r="GTA1" s="3"/>
      <c r="GTB1" s="3"/>
      <c r="GTC1" s="3"/>
      <c r="GTD1" s="3"/>
      <c r="GTE1" s="3"/>
      <c r="GTF1" s="3"/>
      <c r="GTG1" s="3"/>
      <c r="GTH1" s="3"/>
      <c r="GTI1" s="3"/>
      <c r="GTJ1" s="3"/>
      <c r="GTK1" s="3"/>
      <c r="GTL1" s="3"/>
      <c r="GTM1" s="3"/>
      <c r="GTN1" s="3"/>
      <c r="GTO1" s="3"/>
      <c r="GTP1" s="3"/>
      <c r="GTQ1" s="3"/>
      <c r="GTR1" s="3"/>
      <c r="GTS1" s="3"/>
      <c r="GTT1" s="3"/>
      <c r="GTU1" s="3"/>
      <c r="GTV1" s="3"/>
      <c r="GTW1" s="3"/>
      <c r="GTX1" s="3"/>
      <c r="GTY1" s="3"/>
      <c r="GTZ1" s="3"/>
      <c r="GUA1" s="3"/>
      <c r="GUB1" s="3"/>
      <c r="GUC1" s="3"/>
      <c r="GUD1" s="3"/>
      <c r="GUE1" s="3"/>
      <c r="GUF1" s="3"/>
      <c r="GUG1" s="3"/>
      <c r="GUH1" s="3"/>
      <c r="GUI1" s="3"/>
      <c r="GUJ1" s="3"/>
      <c r="GUK1" s="3"/>
      <c r="GUL1" s="3"/>
      <c r="GUM1" s="3"/>
      <c r="GUN1" s="3"/>
      <c r="GUO1" s="3"/>
      <c r="GUP1" s="3"/>
      <c r="GUQ1" s="3"/>
      <c r="GUR1" s="3"/>
      <c r="GUS1" s="3"/>
      <c r="GUT1" s="3"/>
      <c r="GUU1" s="3"/>
      <c r="GUV1" s="3"/>
      <c r="GUW1" s="3"/>
      <c r="GUX1" s="3"/>
      <c r="GUY1" s="3"/>
      <c r="GUZ1" s="3"/>
      <c r="GVA1" s="3"/>
      <c r="GVB1" s="3"/>
      <c r="GVC1" s="3"/>
      <c r="GVD1" s="3"/>
      <c r="GVE1" s="3"/>
      <c r="GVF1" s="3"/>
      <c r="GVG1" s="3"/>
      <c r="GVH1" s="3"/>
      <c r="GVI1" s="3"/>
      <c r="GVJ1" s="3"/>
      <c r="GVK1" s="3"/>
      <c r="GVL1" s="3"/>
      <c r="GVM1" s="3"/>
      <c r="GVN1" s="3"/>
      <c r="GVO1" s="3"/>
      <c r="GVP1" s="3"/>
      <c r="GVQ1" s="3"/>
      <c r="GVR1" s="3"/>
      <c r="GVS1" s="3"/>
      <c r="GVT1" s="3"/>
      <c r="GVU1" s="3"/>
      <c r="GVV1" s="3"/>
      <c r="GVW1" s="3"/>
      <c r="GVX1" s="3"/>
      <c r="GVY1" s="3"/>
      <c r="GVZ1" s="3"/>
      <c r="GWA1" s="3"/>
      <c r="GWB1" s="3"/>
      <c r="GWC1" s="3"/>
      <c r="GWD1" s="3"/>
      <c r="GWE1" s="3"/>
      <c r="GWF1" s="3"/>
      <c r="GWG1" s="3"/>
      <c r="GWH1" s="3"/>
      <c r="GWI1" s="3"/>
      <c r="GWJ1" s="3"/>
      <c r="GWK1" s="3"/>
      <c r="GWL1" s="3"/>
      <c r="GWM1" s="3"/>
      <c r="GWN1" s="3"/>
      <c r="GWO1" s="3"/>
      <c r="GWP1" s="3"/>
      <c r="GWQ1" s="3"/>
      <c r="GWR1" s="3"/>
      <c r="GWS1" s="3"/>
      <c r="GWT1" s="3"/>
      <c r="GWU1" s="3"/>
      <c r="GWV1" s="3"/>
      <c r="GWW1" s="3"/>
      <c r="GWX1" s="3"/>
      <c r="GWY1" s="3"/>
      <c r="GWZ1" s="3"/>
      <c r="GXA1" s="3"/>
      <c r="GXB1" s="3"/>
      <c r="GXC1" s="3"/>
      <c r="GXD1" s="3"/>
      <c r="GXE1" s="3"/>
      <c r="GXF1" s="3"/>
      <c r="GXG1" s="3"/>
      <c r="GXH1" s="3"/>
      <c r="GXI1" s="3"/>
      <c r="GXJ1" s="3"/>
      <c r="GXK1" s="3"/>
      <c r="GXL1" s="3"/>
      <c r="GXM1" s="3"/>
      <c r="GXN1" s="3"/>
      <c r="GXO1" s="3"/>
      <c r="GXP1" s="3"/>
      <c r="GXQ1" s="3"/>
      <c r="GXR1" s="3"/>
      <c r="GXS1" s="3"/>
      <c r="GXT1" s="3"/>
      <c r="GXU1" s="3"/>
      <c r="GXV1" s="3"/>
      <c r="GXW1" s="3"/>
      <c r="GXX1" s="3"/>
      <c r="GXY1" s="3"/>
      <c r="GXZ1" s="3"/>
      <c r="GYA1" s="3"/>
      <c r="GYB1" s="3"/>
      <c r="GYC1" s="3"/>
      <c r="GYD1" s="3"/>
      <c r="GYE1" s="3"/>
      <c r="GYF1" s="3"/>
      <c r="GYG1" s="3"/>
      <c r="GYH1" s="3"/>
      <c r="GYI1" s="3"/>
      <c r="GYJ1" s="3"/>
      <c r="GYK1" s="3"/>
      <c r="GYL1" s="3"/>
      <c r="GYM1" s="3"/>
      <c r="GYN1" s="3"/>
      <c r="GYO1" s="3"/>
      <c r="GYP1" s="3"/>
      <c r="GYQ1" s="3"/>
      <c r="GYR1" s="3"/>
      <c r="GYS1" s="3"/>
      <c r="GYT1" s="3"/>
      <c r="GYU1" s="3"/>
      <c r="GYV1" s="3"/>
      <c r="GYW1" s="3"/>
      <c r="GYX1" s="3"/>
      <c r="GYY1" s="3"/>
      <c r="GYZ1" s="3"/>
      <c r="GZA1" s="3"/>
      <c r="GZB1" s="3"/>
      <c r="GZC1" s="3"/>
      <c r="GZD1" s="3"/>
      <c r="GZE1" s="3"/>
      <c r="GZF1" s="3"/>
      <c r="GZG1" s="3"/>
      <c r="GZH1" s="3"/>
      <c r="GZI1" s="3"/>
      <c r="GZJ1" s="3"/>
      <c r="GZK1" s="3"/>
      <c r="GZL1" s="3"/>
      <c r="GZM1" s="3"/>
      <c r="GZN1" s="3"/>
      <c r="GZO1" s="3"/>
      <c r="GZP1" s="3"/>
      <c r="GZQ1" s="3"/>
      <c r="GZR1" s="3"/>
      <c r="GZS1" s="3"/>
      <c r="GZT1" s="3"/>
      <c r="GZU1" s="3"/>
      <c r="GZV1" s="3"/>
      <c r="GZW1" s="3"/>
      <c r="GZX1" s="3"/>
      <c r="GZY1" s="3"/>
      <c r="GZZ1" s="3"/>
      <c r="HAA1" s="3"/>
      <c r="HAB1" s="3"/>
      <c r="HAC1" s="3"/>
      <c r="HAD1" s="3"/>
      <c r="HAE1" s="3"/>
      <c r="HAF1" s="3"/>
      <c r="HAG1" s="3"/>
      <c r="HAH1" s="3"/>
      <c r="HAI1" s="3"/>
      <c r="HAJ1" s="3"/>
      <c r="HAK1" s="3"/>
      <c r="HAL1" s="3"/>
      <c r="HAM1" s="3"/>
      <c r="HAN1" s="3"/>
      <c r="HAO1" s="3"/>
      <c r="HAP1" s="3"/>
      <c r="HAQ1" s="3"/>
      <c r="HAR1" s="3"/>
      <c r="HAS1" s="3"/>
      <c r="HAT1" s="3"/>
      <c r="HAU1" s="3"/>
      <c r="HAV1" s="3"/>
      <c r="HAW1" s="3"/>
      <c r="HAX1" s="3"/>
      <c r="HAY1" s="3"/>
      <c r="HAZ1" s="3"/>
      <c r="HBA1" s="3"/>
      <c r="HBB1" s="3"/>
      <c r="HBC1" s="3"/>
      <c r="HBD1" s="3"/>
      <c r="HBE1" s="3"/>
      <c r="HBF1" s="3"/>
      <c r="HBG1" s="3"/>
      <c r="HBH1" s="3"/>
      <c r="HBI1" s="3"/>
      <c r="HBJ1" s="3"/>
      <c r="HBK1" s="3"/>
      <c r="HBL1" s="3"/>
      <c r="HBM1" s="3"/>
      <c r="HBN1" s="3"/>
      <c r="HBO1" s="3"/>
      <c r="HBP1" s="3"/>
      <c r="HBQ1" s="3"/>
      <c r="HBR1" s="3"/>
      <c r="HBS1" s="3"/>
      <c r="HBT1" s="3"/>
      <c r="HBU1" s="3"/>
      <c r="HBV1" s="3"/>
      <c r="HBW1" s="3"/>
      <c r="HBX1" s="3"/>
      <c r="HBY1" s="3"/>
      <c r="HBZ1" s="3"/>
      <c r="HCA1" s="3"/>
      <c r="HCB1" s="3"/>
      <c r="HCC1" s="3"/>
      <c r="HCD1" s="3"/>
      <c r="HCE1" s="3"/>
      <c r="HCF1" s="3"/>
      <c r="HCG1" s="3"/>
      <c r="HCH1" s="3"/>
      <c r="HCI1" s="3"/>
      <c r="HCJ1" s="3"/>
      <c r="HCK1" s="3"/>
      <c r="HCL1" s="3"/>
      <c r="HCM1" s="3"/>
      <c r="HCN1" s="3"/>
      <c r="HCO1" s="3"/>
      <c r="HCP1" s="3"/>
      <c r="HCQ1" s="3"/>
      <c r="HCR1" s="3"/>
      <c r="HCS1" s="3"/>
      <c r="HCT1" s="3"/>
      <c r="HCU1" s="3"/>
      <c r="HCV1" s="3"/>
      <c r="HCW1" s="3"/>
      <c r="HCX1" s="3"/>
      <c r="HCY1" s="3"/>
      <c r="HCZ1" s="3"/>
      <c r="HDA1" s="3"/>
      <c r="HDB1" s="3"/>
      <c r="HDC1" s="3"/>
      <c r="HDD1" s="3"/>
      <c r="HDE1" s="3"/>
      <c r="HDF1" s="3"/>
      <c r="HDG1" s="3"/>
      <c r="HDH1" s="3"/>
      <c r="HDI1" s="3"/>
      <c r="HDJ1" s="3"/>
      <c r="HDK1" s="3"/>
      <c r="HDL1" s="3"/>
      <c r="HDM1" s="3"/>
      <c r="HDN1" s="3"/>
      <c r="HDO1" s="3"/>
      <c r="HDP1" s="3"/>
      <c r="HDQ1" s="3"/>
      <c r="HDR1" s="3"/>
      <c r="HDS1" s="3"/>
      <c r="HDT1" s="3"/>
      <c r="HDU1" s="3"/>
      <c r="HDV1" s="3"/>
      <c r="HDW1" s="3"/>
      <c r="HDX1" s="3"/>
      <c r="HDY1" s="3"/>
      <c r="HDZ1" s="3"/>
      <c r="HEA1" s="3"/>
      <c r="HEB1" s="3"/>
      <c r="HEC1" s="3"/>
      <c r="HED1" s="3"/>
      <c r="HEE1" s="3"/>
      <c r="HEF1" s="3"/>
      <c r="HEG1" s="3"/>
      <c r="HEH1" s="3"/>
      <c r="HEI1" s="3"/>
      <c r="HEJ1" s="3"/>
      <c r="HEK1" s="3"/>
      <c r="HEL1" s="3"/>
      <c r="HEM1" s="3"/>
      <c r="HEN1" s="3"/>
      <c r="HEO1" s="3"/>
      <c r="HEP1" s="3"/>
      <c r="HEQ1" s="3"/>
      <c r="HER1" s="3"/>
      <c r="HES1" s="3"/>
      <c r="HET1" s="3"/>
      <c r="HEU1" s="3"/>
      <c r="HEV1" s="3"/>
      <c r="HEW1" s="3"/>
      <c r="HEX1" s="3"/>
      <c r="HEY1" s="3"/>
      <c r="HEZ1" s="3"/>
      <c r="HFA1" s="3"/>
      <c r="HFB1" s="3"/>
      <c r="HFC1" s="3"/>
      <c r="HFD1" s="3"/>
      <c r="HFE1" s="3"/>
      <c r="HFF1" s="3"/>
      <c r="HFG1" s="3"/>
      <c r="HFH1" s="3"/>
      <c r="HFI1" s="3"/>
      <c r="HFJ1" s="3"/>
      <c r="HFK1" s="3"/>
      <c r="HFL1" s="3"/>
      <c r="HFM1" s="3"/>
      <c r="HFN1" s="3"/>
      <c r="HFO1" s="3"/>
      <c r="HFP1" s="3"/>
      <c r="HFQ1" s="3"/>
      <c r="HFR1" s="3"/>
      <c r="HFS1" s="3"/>
      <c r="HFT1" s="3"/>
      <c r="HFU1" s="3"/>
      <c r="HFV1" s="3"/>
      <c r="HFW1" s="3"/>
      <c r="HFX1" s="3"/>
      <c r="HFY1" s="3"/>
      <c r="HFZ1" s="3"/>
      <c r="HGA1" s="3"/>
      <c r="HGB1" s="3"/>
      <c r="HGC1" s="3"/>
      <c r="HGD1" s="3"/>
      <c r="HGE1" s="3"/>
      <c r="HGF1" s="3"/>
      <c r="HGG1" s="3"/>
      <c r="HGH1" s="3"/>
      <c r="HGI1" s="3"/>
      <c r="HGJ1" s="3"/>
      <c r="HGK1" s="3"/>
      <c r="HGL1" s="3"/>
      <c r="HGM1" s="3"/>
      <c r="HGN1" s="3"/>
      <c r="HGO1" s="3"/>
      <c r="HGP1" s="3"/>
      <c r="HGQ1" s="3"/>
      <c r="HGR1" s="3"/>
      <c r="HGS1" s="3"/>
      <c r="HGT1" s="3"/>
      <c r="HGU1" s="3"/>
      <c r="HGV1" s="3"/>
      <c r="HGW1" s="3"/>
      <c r="HGX1" s="3"/>
      <c r="HGY1" s="3"/>
      <c r="HGZ1" s="3"/>
      <c r="HHA1" s="3"/>
      <c r="HHB1" s="3"/>
      <c r="HHC1" s="3"/>
      <c r="HHD1" s="3"/>
      <c r="HHE1" s="3"/>
      <c r="HHF1" s="3"/>
      <c r="HHG1" s="3"/>
      <c r="HHH1" s="3"/>
      <c r="HHI1" s="3"/>
      <c r="HHJ1" s="3"/>
      <c r="HHK1" s="3"/>
      <c r="HHL1" s="3"/>
      <c r="HHM1" s="3"/>
      <c r="HHN1" s="3"/>
      <c r="HHO1" s="3"/>
      <c r="HHP1" s="3"/>
      <c r="HHQ1" s="3"/>
      <c r="HHR1" s="3"/>
      <c r="HHS1" s="3"/>
      <c r="HHT1" s="3"/>
      <c r="HHU1" s="3"/>
      <c r="HHV1" s="3"/>
      <c r="HHW1" s="3"/>
      <c r="HHX1" s="3"/>
      <c r="HHY1" s="3"/>
      <c r="HHZ1" s="3"/>
      <c r="HIA1" s="3"/>
      <c r="HIB1" s="3"/>
      <c r="HIC1" s="3"/>
      <c r="HID1" s="3"/>
      <c r="HIE1" s="3"/>
      <c r="HIF1" s="3"/>
      <c r="HIG1" s="3"/>
      <c r="HIH1" s="3"/>
      <c r="HII1" s="3"/>
      <c r="HIJ1" s="3"/>
      <c r="HIK1" s="3"/>
      <c r="HIL1" s="3"/>
      <c r="HIM1" s="3"/>
      <c r="HIN1" s="3"/>
      <c r="HIO1" s="3"/>
      <c r="HIP1" s="3"/>
      <c r="HIQ1" s="3"/>
      <c r="HIR1" s="3"/>
      <c r="HIS1" s="3"/>
      <c r="HIT1" s="3"/>
      <c r="HIU1" s="3"/>
      <c r="HIV1" s="3"/>
      <c r="HIW1" s="3"/>
      <c r="HIX1" s="3"/>
      <c r="HIY1" s="3"/>
      <c r="HIZ1" s="3"/>
      <c r="HJA1" s="3"/>
      <c r="HJB1" s="3"/>
      <c r="HJC1" s="3"/>
      <c r="HJD1" s="3"/>
      <c r="HJE1" s="3"/>
      <c r="HJF1" s="3"/>
      <c r="HJG1" s="3"/>
      <c r="HJH1" s="3"/>
      <c r="HJI1" s="3"/>
      <c r="HJJ1" s="3"/>
      <c r="HJK1" s="3"/>
      <c r="HJL1" s="3"/>
      <c r="HJM1" s="3"/>
      <c r="HJN1" s="3"/>
      <c r="HJO1" s="3"/>
      <c r="HJP1" s="3"/>
      <c r="HJQ1" s="3"/>
      <c r="HJR1" s="3"/>
      <c r="HJS1" s="3"/>
      <c r="HJT1" s="3"/>
      <c r="HJU1" s="3"/>
      <c r="HJV1" s="3"/>
      <c r="HJW1" s="3"/>
      <c r="HJX1" s="3"/>
      <c r="HJY1" s="3"/>
      <c r="HJZ1" s="3"/>
      <c r="HKA1" s="3"/>
      <c r="HKB1" s="3"/>
      <c r="HKC1" s="3"/>
      <c r="HKD1" s="3"/>
      <c r="HKE1" s="3"/>
      <c r="HKF1" s="3"/>
      <c r="HKG1" s="3"/>
      <c r="HKH1" s="3"/>
      <c r="HKI1" s="3"/>
      <c r="HKJ1" s="3"/>
      <c r="HKK1" s="3"/>
      <c r="HKL1" s="3"/>
      <c r="HKM1" s="3"/>
      <c r="HKN1" s="3"/>
      <c r="HKO1" s="3"/>
      <c r="HKP1" s="3"/>
      <c r="HKQ1" s="3"/>
      <c r="HKR1" s="3"/>
      <c r="HKS1" s="3"/>
      <c r="HKT1" s="3"/>
      <c r="HKU1" s="3"/>
      <c r="HKV1" s="3"/>
      <c r="HKW1" s="3"/>
      <c r="HKX1" s="3"/>
      <c r="HKY1" s="3"/>
      <c r="HKZ1" s="3"/>
      <c r="HLA1" s="3"/>
      <c r="HLB1" s="3"/>
      <c r="HLC1" s="3"/>
      <c r="HLD1" s="3"/>
      <c r="HLE1" s="3"/>
      <c r="HLF1" s="3"/>
      <c r="HLG1" s="3"/>
      <c r="HLH1" s="3"/>
      <c r="HLI1" s="3"/>
      <c r="HLJ1" s="3"/>
      <c r="HLK1" s="3"/>
      <c r="HLL1" s="3"/>
      <c r="HLM1" s="3"/>
      <c r="HLN1" s="3"/>
      <c r="HLO1" s="3"/>
      <c r="HLP1" s="3"/>
      <c r="HLQ1" s="3"/>
      <c r="HLR1" s="3"/>
      <c r="HLS1" s="3"/>
      <c r="HLT1" s="3"/>
      <c r="HLU1" s="3"/>
      <c r="HLV1" s="3"/>
      <c r="HLW1" s="3"/>
      <c r="HLX1" s="3"/>
      <c r="HLY1" s="3"/>
      <c r="HLZ1" s="3"/>
      <c r="HMA1" s="3"/>
      <c r="HMB1" s="3"/>
      <c r="HMC1" s="3"/>
      <c r="HMD1" s="3"/>
      <c r="HME1" s="3"/>
      <c r="HMF1" s="3"/>
      <c r="HMG1" s="3"/>
      <c r="HMH1" s="3"/>
      <c r="HMI1" s="3"/>
      <c r="HMJ1" s="3"/>
      <c r="HMK1" s="3"/>
      <c r="HML1" s="3"/>
      <c r="HMM1" s="3"/>
      <c r="HMN1" s="3"/>
      <c r="HMO1" s="3"/>
      <c r="HMP1" s="3"/>
      <c r="HMQ1" s="3"/>
      <c r="HMR1" s="3"/>
      <c r="HMS1" s="3"/>
      <c r="HMT1" s="3"/>
      <c r="HMU1" s="3"/>
      <c r="HMV1" s="3"/>
      <c r="HMW1" s="3"/>
      <c r="HMX1" s="3"/>
      <c r="HMY1" s="3"/>
      <c r="HMZ1" s="3"/>
      <c r="HNA1" s="3"/>
      <c r="HNB1" s="3"/>
      <c r="HNC1" s="3"/>
      <c r="HND1" s="3"/>
      <c r="HNE1" s="3"/>
      <c r="HNF1" s="3"/>
      <c r="HNG1" s="3"/>
      <c r="HNH1" s="3"/>
      <c r="HNI1" s="3"/>
      <c r="HNJ1" s="3"/>
      <c r="HNK1" s="3"/>
      <c r="HNL1" s="3"/>
      <c r="HNM1" s="3"/>
      <c r="HNN1" s="3"/>
      <c r="HNO1" s="3"/>
      <c r="HNP1" s="3"/>
      <c r="HNQ1" s="3"/>
      <c r="HNR1" s="3"/>
      <c r="HNS1" s="3"/>
      <c r="HNT1" s="3"/>
      <c r="HNU1" s="3"/>
      <c r="HNV1" s="3"/>
      <c r="HNW1" s="3"/>
      <c r="HNX1" s="3"/>
      <c r="HNY1" s="3"/>
      <c r="HNZ1" s="3"/>
      <c r="HOA1" s="3"/>
      <c r="HOB1" s="3"/>
      <c r="HOC1" s="3"/>
      <c r="HOD1" s="3"/>
      <c r="HOE1" s="3"/>
      <c r="HOF1" s="3"/>
      <c r="HOG1" s="3"/>
      <c r="HOH1" s="3"/>
      <c r="HOI1" s="3"/>
      <c r="HOJ1" s="3"/>
      <c r="HOK1" s="3"/>
      <c r="HOL1" s="3"/>
      <c r="HOM1" s="3"/>
      <c r="HON1" s="3"/>
      <c r="HOO1" s="3"/>
      <c r="HOP1" s="3"/>
      <c r="HOQ1" s="3"/>
      <c r="HOR1" s="3"/>
      <c r="HOS1" s="3"/>
      <c r="HOT1" s="3"/>
      <c r="HOU1" s="3"/>
      <c r="HOV1" s="3"/>
      <c r="HOW1" s="3"/>
      <c r="HOX1" s="3"/>
      <c r="HOY1" s="3"/>
      <c r="HOZ1" s="3"/>
      <c r="HPA1" s="3"/>
      <c r="HPB1" s="3"/>
      <c r="HPC1" s="3"/>
      <c r="HPD1" s="3"/>
      <c r="HPE1" s="3"/>
      <c r="HPF1" s="3"/>
      <c r="HPG1" s="3"/>
      <c r="HPH1" s="3"/>
      <c r="HPI1" s="3"/>
      <c r="HPJ1" s="3"/>
      <c r="HPK1" s="3"/>
      <c r="HPL1" s="3"/>
      <c r="HPM1" s="3"/>
      <c r="HPN1" s="3"/>
      <c r="HPO1" s="3"/>
      <c r="HPP1" s="3"/>
      <c r="HPQ1" s="3"/>
      <c r="HPR1" s="3"/>
      <c r="HPS1" s="3"/>
      <c r="HPT1" s="3"/>
      <c r="HPU1" s="3"/>
      <c r="HPV1" s="3"/>
      <c r="HPW1" s="3"/>
      <c r="HPX1" s="3"/>
      <c r="HPY1" s="3"/>
      <c r="HPZ1" s="3"/>
      <c r="HQA1" s="3"/>
      <c r="HQB1" s="3"/>
      <c r="HQC1" s="3"/>
      <c r="HQD1" s="3"/>
      <c r="HQE1" s="3"/>
      <c r="HQF1" s="3"/>
      <c r="HQG1" s="3"/>
      <c r="HQH1" s="3"/>
      <c r="HQI1" s="3"/>
      <c r="HQJ1" s="3"/>
      <c r="HQK1" s="3"/>
      <c r="HQL1" s="3"/>
      <c r="HQM1" s="3"/>
      <c r="HQN1" s="3"/>
      <c r="HQO1" s="3"/>
      <c r="HQP1" s="3"/>
      <c r="HQQ1" s="3"/>
      <c r="HQR1" s="3"/>
      <c r="HQS1" s="3"/>
      <c r="HQT1" s="3"/>
      <c r="HQU1" s="3"/>
      <c r="HQV1" s="3"/>
      <c r="HQW1" s="3"/>
      <c r="HQX1" s="3"/>
      <c r="HQY1" s="3"/>
      <c r="HQZ1" s="3"/>
      <c r="HRA1" s="3"/>
      <c r="HRB1" s="3"/>
      <c r="HRC1" s="3"/>
      <c r="HRD1" s="3"/>
      <c r="HRE1" s="3"/>
      <c r="HRF1" s="3"/>
      <c r="HRG1" s="3"/>
      <c r="HRH1" s="3"/>
      <c r="HRI1" s="3"/>
      <c r="HRJ1" s="3"/>
      <c r="HRK1" s="3"/>
      <c r="HRL1" s="3"/>
      <c r="HRM1" s="3"/>
      <c r="HRN1" s="3"/>
      <c r="HRO1" s="3"/>
      <c r="HRP1" s="3"/>
      <c r="HRQ1" s="3"/>
      <c r="HRR1" s="3"/>
      <c r="HRS1" s="3"/>
      <c r="HRT1" s="3"/>
      <c r="HRU1" s="3"/>
      <c r="HRV1" s="3"/>
      <c r="HRW1" s="3"/>
      <c r="HRX1" s="3"/>
      <c r="HRY1" s="3"/>
      <c r="HRZ1" s="3"/>
      <c r="HSA1" s="3"/>
      <c r="HSB1" s="3"/>
      <c r="HSC1" s="3"/>
      <c r="HSD1" s="3"/>
      <c r="HSE1" s="3"/>
      <c r="HSF1" s="3"/>
      <c r="HSG1" s="3"/>
      <c r="HSH1" s="3"/>
      <c r="HSI1" s="3"/>
      <c r="HSJ1" s="3"/>
      <c r="HSK1" s="3"/>
      <c r="HSL1" s="3"/>
      <c r="HSM1" s="3"/>
      <c r="HSN1" s="3"/>
      <c r="HSO1" s="3"/>
      <c r="HSP1" s="3"/>
      <c r="HSQ1" s="3"/>
      <c r="HSR1" s="3"/>
      <c r="HSS1" s="3"/>
      <c r="HST1" s="3"/>
      <c r="HSU1" s="3"/>
      <c r="HSV1" s="3"/>
      <c r="HSW1" s="3"/>
      <c r="HSX1" s="3"/>
      <c r="HSY1" s="3"/>
      <c r="HSZ1" s="3"/>
      <c r="HTA1" s="3"/>
      <c r="HTB1" s="3"/>
      <c r="HTC1" s="3"/>
      <c r="HTD1" s="3"/>
      <c r="HTE1" s="3"/>
      <c r="HTF1" s="3"/>
      <c r="HTG1" s="3"/>
      <c r="HTH1" s="3"/>
      <c r="HTI1" s="3"/>
      <c r="HTJ1" s="3"/>
      <c r="HTK1" s="3"/>
      <c r="HTL1" s="3"/>
      <c r="HTM1" s="3"/>
      <c r="HTN1" s="3"/>
      <c r="HTO1" s="3"/>
      <c r="HTP1" s="3"/>
      <c r="HTQ1" s="3"/>
      <c r="HTR1" s="3"/>
      <c r="HTS1" s="3"/>
      <c r="HTT1" s="3"/>
      <c r="HTU1" s="3"/>
      <c r="HTV1" s="3"/>
      <c r="HTW1" s="3"/>
      <c r="HTX1" s="3"/>
      <c r="HTY1" s="3"/>
      <c r="HTZ1" s="3"/>
      <c r="HUA1" s="3"/>
      <c r="HUB1" s="3"/>
      <c r="HUC1" s="3"/>
      <c r="HUD1" s="3"/>
      <c r="HUE1" s="3"/>
      <c r="HUF1" s="3"/>
      <c r="HUG1" s="3"/>
      <c r="HUH1" s="3"/>
      <c r="HUI1" s="3"/>
      <c r="HUJ1" s="3"/>
      <c r="HUK1" s="3"/>
      <c r="HUL1" s="3"/>
      <c r="HUM1" s="3"/>
      <c r="HUN1" s="3"/>
      <c r="HUO1" s="3"/>
      <c r="HUP1" s="3"/>
      <c r="HUQ1" s="3"/>
      <c r="HUR1" s="3"/>
      <c r="HUS1" s="3"/>
      <c r="HUT1" s="3"/>
      <c r="HUU1" s="3"/>
      <c r="HUV1" s="3"/>
      <c r="HUW1" s="3"/>
      <c r="HUX1" s="3"/>
      <c r="HUY1" s="3"/>
      <c r="HUZ1" s="3"/>
      <c r="HVA1" s="3"/>
      <c r="HVB1" s="3"/>
      <c r="HVC1" s="3"/>
      <c r="HVD1" s="3"/>
      <c r="HVE1" s="3"/>
      <c r="HVF1" s="3"/>
      <c r="HVG1" s="3"/>
      <c r="HVH1" s="3"/>
      <c r="HVI1" s="3"/>
      <c r="HVJ1" s="3"/>
      <c r="HVK1" s="3"/>
      <c r="HVL1" s="3"/>
      <c r="HVM1" s="3"/>
      <c r="HVN1" s="3"/>
      <c r="HVO1" s="3"/>
      <c r="HVP1" s="3"/>
      <c r="HVQ1" s="3"/>
      <c r="HVR1" s="3"/>
      <c r="HVS1" s="3"/>
      <c r="HVT1" s="3"/>
      <c r="HVU1" s="3"/>
      <c r="HVV1" s="3"/>
      <c r="HVW1" s="3"/>
      <c r="HVX1" s="3"/>
      <c r="HVY1" s="3"/>
      <c r="HVZ1" s="3"/>
      <c r="HWA1" s="3"/>
      <c r="HWB1" s="3"/>
      <c r="HWC1" s="3"/>
      <c r="HWD1" s="3"/>
      <c r="HWE1" s="3"/>
      <c r="HWF1" s="3"/>
      <c r="HWG1" s="3"/>
      <c r="HWH1" s="3"/>
      <c r="HWI1" s="3"/>
      <c r="HWJ1" s="3"/>
      <c r="HWK1" s="3"/>
      <c r="HWL1" s="3"/>
      <c r="HWM1" s="3"/>
      <c r="HWN1" s="3"/>
      <c r="HWO1" s="3"/>
      <c r="HWP1" s="3"/>
      <c r="HWQ1" s="3"/>
      <c r="HWR1" s="3"/>
      <c r="HWS1" s="3"/>
      <c r="HWT1" s="3"/>
      <c r="HWU1" s="3"/>
      <c r="HWV1" s="3"/>
      <c r="HWW1" s="3"/>
      <c r="HWX1" s="3"/>
      <c r="HWY1" s="3"/>
      <c r="HWZ1" s="3"/>
      <c r="HXA1" s="3"/>
      <c r="HXB1" s="3"/>
      <c r="HXC1" s="3"/>
      <c r="HXD1" s="3"/>
      <c r="HXE1" s="3"/>
      <c r="HXF1" s="3"/>
      <c r="HXG1" s="3"/>
      <c r="HXH1" s="3"/>
      <c r="HXI1" s="3"/>
      <c r="HXJ1" s="3"/>
      <c r="HXK1" s="3"/>
      <c r="HXL1" s="3"/>
      <c r="HXM1" s="3"/>
      <c r="HXN1" s="3"/>
      <c r="HXO1" s="3"/>
      <c r="HXP1" s="3"/>
      <c r="HXQ1" s="3"/>
      <c r="HXR1" s="3"/>
      <c r="HXS1" s="3"/>
      <c r="HXT1" s="3"/>
      <c r="HXU1" s="3"/>
      <c r="HXV1" s="3"/>
      <c r="HXW1" s="3"/>
      <c r="HXX1" s="3"/>
      <c r="HXY1" s="3"/>
      <c r="HXZ1" s="3"/>
      <c r="HYA1" s="3"/>
      <c r="HYB1" s="3"/>
      <c r="HYC1" s="3"/>
      <c r="HYD1" s="3"/>
      <c r="HYE1" s="3"/>
      <c r="HYF1" s="3"/>
      <c r="HYG1" s="3"/>
      <c r="HYH1" s="3"/>
      <c r="HYI1" s="3"/>
      <c r="HYJ1" s="3"/>
      <c r="HYK1" s="3"/>
      <c r="HYL1" s="3"/>
      <c r="HYM1" s="3"/>
      <c r="HYN1" s="3"/>
      <c r="HYO1" s="3"/>
      <c r="HYP1" s="3"/>
      <c r="HYQ1" s="3"/>
      <c r="HYR1" s="3"/>
      <c r="HYS1" s="3"/>
      <c r="HYT1" s="3"/>
      <c r="HYU1" s="3"/>
      <c r="HYV1" s="3"/>
      <c r="HYW1" s="3"/>
      <c r="HYX1" s="3"/>
      <c r="HYY1" s="3"/>
      <c r="HYZ1" s="3"/>
      <c r="HZA1" s="3"/>
      <c r="HZB1" s="3"/>
      <c r="HZC1" s="3"/>
      <c r="HZD1" s="3"/>
      <c r="HZE1" s="3"/>
      <c r="HZF1" s="3"/>
      <c r="HZG1" s="3"/>
      <c r="HZH1" s="3"/>
      <c r="HZI1" s="3"/>
      <c r="HZJ1" s="3"/>
      <c r="HZK1" s="3"/>
      <c r="HZL1" s="3"/>
      <c r="HZM1" s="3"/>
      <c r="HZN1" s="3"/>
      <c r="HZO1" s="3"/>
      <c r="HZP1" s="3"/>
      <c r="HZQ1" s="3"/>
      <c r="HZR1" s="3"/>
      <c r="HZS1" s="3"/>
      <c r="HZT1" s="3"/>
      <c r="HZU1" s="3"/>
      <c r="HZV1" s="3"/>
      <c r="HZW1" s="3"/>
      <c r="HZX1" s="3"/>
      <c r="HZY1" s="3"/>
      <c r="HZZ1" s="3"/>
      <c r="IAA1" s="3"/>
      <c r="IAB1" s="3"/>
      <c r="IAC1" s="3"/>
      <c r="IAD1" s="3"/>
      <c r="IAE1" s="3"/>
      <c r="IAF1" s="3"/>
      <c r="IAG1" s="3"/>
      <c r="IAH1" s="3"/>
      <c r="IAI1" s="3"/>
      <c r="IAJ1" s="3"/>
      <c r="IAK1" s="3"/>
      <c r="IAL1" s="3"/>
      <c r="IAM1" s="3"/>
      <c r="IAN1" s="3"/>
      <c r="IAO1" s="3"/>
      <c r="IAP1" s="3"/>
      <c r="IAQ1" s="3"/>
      <c r="IAR1" s="3"/>
      <c r="IAS1" s="3"/>
      <c r="IAT1" s="3"/>
      <c r="IAU1" s="3"/>
      <c r="IAV1" s="3"/>
      <c r="IAW1" s="3"/>
      <c r="IAX1" s="3"/>
      <c r="IAY1" s="3"/>
      <c r="IAZ1" s="3"/>
      <c r="IBA1" s="3"/>
      <c r="IBB1" s="3"/>
      <c r="IBC1" s="3"/>
      <c r="IBD1" s="3"/>
      <c r="IBE1" s="3"/>
      <c r="IBF1" s="3"/>
      <c r="IBG1" s="3"/>
      <c r="IBH1" s="3"/>
      <c r="IBI1" s="3"/>
      <c r="IBJ1" s="3"/>
      <c r="IBK1" s="3"/>
      <c r="IBL1" s="3"/>
      <c r="IBM1" s="3"/>
      <c r="IBN1" s="3"/>
      <c r="IBO1" s="3"/>
      <c r="IBP1" s="3"/>
      <c r="IBQ1" s="3"/>
      <c r="IBR1" s="3"/>
      <c r="IBS1" s="3"/>
      <c r="IBT1" s="3"/>
      <c r="IBU1" s="3"/>
      <c r="IBV1" s="3"/>
      <c r="IBW1" s="3"/>
      <c r="IBX1" s="3"/>
      <c r="IBY1" s="3"/>
      <c r="IBZ1" s="3"/>
      <c r="ICA1" s="3"/>
      <c r="ICB1" s="3"/>
      <c r="ICC1" s="3"/>
      <c r="ICD1" s="3"/>
      <c r="ICE1" s="3"/>
      <c r="ICF1" s="3"/>
      <c r="ICG1" s="3"/>
      <c r="ICH1" s="3"/>
      <c r="ICI1" s="3"/>
      <c r="ICJ1" s="3"/>
      <c r="ICK1" s="3"/>
      <c r="ICL1" s="3"/>
      <c r="ICM1" s="3"/>
      <c r="ICN1" s="3"/>
      <c r="ICO1" s="3"/>
      <c r="ICP1" s="3"/>
      <c r="ICQ1" s="3"/>
      <c r="ICR1" s="3"/>
      <c r="ICS1" s="3"/>
      <c r="ICT1" s="3"/>
      <c r="ICU1" s="3"/>
      <c r="ICV1" s="3"/>
      <c r="ICW1" s="3"/>
      <c r="ICX1" s="3"/>
      <c r="ICY1" s="3"/>
      <c r="ICZ1" s="3"/>
      <c r="IDA1" s="3"/>
      <c r="IDB1" s="3"/>
      <c r="IDC1" s="3"/>
      <c r="IDD1" s="3"/>
      <c r="IDE1" s="3"/>
      <c r="IDF1" s="3"/>
      <c r="IDG1" s="3"/>
      <c r="IDH1" s="3"/>
      <c r="IDI1" s="3"/>
      <c r="IDJ1" s="3"/>
      <c r="IDK1" s="3"/>
      <c r="IDL1" s="3"/>
      <c r="IDM1" s="3"/>
      <c r="IDN1" s="3"/>
      <c r="IDO1" s="3"/>
      <c r="IDP1" s="3"/>
      <c r="IDQ1" s="3"/>
      <c r="IDR1" s="3"/>
      <c r="IDS1" s="3"/>
      <c r="IDT1" s="3"/>
      <c r="IDU1" s="3"/>
      <c r="IDV1" s="3"/>
      <c r="IDW1" s="3"/>
      <c r="IDX1" s="3"/>
      <c r="IDY1" s="3"/>
      <c r="IDZ1" s="3"/>
      <c r="IEA1" s="3"/>
      <c r="IEB1" s="3"/>
      <c r="IEC1" s="3"/>
      <c r="IED1" s="3"/>
      <c r="IEE1" s="3"/>
      <c r="IEF1" s="3"/>
      <c r="IEG1" s="3"/>
      <c r="IEH1" s="3"/>
      <c r="IEI1" s="3"/>
      <c r="IEJ1" s="3"/>
      <c r="IEK1" s="3"/>
      <c r="IEL1" s="3"/>
      <c r="IEM1" s="3"/>
      <c r="IEN1" s="3"/>
      <c r="IEO1" s="3"/>
      <c r="IEP1" s="3"/>
      <c r="IEQ1" s="3"/>
      <c r="IER1" s="3"/>
      <c r="IES1" s="3"/>
      <c r="IET1" s="3"/>
      <c r="IEU1" s="3"/>
      <c r="IEV1" s="3"/>
      <c r="IEW1" s="3"/>
      <c r="IEX1" s="3"/>
      <c r="IEY1" s="3"/>
      <c r="IEZ1" s="3"/>
      <c r="IFA1" s="3"/>
      <c r="IFB1" s="3"/>
      <c r="IFC1" s="3"/>
      <c r="IFD1" s="3"/>
      <c r="IFE1" s="3"/>
      <c r="IFF1" s="3"/>
      <c r="IFG1" s="3"/>
      <c r="IFH1" s="3"/>
      <c r="IFI1" s="3"/>
      <c r="IFJ1" s="3"/>
      <c r="IFK1" s="3"/>
      <c r="IFL1" s="3"/>
      <c r="IFM1" s="3"/>
      <c r="IFN1" s="3"/>
      <c r="IFO1" s="3"/>
      <c r="IFP1" s="3"/>
      <c r="IFQ1" s="3"/>
      <c r="IFR1" s="3"/>
      <c r="IFS1" s="3"/>
      <c r="IFT1" s="3"/>
      <c r="IFU1" s="3"/>
      <c r="IFV1" s="3"/>
      <c r="IFW1" s="3"/>
      <c r="IFX1" s="3"/>
      <c r="IFY1" s="3"/>
      <c r="IFZ1" s="3"/>
      <c r="IGA1" s="3"/>
      <c r="IGB1" s="3"/>
      <c r="IGC1" s="3"/>
      <c r="IGD1" s="3"/>
      <c r="IGE1" s="3"/>
      <c r="IGF1" s="3"/>
      <c r="IGG1" s="3"/>
      <c r="IGH1" s="3"/>
      <c r="IGI1" s="3"/>
      <c r="IGJ1" s="3"/>
      <c r="IGK1" s="3"/>
      <c r="IGL1" s="3"/>
      <c r="IGM1" s="3"/>
      <c r="IGN1" s="3"/>
      <c r="IGO1" s="3"/>
      <c r="IGP1" s="3"/>
      <c r="IGQ1" s="3"/>
      <c r="IGR1" s="3"/>
      <c r="IGS1" s="3"/>
      <c r="IGT1" s="3"/>
      <c r="IGU1" s="3"/>
      <c r="IGV1" s="3"/>
      <c r="IGW1" s="3"/>
      <c r="IGX1" s="3"/>
      <c r="IGY1" s="3"/>
      <c r="IGZ1" s="3"/>
      <c r="IHA1" s="3"/>
      <c r="IHB1" s="3"/>
      <c r="IHC1" s="3"/>
      <c r="IHD1" s="3"/>
      <c r="IHE1" s="3"/>
      <c r="IHF1" s="3"/>
      <c r="IHG1" s="3"/>
      <c r="IHH1" s="3"/>
      <c r="IHI1" s="3"/>
      <c r="IHJ1" s="3"/>
      <c r="IHK1" s="3"/>
      <c r="IHL1" s="3"/>
      <c r="IHM1" s="3"/>
      <c r="IHN1" s="3"/>
      <c r="IHO1" s="3"/>
      <c r="IHP1" s="3"/>
      <c r="IHQ1" s="3"/>
      <c r="IHR1" s="3"/>
      <c r="IHS1" s="3"/>
      <c r="IHT1" s="3"/>
      <c r="IHU1" s="3"/>
      <c r="IHV1" s="3"/>
      <c r="IHW1" s="3"/>
      <c r="IHX1" s="3"/>
      <c r="IHY1" s="3"/>
      <c r="IHZ1" s="3"/>
      <c r="IIA1" s="3"/>
      <c r="IIB1" s="3"/>
      <c r="IIC1" s="3"/>
      <c r="IID1" s="3"/>
      <c r="IIE1" s="3"/>
      <c r="IIF1" s="3"/>
      <c r="IIG1" s="3"/>
      <c r="IIH1" s="3"/>
      <c r="III1" s="3"/>
      <c r="IIJ1" s="3"/>
      <c r="IIK1" s="3"/>
      <c r="IIL1" s="3"/>
      <c r="IIM1" s="3"/>
      <c r="IIN1" s="3"/>
      <c r="IIO1" s="3"/>
      <c r="IIP1" s="3"/>
      <c r="IIQ1" s="3"/>
      <c r="IIR1" s="3"/>
      <c r="IIS1" s="3"/>
      <c r="IIT1" s="3"/>
      <c r="IIU1" s="3"/>
      <c r="IIV1" s="3"/>
      <c r="IIW1" s="3"/>
      <c r="IIX1" s="3"/>
      <c r="IIY1" s="3"/>
      <c r="IIZ1" s="3"/>
      <c r="IJA1" s="3"/>
      <c r="IJB1" s="3"/>
      <c r="IJC1" s="3"/>
      <c r="IJD1" s="3"/>
      <c r="IJE1" s="3"/>
      <c r="IJF1" s="3"/>
      <c r="IJG1" s="3"/>
      <c r="IJH1" s="3"/>
      <c r="IJI1" s="3"/>
      <c r="IJJ1" s="3"/>
      <c r="IJK1" s="3"/>
      <c r="IJL1" s="3"/>
      <c r="IJM1" s="3"/>
      <c r="IJN1" s="3"/>
      <c r="IJO1" s="3"/>
      <c r="IJP1" s="3"/>
      <c r="IJQ1" s="3"/>
      <c r="IJR1" s="3"/>
      <c r="IJS1" s="3"/>
      <c r="IJT1" s="3"/>
      <c r="IJU1" s="3"/>
      <c r="IJV1" s="3"/>
      <c r="IJW1" s="3"/>
      <c r="IJX1" s="3"/>
      <c r="IJY1" s="3"/>
      <c r="IJZ1" s="3"/>
      <c r="IKA1" s="3"/>
      <c r="IKB1" s="3"/>
      <c r="IKC1" s="3"/>
      <c r="IKD1" s="3"/>
      <c r="IKE1" s="3"/>
      <c r="IKF1" s="3"/>
      <c r="IKG1" s="3"/>
      <c r="IKH1" s="3"/>
      <c r="IKI1" s="3"/>
      <c r="IKJ1" s="3"/>
      <c r="IKK1" s="3"/>
      <c r="IKL1" s="3"/>
      <c r="IKM1" s="3"/>
      <c r="IKN1" s="3"/>
      <c r="IKO1" s="3"/>
      <c r="IKP1" s="3"/>
      <c r="IKQ1" s="3"/>
      <c r="IKR1" s="3"/>
      <c r="IKS1" s="3"/>
      <c r="IKT1" s="3"/>
      <c r="IKU1" s="3"/>
      <c r="IKV1" s="3"/>
      <c r="IKW1" s="3"/>
      <c r="IKX1" s="3"/>
      <c r="IKY1" s="3"/>
      <c r="IKZ1" s="3"/>
      <c r="ILA1" s="3"/>
      <c r="ILB1" s="3"/>
      <c r="ILC1" s="3"/>
      <c r="ILD1" s="3"/>
      <c r="ILE1" s="3"/>
      <c r="ILF1" s="3"/>
      <c r="ILG1" s="3"/>
      <c r="ILH1" s="3"/>
      <c r="ILI1" s="3"/>
      <c r="ILJ1" s="3"/>
      <c r="ILK1" s="3"/>
      <c r="ILL1" s="3"/>
      <c r="ILM1" s="3"/>
      <c r="ILN1" s="3"/>
      <c r="ILO1" s="3"/>
      <c r="ILP1" s="3"/>
      <c r="ILQ1" s="3"/>
      <c r="ILR1" s="3"/>
      <c r="ILS1" s="3"/>
      <c r="ILT1" s="3"/>
      <c r="ILU1" s="3"/>
      <c r="ILV1" s="3"/>
      <c r="ILW1" s="3"/>
      <c r="ILX1" s="3"/>
      <c r="ILY1" s="3"/>
      <c r="ILZ1" s="3"/>
      <c r="IMA1" s="3"/>
      <c r="IMB1" s="3"/>
      <c r="IMC1" s="3"/>
      <c r="IMD1" s="3"/>
      <c r="IME1" s="3"/>
      <c r="IMF1" s="3"/>
      <c r="IMG1" s="3"/>
      <c r="IMH1" s="3"/>
      <c r="IMI1" s="3"/>
      <c r="IMJ1" s="3"/>
      <c r="IMK1" s="3"/>
      <c r="IML1" s="3"/>
      <c r="IMM1" s="3"/>
      <c r="IMN1" s="3"/>
      <c r="IMO1" s="3"/>
      <c r="IMP1" s="3"/>
      <c r="IMQ1" s="3"/>
      <c r="IMR1" s="3"/>
      <c r="IMS1" s="3"/>
      <c r="IMT1" s="3"/>
      <c r="IMU1" s="3"/>
      <c r="IMV1" s="3"/>
      <c r="IMW1" s="3"/>
      <c r="IMX1" s="3"/>
      <c r="IMY1" s="3"/>
      <c r="IMZ1" s="3"/>
      <c r="INA1" s="3"/>
      <c r="INB1" s="3"/>
      <c r="INC1" s="3"/>
      <c r="IND1" s="3"/>
      <c r="INE1" s="3"/>
      <c r="INF1" s="3"/>
      <c r="ING1" s="3"/>
      <c r="INH1" s="3"/>
      <c r="INI1" s="3"/>
      <c r="INJ1" s="3"/>
      <c r="INK1" s="3"/>
      <c r="INL1" s="3"/>
      <c r="INM1" s="3"/>
      <c r="INN1" s="3"/>
      <c r="INO1" s="3"/>
      <c r="INP1" s="3"/>
      <c r="INQ1" s="3"/>
      <c r="INR1" s="3"/>
      <c r="INS1" s="3"/>
      <c r="INT1" s="3"/>
      <c r="INU1" s="3"/>
      <c r="INV1" s="3"/>
      <c r="INW1" s="3"/>
      <c r="INX1" s="3"/>
      <c r="INY1" s="3"/>
      <c r="INZ1" s="3"/>
      <c r="IOA1" s="3"/>
      <c r="IOB1" s="3"/>
      <c r="IOC1" s="3"/>
      <c r="IOD1" s="3"/>
      <c r="IOE1" s="3"/>
      <c r="IOF1" s="3"/>
      <c r="IOG1" s="3"/>
      <c r="IOH1" s="3"/>
      <c r="IOI1" s="3"/>
      <c r="IOJ1" s="3"/>
      <c r="IOK1" s="3"/>
      <c r="IOL1" s="3"/>
      <c r="IOM1" s="3"/>
      <c r="ION1" s="3"/>
      <c r="IOO1" s="3"/>
      <c r="IOP1" s="3"/>
      <c r="IOQ1" s="3"/>
      <c r="IOR1" s="3"/>
      <c r="IOS1" s="3"/>
      <c r="IOT1" s="3"/>
      <c r="IOU1" s="3"/>
      <c r="IOV1" s="3"/>
      <c r="IOW1" s="3"/>
      <c r="IOX1" s="3"/>
      <c r="IOY1" s="3"/>
      <c r="IOZ1" s="3"/>
      <c r="IPA1" s="3"/>
      <c r="IPB1" s="3"/>
      <c r="IPC1" s="3"/>
      <c r="IPD1" s="3"/>
      <c r="IPE1" s="3"/>
      <c r="IPF1" s="3"/>
      <c r="IPG1" s="3"/>
      <c r="IPH1" s="3"/>
      <c r="IPI1" s="3"/>
      <c r="IPJ1" s="3"/>
      <c r="IPK1" s="3"/>
      <c r="IPL1" s="3"/>
      <c r="IPM1" s="3"/>
      <c r="IPN1" s="3"/>
      <c r="IPO1" s="3"/>
      <c r="IPP1" s="3"/>
      <c r="IPQ1" s="3"/>
      <c r="IPR1" s="3"/>
      <c r="IPS1" s="3"/>
      <c r="IPT1" s="3"/>
      <c r="IPU1" s="3"/>
      <c r="IPV1" s="3"/>
      <c r="IPW1" s="3"/>
      <c r="IPX1" s="3"/>
      <c r="IPY1" s="3"/>
      <c r="IPZ1" s="3"/>
      <c r="IQA1" s="3"/>
      <c r="IQB1" s="3"/>
      <c r="IQC1" s="3"/>
      <c r="IQD1" s="3"/>
      <c r="IQE1" s="3"/>
      <c r="IQF1" s="3"/>
      <c r="IQG1" s="3"/>
      <c r="IQH1" s="3"/>
      <c r="IQI1" s="3"/>
      <c r="IQJ1" s="3"/>
      <c r="IQK1" s="3"/>
      <c r="IQL1" s="3"/>
      <c r="IQM1" s="3"/>
      <c r="IQN1" s="3"/>
      <c r="IQO1" s="3"/>
      <c r="IQP1" s="3"/>
      <c r="IQQ1" s="3"/>
      <c r="IQR1" s="3"/>
      <c r="IQS1" s="3"/>
      <c r="IQT1" s="3"/>
      <c r="IQU1" s="3"/>
      <c r="IQV1" s="3"/>
      <c r="IQW1" s="3"/>
      <c r="IQX1" s="3"/>
      <c r="IQY1" s="3"/>
      <c r="IQZ1" s="3"/>
      <c r="IRA1" s="3"/>
      <c r="IRB1" s="3"/>
      <c r="IRC1" s="3"/>
      <c r="IRD1" s="3"/>
      <c r="IRE1" s="3"/>
      <c r="IRF1" s="3"/>
      <c r="IRG1" s="3"/>
      <c r="IRH1" s="3"/>
      <c r="IRI1" s="3"/>
      <c r="IRJ1" s="3"/>
      <c r="IRK1" s="3"/>
      <c r="IRL1" s="3"/>
      <c r="IRM1" s="3"/>
      <c r="IRN1" s="3"/>
      <c r="IRO1" s="3"/>
      <c r="IRP1" s="3"/>
      <c r="IRQ1" s="3"/>
      <c r="IRR1" s="3"/>
      <c r="IRS1" s="3"/>
      <c r="IRT1" s="3"/>
      <c r="IRU1" s="3"/>
      <c r="IRV1" s="3"/>
      <c r="IRW1" s="3"/>
      <c r="IRX1" s="3"/>
      <c r="IRY1" s="3"/>
      <c r="IRZ1" s="3"/>
      <c r="ISA1" s="3"/>
      <c r="ISB1" s="3"/>
      <c r="ISC1" s="3"/>
      <c r="ISD1" s="3"/>
      <c r="ISE1" s="3"/>
      <c r="ISF1" s="3"/>
      <c r="ISG1" s="3"/>
      <c r="ISH1" s="3"/>
      <c r="ISI1" s="3"/>
      <c r="ISJ1" s="3"/>
      <c r="ISK1" s="3"/>
      <c r="ISL1" s="3"/>
      <c r="ISM1" s="3"/>
      <c r="ISN1" s="3"/>
      <c r="ISO1" s="3"/>
      <c r="ISP1" s="3"/>
      <c r="ISQ1" s="3"/>
      <c r="ISR1" s="3"/>
      <c r="ISS1" s="3"/>
      <c r="IST1" s="3"/>
      <c r="ISU1" s="3"/>
      <c r="ISV1" s="3"/>
      <c r="ISW1" s="3"/>
      <c r="ISX1" s="3"/>
      <c r="ISY1" s="3"/>
      <c r="ISZ1" s="3"/>
      <c r="ITA1" s="3"/>
      <c r="ITB1" s="3"/>
      <c r="ITC1" s="3"/>
      <c r="ITD1" s="3"/>
      <c r="ITE1" s="3"/>
      <c r="ITF1" s="3"/>
      <c r="ITG1" s="3"/>
      <c r="ITH1" s="3"/>
      <c r="ITI1" s="3"/>
      <c r="ITJ1" s="3"/>
      <c r="ITK1" s="3"/>
      <c r="ITL1" s="3"/>
      <c r="ITM1" s="3"/>
      <c r="ITN1" s="3"/>
      <c r="ITO1" s="3"/>
      <c r="ITP1" s="3"/>
      <c r="ITQ1" s="3"/>
      <c r="ITR1" s="3"/>
      <c r="ITS1" s="3"/>
      <c r="ITT1" s="3"/>
      <c r="ITU1" s="3"/>
      <c r="ITV1" s="3"/>
      <c r="ITW1" s="3"/>
      <c r="ITX1" s="3"/>
      <c r="ITY1" s="3"/>
      <c r="ITZ1" s="3"/>
      <c r="IUA1" s="3"/>
      <c r="IUB1" s="3"/>
      <c r="IUC1" s="3"/>
      <c r="IUD1" s="3"/>
      <c r="IUE1" s="3"/>
      <c r="IUF1" s="3"/>
      <c r="IUG1" s="3"/>
      <c r="IUH1" s="3"/>
      <c r="IUI1" s="3"/>
      <c r="IUJ1" s="3"/>
      <c r="IUK1" s="3"/>
      <c r="IUL1" s="3"/>
      <c r="IUM1" s="3"/>
      <c r="IUN1" s="3"/>
      <c r="IUO1" s="3"/>
      <c r="IUP1" s="3"/>
      <c r="IUQ1" s="3"/>
      <c r="IUR1" s="3"/>
      <c r="IUS1" s="3"/>
      <c r="IUT1" s="3"/>
      <c r="IUU1" s="3"/>
      <c r="IUV1" s="3"/>
      <c r="IUW1" s="3"/>
      <c r="IUX1" s="3"/>
      <c r="IUY1" s="3"/>
      <c r="IUZ1" s="3"/>
      <c r="IVA1" s="3"/>
      <c r="IVB1" s="3"/>
      <c r="IVC1" s="3"/>
      <c r="IVD1" s="3"/>
      <c r="IVE1" s="3"/>
      <c r="IVF1" s="3"/>
      <c r="IVG1" s="3"/>
      <c r="IVH1" s="3"/>
      <c r="IVI1" s="3"/>
      <c r="IVJ1" s="3"/>
      <c r="IVK1" s="3"/>
      <c r="IVL1" s="3"/>
      <c r="IVM1" s="3"/>
      <c r="IVN1" s="3"/>
      <c r="IVO1" s="3"/>
      <c r="IVP1" s="3"/>
      <c r="IVQ1" s="3"/>
      <c r="IVR1" s="3"/>
      <c r="IVS1" s="3"/>
      <c r="IVT1" s="3"/>
      <c r="IVU1" s="3"/>
      <c r="IVV1" s="3"/>
      <c r="IVW1" s="3"/>
      <c r="IVX1" s="3"/>
      <c r="IVY1" s="3"/>
      <c r="IVZ1" s="3"/>
      <c r="IWA1" s="3"/>
      <c r="IWB1" s="3"/>
      <c r="IWC1" s="3"/>
      <c r="IWD1" s="3"/>
      <c r="IWE1" s="3"/>
      <c r="IWF1" s="3"/>
      <c r="IWG1" s="3"/>
      <c r="IWH1" s="3"/>
      <c r="IWI1" s="3"/>
      <c r="IWJ1" s="3"/>
      <c r="IWK1" s="3"/>
      <c r="IWL1" s="3"/>
      <c r="IWM1" s="3"/>
      <c r="IWN1" s="3"/>
      <c r="IWO1" s="3"/>
      <c r="IWP1" s="3"/>
      <c r="IWQ1" s="3"/>
      <c r="IWR1" s="3"/>
      <c r="IWS1" s="3"/>
      <c r="IWT1" s="3"/>
      <c r="IWU1" s="3"/>
      <c r="IWV1" s="3"/>
      <c r="IWW1" s="3"/>
      <c r="IWX1" s="3"/>
      <c r="IWY1" s="3"/>
      <c r="IWZ1" s="3"/>
      <c r="IXA1" s="3"/>
      <c r="IXB1" s="3"/>
      <c r="IXC1" s="3"/>
      <c r="IXD1" s="3"/>
      <c r="IXE1" s="3"/>
      <c r="IXF1" s="3"/>
      <c r="IXG1" s="3"/>
      <c r="IXH1" s="3"/>
      <c r="IXI1" s="3"/>
      <c r="IXJ1" s="3"/>
      <c r="IXK1" s="3"/>
      <c r="IXL1" s="3"/>
      <c r="IXM1" s="3"/>
      <c r="IXN1" s="3"/>
      <c r="IXO1" s="3"/>
      <c r="IXP1" s="3"/>
      <c r="IXQ1" s="3"/>
      <c r="IXR1" s="3"/>
      <c r="IXS1" s="3"/>
      <c r="IXT1" s="3"/>
      <c r="IXU1" s="3"/>
      <c r="IXV1" s="3"/>
      <c r="IXW1" s="3"/>
      <c r="IXX1" s="3"/>
      <c r="IXY1" s="3"/>
      <c r="IXZ1" s="3"/>
      <c r="IYA1" s="3"/>
      <c r="IYB1" s="3"/>
      <c r="IYC1" s="3"/>
      <c r="IYD1" s="3"/>
      <c r="IYE1" s="3"/>
      <c r="IYF1" s="3"/>
      <c r="IYG1" s="3"/>
      <c r="IYH1" s="3"/>
      <c r="IYI1" s="3"/>
      <c r="IYJ1" s="3"/>
      <c r="IYK1" s="3"/>
      <c r="IYL1" s="3"/>
      <c r="IYM1" s="3"/>
      <c r="IYN1" s="3"/>
      <c r="IYO1" s="3"/>
      <c r="IYP1" s="3"/>
      <c r="IYQ1" s="3"/>
      <c r="IYR1" s="3"/>
      <c r="IYS1" s="3"/>
      <c r="IYT1" s="3"/>
      <c r="IYU1" s="3"/>
      <c r="IYV1" s="3"/>
      <c r="IYW1" s="3"/>
      <c r="IYX1" s="3"/>
      <c r="IYY1" s="3"/>
      <c r="IYZ1" s="3"/>
      <c r="IZA1" s="3"/>
      <c r="IZB1" s="3"/>
      <c r="IZC1" s="3"/>
      <c r="IZD1" s="3"/>
      <c r="IZE1" s="3"/>
      <c r="IZF1" s="3"/>
      <c r="IZG1" s="3"/>
      <c r="IZH1" s="3"/>
      <c r="IZI1" s="3"/>
      <c r="IZJ1" s="3"/>
      <c r="IZK1" s="3"/>
      <c r="IZL1" s="3"/>
      <c r="IZM1" s="3"/>
      <c r="IZN1" s="3"/>
      <c r="IZO1" s="3"/>
      <c r="IZP1" s="3"/>
      <c r="IZQ1" s="3"/>
      <c r="IZR1" s="3"/>
      <c r="IZS1" s="3"/>
      <c r="IZT1" s="3"/>
      <c r="IZU1" s="3"/>
      <c r="IZV1" s="3"/>
      <c r="IZW1" s="3"/>
      <c r="IZX1" s="3"/>
      <c r="IZY1" s="3"/>
      <c r="IZZ1" s="3"/>
      <c r="JAA1" s="3"/>
      <c r="JAB1" s="3"/>
      <c r="JAC1" s="3"/>
      <c r="JAD1" s="3"/>
      <c r="JAE1" s="3"/>
      <c r="JAF1" s="3"/>
      <c r="JAG1" s="3"/>
      <c r="JAH1" s="3"/>
      <c r="JAI1" s="3"/>
      <c r="JAJ1" s="3"/>
      <c r="JAK1" s="3"/>
      <c r="JAL1" s="3"/>
      <c r="JAM1" s="3"/>
      <c r="JAN1" s="3"/>
      <c r="JAO1" s="3"/>
      <c r="JAP1" s="3"/>
      <c r="JAQ1" s="3"/>
      <c r="JAR1" s="3"/>
      <c r="JAS1" s="3"/>
      <c r="JAT1" s="3"/>
      <c r="JAU1" s="3"/>
      <c r="JAV1" s="3"/>
      <c r="JAW1" s="3"/>
      <c r="JAX1" s="3"/>
      <c r="JAY1" s="3"/>
      <c r="JAZ1" s="3"/>
      <c r="JBA1" s="3"/>
      <c r="JBB1" s="3"/>
      <c r="JBC1" s="3"/>
      <c r="JBD1" s="3"/>
      <c r="JBE1" s="3"/>
      <c r="JBF1" s="3"/>
      <c r="JBG1" s="3"/>
      <c r="JBH1" s="3"/>
      <c r="JBI1" s="3"/>
      <c r="JBJ1" s="3"/>
      <c r="JBK1" s="3"/>
      <c r="JBL1" s="3"/>
      <c r="JBM1" s="3"/>
      <c r="JBN1" s="3"/>
      <c r="JBO1" s="3"/>
      <c r="JBP1" s="3"/>
      <c r="JBQ1" s="3"/>
      <c r="JBR1" s="3"/>
      <c r="JBS1" s="3"/>
      <c r="JBT1" s="3"/>
      <c r="JBU1" s="3"/>
      <c r="JBV1" s="3"/>
      <c r="JBW1" s="3"/>
      <c r="JBX1" s="3"/>
      <c r="JBY1" s="3"/>
      <c r="JBZ1" s="3"/>
      <c r="JCA1" s="3"/>
      <c r="JCB1" s="3"/>
      <c r="JCC1" s="3"/>
      <c r="JCD1" s="3"/>
      <c r="JCE1" s="3"/>
      <c r="JCF1" s="3"/>
      <c r="JCG1" s="3"/>
      <c r="JCH1" s="3"/>
      <c r="JCI1" s="3"/>
      <c r="JCJ1" s="3"/>
      <c r="JCK1" s="3"/>
      <c r="JCL1" s="3"/>
      <c r="JCM1" s="3"/>
      <c r="JCN1" s="3"/>
      <c r="JCO1" s="3"/>
      <c r="JCP1" s="3"/>
      <c r="JCQ1" s="3"/>
      <c r="JCR1" s="3"/>
      <c r="JCS1" s="3"/>
      <c r="JCT1" s="3"/>
      <c r="JCU1" s="3"/>
      <c r="JCV1" s="3"/>
      <c r="JCW1" s="3"/>
      <c r="JCX1" s="3"/>
      <c r="JCY1" s="3"/>
      <c r="JCZ1" s="3"/>
      <c r="JDA1" s="3"/>
      <c r="JDB1" s="3"/>
      <c r="JDC1" s="3"/>
      <c r="JDD1" s="3"/>
      <c r="JDE1" s="3"/>
      <c r="JDF1" s="3"/>
      <c r="JDG1" s="3"/>
      <c r="JDH1" s="3"/>
      <c r="JDI1" s="3"/>
      <c r="JDJ1" s="3"/>
      <c r="JDK1" s="3"/>
      <c r="JDL1" s="3"/>
      <c r="JDM1" s="3"/>
      <c r="JDN1" s="3"/>
      <c r="JDO1" s="3"/>
      <c r="JDP1" s="3"/>
      <c r="JDQ1" s="3"/>
      <c r="JDR1" s="3"/>
      <c r="JDS1" s="3"/>
      <c r="JDT1" s="3"/>
      <c r="JDU1" s="3"/>
      <c r="JDV1" s="3"/>
      <c r="JDW1" s="3"/>
      <c r="JDX1" s="3"/>
      <c r="JDY1" s="3"/>
      <c r="JDZ1" s="3"/>
      <c r="JEA1" s="3"/>
      <c r="JEB1" s="3"/>
      <c r="JEC1" s="3"/>
      <c r="JED1" s="3"/>
      <c r="JEE1" s="3"/>
      <c r="JEF1" s="3"/>
      <c r="JEG1" s="3"/>
      <c r="JEH1" s="3"/>
      <c r="JEI1" s="3"/>
      <c r="JEJ1" s="3"/>
      <c r="JEK1" s="3"/>
      <c r="JEL1" s="3"/>
      <c r="JEM1" s="3"/>
      <c r="JEN1" s="3"/>
      <c r="JEO1" s="3"/>
      <c r="JEP1" s="3"/>
      <c r="JEQ1" s="3"/>
      <c r="JER1" s="3"/>
      <c r="JES1" s="3"/>
      <c r="JET1" s="3"/>
      <c r="JEU1" s="3"/>
      <c r="JEV1" s="3"/>
      <c r="JEW1" s="3"/>
      <c r="JEX1" s="3"/>
      <c r="JEY1" s="3"/>
      <c r="JEZ1" s="3"/>
      <c r="JFA1" s="3"/>
      <c r="JFB1" s="3"/>
      <c r="JFC1" s="3"/>
      <c r="JFD1" s="3"/>
      <c r="JFE1" s="3"/>
      <c r="JFF1" s="3"/>
      <c r="JFG1" s="3"/>
      <c r="JFH1" s="3"/>
      <c r="JFI1" s="3"/>
      <c r="JFJ1" s="3"/>
      <c r="JFK1" s="3"/>
      <c r="JFL1" s="3"/>
      <c r="JFM1" s="3"/>
      <c r="JFN1" s="3"/>
      <c r="JFO1" s="3"/>
      <c r="JFP1" s="3"/>
      <c r="JFQ1" s="3"/>
      <c r="JFR1" s="3"/>
      <c r="JFS1" s="3"/>
      <c r="JFT1" s="3"/>
      <c r="JFU1" s="3"/>
      <c r="JFV1" s="3"/>
      <c r="JFW1" s="3"/>
      <c r="JFX1" s="3"/>
      <c r="JFY1" s="3"/>
      <c r="JFZ1" s="3"/>
      <c r="JGA1" s="3"/>
      <c r="JGB1" s="3"/>
      <c r="JGC1" s="3"/>
      <c r="JGD1" s="3"/>
      <c r="JGE1" s="3"/>
      <c r="JGF1" s="3"/>
      <c r="JGG1" s="3"/>
      <c r="JGH1" s="3"/>
      <c r="JGI1" s="3"/>
      <c r="JGJ1" s="3"/>
      <c r="JGK1" s="3"/>
      <c r="JGL1" s="3"/>
      <c r="JGM1" s="3"/>
      <c r="JGN1" s="3"/>
      <c r="JGO1" s="3"/>
      <c r="JGP1" s="3"/>
      <c r="JGQ1" s="3"/>
      <c r="JGR1" s="3"/>
      <c r="JGS1" s="3"/>
      <c r="JGT1" s="3"/>
      <c r="JGU1" s="3"/>
      <c r="JGV1" s="3"/>
      <c r="JGW1" s="3"/>
      <c r="JGX1" s="3"/>
      <c r="JGY1" s="3"/>
      <c r="JGZ1" s="3"/>
      <c r="JHA1" s="3"/>
      <c r="JHB1" s="3"/>
      <c r="JHC1" s="3"/>
      <c r="JHD1" s="3"/>
      <c r="JHE1" s="3"/>
      <c r="JHF1" s="3"/>
      <c r="JHG1" s="3"/>
      <c r="JHH1" s="3"/>
      <c r="JHI1" s="3"/>
      <c r="JHJ1" s="3"/>
      <c r="JHK1" s="3"/>
      <c r="JHL1" s="3"/>
      <c r="JHM1" s="3"/>
      <c r="JHN1" s="3"/>
      <c r="JHO1" s="3"/>
      <c r="JHP1" s="3"/>
      <c r="JHQ1" s="3"/>
      <c r="JHR1" s="3"/>
      <c r="JHS1" s="3"/>
      <c r="JHT1" s="3"/>
      <c r="JHU1" s="3"/>
      <c r="JHV1" s="3"/>
      <c r="JHW1" s="3"/>
      <c r="JHX1" s="3"/>
      <c r="JHY1" s="3"/>
      <c r="JHZ1" s="3"/>
      <c r="JIA1" s="3"/>
      <c r="JIB1" s="3"/>
      <c r="JIC1" s="3"/>
      <c r="JID1" s="3"/>
      <c r="JIE1" s="3"/>
      <c r="JIF1" s="3"/>
      <c r="JIG1" s="3"/>
      <c r="JIH1" s="3"/>
      <c r="JII1" s="3"/>
      <c r="JIJ1" s="3"/>
      <c r="JIK1" s="3"/>
      <c r="JIL1" s="3"/>
      <c r="JIM1" s="3"/>
      <c r="JIN1" s="3"/>
      <c r="JIO1" s="3"/>
      <c r="JIP1" s="3"/>
      <c r="JIQ1" s="3"/>
      <c r="JIR1" s="3"/>
      <c r="JIS1" s="3"/>
      <c r="JIT1" s="3"/>
      <c r="JIU1" s="3"/>
      <c r="JIV1" s="3"/>
      <c r="JIW1" s="3"/>
      <c r="JIX1" s="3"/>
      <c r="JIY1" s="3"/>
      <c r="JIZ1" s="3"/>
      <c r="JJA1" s="3"/>
      <c r="JJB1" s="3"/>
      <c r="JJC1" s="3"/>
      <c r="JJD1" s="3"/>
      <c r="JJE1" s="3"/>
      <c r="JJF1" s="3"/>
      <c r="JJG1" s="3"/>
      <c r="JJH1" s="3"/>
      <c r="JJI1" s="3"/>
      <c r="JJJ1" s="3"/>
      <c r="JJK1" s="3"/>
      <c r="JJL1" s="3"/>
      <c r="JJM1" s="3"/>
      <c r="JJN1" s="3"/>
      <c r="JJO1" s="3"/>
      <c r="JJP1" s="3"/>
      <c r="JJQ1" s="3"/>
      <c r="JJR1" s="3"/>
      <c r="JJS1" s="3"/>
      <c r="JJT1" s="3"/>
      <c r="JJU1" s="3"/>
      <c r="JJV1" s="3"/>
      <c r="JJW1" s="3"/>
      <c r="JJX1" s="3"/>
      <c r="JJY1" s="3"/>
      <c r="JJZ1" s="3"/>
      <c r="JKA1" s="3"/>
      <c r="JKB1" s="3"/>
      <c r="JKC1" s="3"/>
      <c r="JKD1" s="3"/>
      <c r="JKE1" s="3"/>
      <c r="JKF1" s="3"/>
      <c r="JKG1" s="3"/>
      <c r="JKH1" s="3"/>
      <c r="JKI1" s="3"/>
      <c r="JKJ1" s="3"/>
      <c r="JKK1" s="3"/>
      <c r="JKL1" s="3"/>
      <c r="JKM1" s="3"/>
      <c r="JKN1" s="3"/>
      <c r="JKO1" s="3"/>
      <c r="JKP1" s="3"/>
      <c r="JKQ1" s="3"/>
      <c r="JKR1" s="3"/>
      <c r="JKS1" s="3"/>
      <c r="JKT1" s="3"/>
      <c r="JKU1" s="3"/>
      <c r="JKV1" s="3"/>
      <c r="JKW1" s="3"/>
      <c r="JKX1" s="3"/>
      <c r="JKY1" s="3"/>
      <c r="JKZ1" s="3"/>
      <c r="JLA1" s="3"/>
      <c r="JLB1" s="3"/>
      <c r="JLC1" s="3"/>
      <c r="JLD1" s="3"/>
      <c r="JLE1" s="3"/>
      <c r="JLF1" s="3"/>
      <c r="JLG1" s="3"/>
      <c r="JLH1" s="3"/>
      <c r="JLI1" s="3"/>
      <c r="JLJ1" s="3"/>
      <c r="JLK1" s="3"/>
      <c r="JLL1" s="3"/>
      <c r="JLM1" s="3"/>
      <c r="JLN1" s="3"/>
      <c r="JLO1" s="3"/>
      <c r="JLP1" s="3"/>
      <c r="JLQ1" s="3"/>
      <c r="JLR1" s="3"/>
      <c r="JLS1" s="3"/>
      <c r="JLT1" s="3"/>
      <c r="JLU1" s="3"/>
      <c r="JLV1" s="3"/>
      <c r="JLW1" s="3"/>
      <c r="JLX1" s="3"/>
      <c r="JLY1" s="3"/>
      <c r="JLZ1" s="3"/>
      <c r="JMA1" s="3"/>
      <c r="JMB1" s="3"/>
      <c r="JMC1" s="3"/>
      <c r="JMD1" s="3"/>
      <c r="JME1" s="3"/>
      <c r="JMF1" s="3"/>
      <c r="JMG1" s="3"/>
      <c r="JMH1" s="3"/>
      <c r="JMI1" s="3"/>
      <c r="JMJ1" s="3"/>
      <c r="JMK1" s="3"/>
      <c r="JML1" s="3"/>
      <c r="JMM1" s="3"/>
      <c r="JMN1" s="3"/>
      <c r="JMO1" s="3"/>
      <c r="JMP1" s="3"/>
      <c r="JMQ1" s="3"/>
      <c r="JMR1" s="3"/>
      <c r="JMS1" s="3"/>
      <c r="JMT1" s="3"/>
      <c r="JMU1" s="3"/>
      <c r="JMV1" s="3"/>
      <c r="JMW1" s="3"/>
      <c r="JMX1" s="3"/>
      <c r="JMY1" s="3"/>
      <c r="JMZ1" s="3"/>
      <c r="JNA1" s="3"/>
      <c r="JNB1" s="3"/>
      <c r="JNC1" s="3"/>
      <c r="JND1" s="3"/>
      <c r="JNE1" s="3"/>
      <c r="JNF1" s="3"/>
      <c r="JNG1" s="3"/>
      <c r="JNH1" s="3"/>
      <c r="JNI1" s="3"/>
      <c r="JNJ1" s="3"/>
      <c r="JNK1" s="3"/>
      <c r="JNL1" s="3"/>
      <c r="JNM1" s="3"/>
      <c r="JNN1" s="3"/>
      <c r="JNO1" s="3"/>
      <c r="JNP1" s="3"/>
      <c r="JNQ1" s="3"/>
      <c r="JNR1" s="3"/>
      <c r="JNS1" s="3"/>
      <c r="JNT1" s="3"/>
      <c r="JNU1" s="3"/>
      <c r="JNV1" s="3"/>
      <c r="JNW1" s="3"/>
      <c r="JNX1" s="3"/>
      <c r="JNY1" s="3"/>
      <c r="JNZ1" s="3"/>
      <c r="JOA1" s="3"/>
      <c r="JOB1" s="3"/>
      <c r="JOC1" s="3"/>
      <c r="JOD1" s="3"/>
      <c r="JOE1" s="3"/>
      <c r="JOF1" s="3"/>
      <c r="JOG1" s="3"/>
      <c r="JOH1" s="3"/>
      <c r="JOI1" s="3"/>
      <c r="JOJ1" s="3"/>
      <c r="JOK1" s="3"/>
      <c r="JOL1" s="3"/>
      <c r="JOM1" s="3"/>
      <c r="JON1" s="3"/>
      <c r="JOO1" s="3"/>
      <c r="JOP1" s="3"/>
      <c r="JOQ1" s="3"/>
      <c r="JOR1" s="3"/>
      <c r="JOS1" s="3"/>
      <c r="JOT1" s="3"/>
      <c r="JOU1" s="3"/>
      <c r="JOV1" s="3"/>
      <c r="JOW1" s="3"/>
      <c r="JOX1" s="3"/>
      <c r="JOY1" s="3"/>
      <c r="JOZ1" s="3"/>
      <c r="JPA1" s="3"/>
      <c r="JPB1" s="3"/>
      <c r="JPC1" s="3"/>
      <c r="JPD1" s="3"/>
      <c r="JPE1" s="3"/>
      <c r="JPF1" s="3"/>
      <c r="JPG1" s="3"/>
      <c r="JPH1" s="3"/>
      <c r="JPI1" s="3"/>
      <c r="JPJ1" s="3"/>
      <c r="JPK1" s="3"/>
      <c r="JPL1" s="3"/>
      <c r="JPM1" s="3"/>
      <c r="JPN1" s="3"/>
      <c r="JPO1" s="3"/>
      <c r="JPP1" s="3"/>
      <c r="JPQ1" s="3"/>
      <c r="JPR1" s="3"/>
      <c r="JPS1" s="3"/>
      <c r="JPT1" s="3"/>
      <c r="JPU1" s="3"/>
      <c r="JPV1" s="3"/>
      <c r="JPW1" s="3"/>
      <c r="JPX1" s="3"/>
      <c r="JPY1" s="3"/>
      <c r="JPZ1" s="3"/>
      <c r="JQA1" s="3"/>
      <c r="JQB1" s="3"/>
      <c r="JQC1" s="3"/>
      <c r="JQD1" s="3"/>
      <c r="JQE1" s="3"/>
      <c r="JQF1" s="3"/>
      <c r="JQG1" s="3"/>
      <c r="JQH1" s="3"/>
      <c r="JQI1" s="3"/>
      <c r="JQJ1" s="3"/>
      <c r="JQK1" s="3"/>
      <c r="JQL1" s="3"/>
      <c r="JQM1" s="3"/>
      <c r="JQN1" s="3"/>
      <c r="JQO1" s="3"/>
      <c r="JQP1" s="3"/>
      <c r="JQQ1" s="3"/>
      <c r="JQR1" s="3"/>
      <c r="JQS1" s="3"/>
      <c r="JQT1" s="3"/>
      <c r="JQU1" s="3"/>
      <c r="JQV1" s="3"/>
      <c r="JQW1" s="3"/>
      <c r="JQX1" s="3"/>
      <c r="JQY1" s="3"/>
      <c r="JQZ1" s="3"/>
      <c r="JRA1" s="3"/>
      <c r="JRB1" s="3"/>
      <c r="JRC1" s="3"/>
      <c r="JRD1" s="3"/>
      <c r="JRE1" s="3"/>
      <c r="JRF1" s="3"/>
      <c r="JRG1" s="3"/>
      <c r="JRH1" s="3"/>
      <c r="JRI1" s="3"/>
      <c r="JRJ1" s="3"/>
      <c r="JRK1" s="3"/>
      <c r="JRL1" s="3"/>
      <c r="JRM1" s="3"/>
      <c r="JRN1" s="3"/>
      <c r="JRO1" s="3"/>
      <c r="JRP1" s="3"/>
      <c r="JRQ1" s="3"/>
      <c r="JRR1" s="3"/>
      <c r="JRS1" s="3"/>
      <c r="JRT1" s="3"/>
      <c r="JRU1" s="3"/>
      <c r="JRV1" s="3"/>
      <c r="JRW1" s="3"/>
      <c r="JRX1" s="3"/>
      <c r="JRY1" s="3"/>
      <c r="JRZ1" s="3"/>
      <c r="JSA1" s="3"/>
      <c r="JSB1" s="3"/>
      <c r="JSC1" s="3"/>
      <c r="JSD1" s="3"/>
      <c r="JSE1" s="3"/>
      <c r="JSF1" s="3"/>
      <c r="JSG1" s="3"/>
      <c r="JSH1" s="3"/>
      <c r="JSI1" s="3"/>
      <c r="JSJ1" s="3"/>
      <c r="JSK1" s="3"/>
      <c r="JSL1" s="3"/>
      <c r="JSM1" s="3"/>
      <c r="JSN1" s="3"/>
      <c r="JSO1" s="3"/>
      <c r="JSP1" s="3"/>
      <c r="JSQ1" s="3"/>
      <c r="JSR1" s="3"/>
      <c r="JSS1" s="3"/>
      <c r="JST1" s="3"/>
      <c r="JSU1" s="3"/>
      <c r="JSV1" s="3"/>
      <c r="JSW1" s="3"/>
      <c r="JSX1" s="3"/>
      <c r="JSY1" s="3"/>
      <c r="JSZ1" s="3"/>
      <c r="JTA1" s="3"/>
      <c r="JTB1" s="3"/>
      <c r="JTC1" s="3"/>
      <c r="JTD1" s="3"/>
      <c r="JTE1" s="3"/>
      <c r="JTF1" s="3"/>
      <c r="JTG1" s="3"/>
      <c r="JTH1" s="3"/>
      <c r="JTI1" s="3"/>
      <c r="JTJ1" s="3"/>
      <c r="JTK1" s="3"/>
      <c r="JTL1" s="3"/>
      <c r="JTM1" s="3"/>
      <c r="JTN1" s="3"/>
      <c r="JTO1" s="3"/>
      <c r="JTP1" s="3"/>
      <c r="JTQ1" s="3"/>
      <c r="JTR1" s="3"/>
      <c r="JTS1" s="3"/>
      <c r="JTT1" s="3"/>
      <c r="JTU1" s="3"/>
      <c r="JTV1" s="3"/>
      <c r="JTW1" s="3"/>
      <c r="JTX1" s="3"/>
      <c r="JTY1" s="3"/>
      <c r="JTZ1" s="3"/>
      <c r="JUA1" s="3"/>
      <c r="JUB1" s="3"/>
      <c r="JUC1" s="3"/>
      <c r="JUD1" s="3"/>
      <c r="JUE1" s="3"/>
      <c r="JUF1" s="3"/>
      <c r="JUG1" s="3"/>
      <c r="JUH1" s="3"/>
      <c r="JUI1" s="3"/>
      <c r="JUJ1" s="3"/>
      <c r="JUK1" s="3"/>
      <c r="JUL1" s="3"/>
      <c r="JUM1" s="3"/>
      <c r="JUN1" s="3"/>
      <c r="JUO1" s="3"/>
      <c r="JUP1" s="3"/>
      <c r="JUQ1" s="3"/>
      <c r="JUR1" s="3"/>
      <c r="JUS1" s="3"/>
      <c r="JUT1" s="3"/>
      <c r="JUU1" s="3"/>
      <c r="JUV1" s="3"/>
      <c r="JUW1" s="3"/>
      <c r="JUX1" s="3"/>
      <c r="JUY1" s="3"/>
      <c r="JUZ1" s="3"/>
      <c r="JVA1" s="3"/>
      <c r="JVB1" s="3"/>
      <c r="JVC1" s="3"/>
      <c r="JVD1" s="3"/>
      <c r="JVE1" s="3"/>
      <c r="JVF1" s="3"/>
      <c r="JVG1" s="3"/>
      <c r="JVH1" s="3"/>
      <c r="JVI1" s="3"/>
      <c r="JVJ1" s="3"/>
      <c r="JVK1" s="3"/>
      <c r="JVL1" s="3"/>
      <c r="JVM1" s="3"/>
      <c r="JVN1" s="3"/>
      <c r="JVO1" s="3"/>
      <c r="JVP1" s="3"/>
      <c r="JVQ1" s="3"/>
      <c r="JVR1" s="3"/>
      <c r="JVS1" s="3"/>
      <c r="JVT1" s="3"/>
      <c r="JVU1" s="3"/>
      <c r="JVV1" s="3"/>
      <c r="JVW1" s="3"/>
      <c r="JVX1" s="3"/>
      <c r="JVY1" s="3"/>
      <c r="JVZ1" s="3"/>
      <c r="JWA1" s="3"/>
      <c r="JWB1" s="3"/>
      <c r="JWC1" s="3"/>
      <c r="JWD1" s="3"/>
      <c r="JWE1" s="3"/>
      <c r="JWF1" s="3"/>
      <c r="JWG1" s="3"/>
      <c r="JWH1" s="3"/>
      <c r="JWI1" s="3"/>
      <c r="JWJ1" s="3"/>
      <c r="JWK1" s="3"/>
      <c r="JWL1" s="3"/>
      <c r="JWM1" s="3"/>
      <c r="JWN1" s="3"/>
      <c r="JWO1" s="3"/>
      <c r="JWP1" s="3"/>
      <c r="JWQ1" s="3"/>
      <c r="JWR1" s="3"/>
      <c r="JWS1" s="3"/>
      <c r="JWT1" s="3"/>
      <c r="JWU1" s="3"/>
      <c r="JWV1" s="3"/>
      <c r="JWW1" s="3"/>
      <c r="JWX1" s="3"/>
      <c r="JWY1" s="3"/>
      <c r="JWZ1" s="3"/>
      <c r="JXA1" s="3"/>
      <c r="JXB1" s="3"/>
      <c r="JXC1" s="3"/>
      <c r="JXD1" s="3"/>
      <c r="JXE1" s="3"/>
      <c r="JXF1" s="3"/>
      <c r="JXG1" s="3"/>
      <c r="JXH1" s="3"/>
      <c r="JXI1" s="3"/>
      <c r="JXJ1" s="3"/>
      <c r="JXK1" s="3"/>
      <c r="JXL1" s="3"/>
      <c r="JXM1" s="3"/>
      <c r="JXN1" s="3"/>
      <c r="JXO1" s="3"/>
      <c r="JXP1" s="3"/>
      <c r="JXQ1" s="3"/>
      <c r="JXR1" s="3"/>
      <c r="JXS1" s="3"/>
      <c r="JXT1" s="3"/>
      <c r="JXU1" s="3"/>
      <c r="JXV1" s="3"/>
      <c r="JXW1" s="3"/>
      <c r="JXX1" s="3"/>
      <c r="JXY1" s="3"/>
      <c r="JXZ1" s="3"/>
      <c r="JYA1" s="3"/>
      <c r="JYB1" s="3"/>
      <c r="JYC1" s="3"/>
      <c r="JYD1" s="3"/>
      <c r="JYE1" s="3"/>
      <c r="JYF1" s="3"/>
      <c r="JYG1" s="3"/>
      <c r="JYH1" s="3"/>
      <c r="JYI1" s="3"/>
      <c r="JYJ1" s="3"/>
      <c r="JYK1" s="3"/>
      <c r="JYL1" s="3"/>
      <c r="JYM1" s="3"/>
      <c r="JYN1" s="3"/>
      <c r="JYO1" s="3"/>
      <c r="JYP1" s="3"/>
      <c r="JYQ1" s="3"/>
      <c r="JYR1" s="3"/>
      <c r="JYS1" s="3"/>
      <c r="JYT1" s="3"/>
      <c r="JYU1" s="3"/>
      <c r="JYV1" s="3"/>
      <c r="JYW1" s="3"/>
      <c r="JYX1" s="3"/>
      <c r="JYY1" s="3"/>
      <c r="JYZ1" s="3"/>
      <c r="JZA1" s="3"/>
      <c r="JZB1" s="3"/>
      <c r="JZC1" s="3"/>
      <c r="JZD1" s="3"/>
      <c r="JZE1" s="3"/>
      <c r="JZF1" s="3"/>
      <c r="JZG1" s="3"/>
      <c r="JZH1" s="3"/>
      <c r="JZI1" s="3"/>
      <c r="JZJ1" s="3"/>
      <c r="JZK1" s="3"/>
      <c r="JZL1" s="3"/>
      <c r="JZM1" s="3"/>
      <c r="JZN1" s="3"/>
      <c r="JZO1" s="3"/>
      <c r="JZP1" s="3"/>
      <c r="JZQ1" s="3"/>
      <c r="JZR1" s="3"/>
      <c r="JZS1" s="3"/>
      <c r="JZT1" s="3"/>
      <c r="JZU1" s="3"/>
      <c r="JZV1" s="3"/>
      <c r="JZW1" s="3"/>
      <c r="JZX1" s="3"/>
      <c r="JZY1" s="3"/>
      <c r="JZZ1" s="3"/>
      <c r="KAA1" s="3"/>
      <c r="KAB1" s="3"/>
      <c r="KAC1" s="3"/>
      <c r="KAD1" s="3"/>
      <c r="KAE1" s="3"/>
      <c r="KAF1" s="3"/>
      <c r="KAG1" s="3"/>
      <c r="KAH1" s="3"/>
      <c r="KAI1" s="3"/>
      <c r="KAJ1" s="3"/>
      <c r="KAK1" s="3"/>
      <c r="KAL1" s="3"/>
      <c r="KAM1" s="3"/>
      <c r="KAN1" s="3"/>
      <c r="KAO1" s="3"/>
      <c r="KAP1" s="3"/>
      <c r="KAQ1" s="3"/>
      <c r="KAR1" s="3"/>
      <c r="KAS1" s="3"/>
      <c r="KAT1" s="3"/>
      <c r="KAU1" s="3"/>
      <c r="KAV1" s="3"/>
      <c r="KAW1" s="3"/>
      <c r="KAX1" s="3"/>
      <c r="KAY1" s="3"/>
      <c r="KAZ1" s="3"/>
      <c r="KBA1" s="3"/>
      <c r="KBB1" s="3"/>
      <c r="KBC1" s="3"/>
      <c r="KBD1" s="3"/>
      <c r="KBE1" s="3"/>
      <c r="KBF1" s="3"/>
      <c r="KBG1" s="3"/>
      <c r="KBH1" s="3"/>
      <c r="KBI1" s="3"/>
      <c r="KBJ1" s="3"/>
      <c r="KBK1" s="3"/>
      <c r="KBL1" s="3"/>
      <c r="KBM1" s="3"/>
      <c r="KBN1" s="3"/>
      <c r="KBO1" s="3"/>
      <c r="KBP1" s="3"/>
      <c r="KBQ1" s="3"/>
      <c r="KBR1" s="3"/>
      <c r="KBS1" s="3"/>
      <c r="KBT1" s="3"/>
      <c r="KBU1" s="3"/>
      <c r="KBV1" s="3"/>
      <c r="KBW1" s="3"/>
      <c r="KBX1" s="3"/>
      <c r="KBY1" s="3"/>
      <c r="KBZ1" s="3"/>
      <c r="KCA1" s="3"/>
      <c r="KCB1" s="3"/>
      <c r="KCC1" s="3"/>
      <c r="KCD1" s="3"/>
      <c r="KCE1" s="3"/>
      <c r="KCF1" s="3"/>
      <c r="KCG1" s="3"/>
      <c r="KCH1" s="3"/>
      <c r="KCI1" s="3"/>
      <c r="KCJ1" s="3"/>
      <c r="KCK1" s="3"/>
      <c r="KCL1" s="3"/>
      <c r="KCM1" s="3"/>
      <c r="KCN1" s="3"/>
      <c r="KCO1" s="3"/>
      <c r="KCP1" s="3"/>
      <c r="KCQ1" s="3"/>
      <c r="KCR1" s="3"/>
      <c r="KCS1" s="3"/>
      <c r="KCT1" s="3"/>
      <c r="KCU1" s="3"/>
      <c r="KCV1" s="3"/>
      <c r="KCW1" s="3"/>
      <c r="KCX1" s="3"/>
      <c r="KCY1" s="3"/>
      <c r="KCZ1" s="3"/>
      <c r="KDA1" s="3"/>
      <c r="KDB1" s="3"/>
      <c r="KDC1" s="3"/>
      <c r="KDD1" s="3"/>
      <c r="KDE1" s="3"/>
      <c r="KDF1" s="3"/>
      <c r="KDG1" s="3"/>
      <c r="KDH1" s="3"/>
      <c r="KDI1" s="3"/>
      <c r="KDJ1" s="3"/>
      <c r="KDK1" s="3"/>
      <c r="KDL1" s="3"/>
      <c r="KDM1" s="3"/>
      <c r="KDN1" s="3"/>
      <c r="KDO1" s="3"/>
      <c r="KDP1" s="3"/>
      <c r="KDQ1" s="3"/>
      <c r="KDR1" s="3"/>
      <c r="KDS1" s="3"/>
      <c r="KDT1" s="3"/>
      <c r="KDU1" s="3"/>
      <c r="KDV1" s="3"/>
      <c r="KDW1" s="3"/>
      <c r="KDX1" s="3"/>
      <c r="KDY1" s="3"/>
      <c r="KDZ1" s="3"/>
      <c r="KEA1" s="3"/>
      <c r="KEB1" s="3"/>
      <c r="KEC1" s="3"/>
      <c r="KED1" s="3"/>
      <c r="KEE1" s="3"/>
      <c r="KEF1" s="3"/>
      <c r="KEG1" s="3"/>
      <c r="KEH1" s="3"/>
      <c r="KEI1" s="3"/>
      <c r="KEJ1" s="3"/>
      <c r="KEK1" s="3"/>
      <c r="KEL1" s="3"/>
      <c r="KEM1" s="3"/>
      <c r="KEN1" s="3"/>
      <c r="KEO1" s="3"/>
      <c r="KEP1" s="3"/>
      <c r="KEQ1" s="3"/>
      <c r="KER1" s="3"/>
      <c r="KES1" s="3"/>
      <c r="KET1" s="3"/>
      <c r="KEU1" s="3"/>
      <c r="KEV1" s="3"/>
      <c r="KEW1" s="3"/>
      <c r="KEX1" s="3"/>
      <c r="KEY1" s="3"/>
      <c r="KEZ1" s="3"/>
      <c r="KFA1" s="3"/>
      <c r="KFB1" s="3"/>
      <c r="KFC1" s="3"/>
      <c r="KFD1" s="3"/>
      <c r="KFE1" s="3"/>
      <c r="KFF1" s="3"/>
      <c r="KFG1" s="3"/>
      <c r="KFH1" s="3"/>
      <c r="KFI1" s="3"/>
      <c r="KFJ1" s="3"/>
      <c r="KFK1" s="3"/>
      <c r="KFL1" s="3"/>
      <c r="KFM1" s="3"/>
      <c r="KFN1" s="3"/>
      <c r="KFO1" s="3"/>
      <c r="KFP1" s="3"/>
      <c r="KFQ1" s="3"/>
      <c r="KFR1" s="3"/>
      <c r="KFS1" s="3"/>
      <c r="KFT1" s="3"/>
      <c r="KFU1" s="3"/>
      <c r="KFV1" s="3"/>
      <c r="KFW1" s="3"/>
      <c r="KFX1" s="3"/>
      <c r="KFY1" s="3"/>
      <c r="KFZ1" s="3"/>
      <c r="KGA1" s="3"/>
      <c r="KGB1" s="3"/>
      <c r="KGC1" s="3"/>
      <c r="KGD1" s="3"/>
      <c r="KGE1" s="3"/>
      <c r="KGF1" s="3"/>
      <c r="KGG1" s="3"/>
      <c r="KGH1" s="3"/>
      <c r="KGI1" s="3"/>
      <c r="KGJ1" s="3"/>
      <c r="KGK1" s="3"/>
      <c r="KGL1" s="3"/>
      <c r="KGM1" s="3"/>
      <c r="KGN1" s="3"/>
      <c r="KGO1" s="3"/>
      <c r="KGP1" s="3"/>
      <c r="KGQ1" s="3"/>
      <c r="KGR1" s="3"/>
      <c r="KGS1" s="3"/>
      <c r="KGT1" s="3"/>
      <c r="KGU1" s="3"/>
      <c r="KGV1" s="3"/>
      <c r="KGW1" s="3"/>
      <c r="KGX1" s="3"/>
      <c r="KGY1" s="3"/>
      <c r="KGZ1" s="3"/>
      <c r="KHA1" s="3"/>
      <c r="KHB1" s="3"/>
      <c r="KHC1" s="3"/>
      <c r="KHD1" s="3"/>
      <c r="KHE1" s="3"/>
      <c r="KHF1" s="3"/>
      <c r="KHG1" s="3"/>
      <c r="KHH1" s="3"/>
      <c r="KHI1" s="3"/>
      <c r="KHJ1" s="3"/>
      <c r="KHK1" s="3"/>
      <c r="KHL1" s="3"/>
      <c r="KHM1" s="3"/>
      <c r="KHN1" s="3"/>
      <c r="KHO1" s="3"/>
      <c r="KHP1" s="3"/>
      <c r="KHQ1" s="3"/>
      <c r="KHR1" s="3"/>
      <c r="KHS1" s="3"/>
      <c r="KHT1" s="3"/>
      <c r="KHU1" s="3"/>
      <c r="KHV1" s="3"/>
      <c r="KHW1" s="3"/>
      <c r="KHX1" s="3"/>
      <c r="KHY1" s="3"/>
      <c r="KHZ1" s="3"/>
      <c r="KIA1" s="3"/>
      <c r="KIB1" s="3"/>
      <c r="KIC1" s="3"/>
      <c r="KID1" s="3"/>
      <c r="KIE1" s="3"/>
      <c r="KIF1" s="3"/>
      <c r="KIG1" s="3"/>
      <c r="KIH1" s="3"/>
      <c r="KII1" s="3"/>
      <c r="KIJ1" s="3"/>
      <c r="KIK1" s="3"/>
      <c r="KIL1" s="3"/>
      <c r="KIM1" s="3"/>
      <c r="KIN1" s="3"/>
      <c r="KIO1" s="3"/>
      <c r="KIP1" s="3"/>
      <c r="KIQ1" s="3"/>
      <c r="KIR1" s="3"/>
      <c r="KIS1" s="3"/>
      <c r="KIT1" s="3"/>
      <c r="KIU1" s="3"/>
      <c r="KIV1" s="3"/>
      <c r="KIW1" s="3"/>
      <c r="KIX1" s="3"/>
      <c r="KIY1" s="3"/>
      <c r="KIZ1" s="3"/>
      <c r="KJA1" s="3"/>
      <c r="KJB1" s="3"/>
      <c r="KJC1" s="3"/>
      <c r="KJD1" s="3"/>
      <c r="KJE1" s="3"/>
      <c r="KJF1" s="3"/>
      <c r="KJG1" s="3"/>
      <c r="KJH1" s="3"/>
      <c r="KJI1" s="3"/>
      <c r="KJJ1" s="3"/>
      <c r="KJK1" s="3"/>
      <c r="KJL1" s="3"/>
      <c r="KJM1" s="3"/>
      <c r="KJN1" s="3"/>
      <c r="KJO1" s="3"/>
      <c r="KJP1" s="3"/>
      <c r="KJQ1" s="3"/>
      <c r="KJR1" s="3"/>
      <c r="KJS1" s="3"/>
      <c r="KJT1" s="3"/>
      <c r="KJU1" s="3"/>
      <c r="KJV1" s="3"/>
      <c r="KJW1" s="3"/>
      <c r="KJX1" s="3"/>
      <c r="KJY1" s="3"/>
      <c r="KJZ1" s="3"/>
      <c r="KKA1" s="3"/>
      <c r="KKB1" s="3"/>
      <c r="KKC1" s="3"/>
      <c r="KKD1" s="3"/>
      <c r="KKE1" s="3"/>
      <c r="KKF1" s="3"/>
      <c r="KKG1" s="3"/>
      <c r="KKH1" s="3"/>
      <c r="KKI1" s="3"/>
      <c r="KKJ1" s="3"/>
      <c r="KKK1" s="3"/>
      <c r="KKL1" s="3"/>
      <c r="KKM1" s="3"/>
      <c r="KKN1" s="3"/>
      <c r="KKO1" s="3"/>
      <c r="KKP1" s="3"/>
      <c r="KKQ1" s="3"/>
      <c r="KKR1" s="3"/>
      <c r="KKS1" s="3"/>
      <c r="KKT1" s="3"/>
      <c r="KKU1" s="3"/>
      <c r="KKV1" s="3"/>
      <c r="KKW1" s="3"/>
      <c r="KKX1" s="3"/>
      <c r="KKY1" s="3"/>
      <c r="KKZ1" s="3"/>
      <c r="KLA1" s="3"/>
      <c r="KLB1" s="3"/>
      <c r="KLC1" s="3"/>
      <c r="KLD1" s="3"/>
      <c r="KLE1" s="3"/>
      <c r="KLF1" s="3"/>
      <c r="KLG1" s="3"/>
      <c r="KLH1" s="3"/>
      <c r="KLI1" s="3"/>
      <c r="KLJ1" s="3"/>
      <c r="KLK1" s="3"/>
      <c r="KLL1" s="3"/>
      <c r="KLM1" s="3"/>
      <c r="KLN1" s="3"/>
      <c r="KLO1" s="3"/>
      <c r="KLP1" s="3"/>
      <c r="KLQ1" s="3"/>
      <c r="KLR1" s="3"/>
      <c r="KLS1" s="3"/>
      <c r="KLT1" s="3"/>
      <c r="KLU1" s="3"/>
      <c r="KLV1" s="3"/>
      <c r="KLW1" s="3"/>
      <c r="KLX1" s="3"/>
      <c r="KLY1" s="3"/>
      <c r="KLZ1" s="3"/>
      <c r="KMA1" s="3"/>
      <c r="KMB1" s="3"/>
      <c r="KMC1" s="3"/>
      <c r="KMD1" s="3"/>
      <c r="KME1" s="3"/>
      <c r="KMF1" s="3"/>
      <c r="KMG1" s="3"/>
      <c r="KMH1" s="3"/>
      <c r="KMI1" s="3"/>
      <c r="KMJ1" s="3"/>
      <c r="KMK1" s="3"/>
      <c r="KML1" s="3"/>
      <c r="KMM1" s="3"/>
      <c r="KMN1" s="3"/>
      <c r="KMO1" s="3"/>
      <c r="KMP1" s="3"/>
      <c r="KMQ1" s="3"/>
      <c r="KMR1" s="3"/>
      <c r="KMS1" s="3"/>
      <c r="KMT1" s="3"/>
      <c r="KMU1" s="3"/>
      <c r="KMV1" s="3"/>
      <c r="KMW1" s="3"/>
      <c r="KMX1" s="3"/>
      <c r="KMY1" s="3"/>
      <c r="KMZ1" s="3"/>
      <c r="KNA1" s="3"/>
      <c r="KNB1" s="3"/>
      <c r="KNC1" s="3"/>
      <c r="KND1" s="3"/>
      <c r="KNE1" s="3"/>
      <c r="KNF1" s="3"/>
      <c r="KNG1" s="3"/>
      <c r="KNH1" s="3"/>
      <c r="KNI1" s="3"/>
      <c r="KNJ1" s="3"/>
      <c r="KNK1" s="3"/>
      <c r="KNL1" s="3"/>
      <c r="KNM1" s="3"/>
      <c r="KNN1" s="3"/>
      <c r="KNO1" s="3"/>
      <c r="KNP1" s="3"/>
      <c r="KNQ1" s="3"/>
      <c r="KNR1" s="3"/>
      <c r="KNS1" s="3"/>
      <c r="KNT1" s="3"/>
      <c r="KNU1" s="3"/>
      <c r="KNV1" s="3"/>
      <c r="KNW1" s="3"/>
      <c r="KNX1" s="3"/>
      <c r="KNY1" s="3"/>
      <c r="KNZ1" s="3"/>
      <c r="KOA1" s="3"/>
      <c r="KOB1" s="3"/>
      <c r="KOC1" s="3"/>
      <c r="KOD1" s="3"/>
      <c r="KOE1" s="3"/>
      <c r="KOF1" s="3"/>
      <c r="KOG1" s="3"/>
      <c r="KOH1" s="3"/>
      <c r="KOI1" s="3"/>
      <c r="KOJ1" s="3"/>
      <c r="KOK1" s="3"/>
      <c r="KOL1" s="3"/>
      <c r="KOM1" s="3"/>
      <c r="KON1" s="3"/>
      <c r="KOO1" s="3"/>
      <c r="KOP1" s="3"/>
      <c r="KOQ1" s="3"/>
      <c r="KOR1" s="3"/>
      <c r="KOS1" s="3"/>
      <c r="KOT1" s="3"/>
      <c r="KOU1" s="3"/>
      <c r="KOV1" s="3"/>
      <c r="KOW1" s="3"/>
      <c r="KOX1" s="3"/>
      <c r="KOY1" s="3"/>
      <c r="KOZ1" s="3"/>
      <c r="KPA1" s="3"/>
      <c r="KPB1" s="3"/>
      <c r="KPC1" s="3"/>
      <c r="KPD1" s="3"/>
      <c r="KPE1" s="3"/>
      <c r="KPF1" s="3"/>
      <c r="KPG1" s="3"/>
      <c r="KPH1" s="3"/>
      <c r="KPI1" s="3"/>
      <c r="KPJ1" s="3"/>
      <c r="KPK1" s="3"/>
      <c r="KPL1" s="3"/>
      <c r="KPM1" s="3"/>
      <c r="KPN1" s="3"/>
      <c r="KPO1" s="3"/>
      <c r="KPP1" s="3"/>
      <c r="KPQ1" s="3"/>
      <c r="KPR1" s="3"/>
      <c r="KPS1" s="3"/>
      <c r="KPT1" s="3"/>
      <c r="KPU1" s="3"/>
      <c r="KPV1" s="3"/>
      <c r="KPW1" s="3"/>
      <c r="KPX1" s="3"/>
      <c r="KPY1" s="3"/>
      <c r="KPZ1" s="3"/>
      <c r="KQA1" s="3"/>
      <c r="KQB1" s="3"/>
      <c r="KQC1" s="3"/>
      <c r="KQD1" s="3"/>
      <c r="KQE1" s="3"/>
      <c r="KQF1" s="3"/>
      <c r="KQG1" s="3"/>
      <c r="KQH1" s="3"/>
      <c r="KQI1" s="3"/>
      <c r="KQJ1" s="3"/>
      <c r="KQK1" s="3"/>
      <c r="KQL1" s="3"/>
      <c r="KQM1" s="3"/>
      <c r="KQN1" s="3"/>
      <c r="KQO1" s="3"/>
      <c r="KQP1" s="3"/>
      <c r="KQQ1" s="3"/>
      <c r="KQR1" s="3"/>
      <c r="KQS1" s="3"/>
      <c r="KQT1" s="3"/>
      <c r="KQU1" s="3"/>
      <c r="KQV1" s="3"/>
      <c r="KQW1" s="3"/>
      <c r="KQX1" s="3"/>
      <c r="KQY1" s="3"/>
      <c r="KQZ1" s="3"/>
      <c r="KRA1" s="3"/>
      <c r="KRB1" s="3"/>
      <c r="KRC1" s="3"/>
      <c r="KRD1" s="3"/>
      <c r="KRE1" s="3"/>
      <c r="KRF1" s="3"/>
      <c r="KRG1" s="3"/>
      <c r="KRH1" s="3"/>
      <c r="KRI1" s="3"/>
      <c r="KRJ1" s="3"/>
      <c r="KRK1" s="3"/>
      <c r="KRL1" s="3"/>
      <c r="KRM1" s="3"/>
      <c r="KRN1" s="3"/>
      <c r="KRO1" s="3"/>
      <c r="KRP1" s="3"/>
      <c r="KRQ1" s="3"/>
      <c r="KRR1" s="3"/>
      <c r="KRS1" s="3"/>
      <c r="KRT1" s="3"/>
      <c r="KRU1" s="3"/>
      <c r="KRV1" s="3"/>
      <c r="KRW1" s="3"/>
      <c r="KRX1" s="3"/>
      <c r="KRY1" s="3"/>
      <c r="KRZ1" s="3"/>
      <c r="KSA1" s="3"/>
      <c r="KSB1" s="3"/>
      <c r="KSC1" s="3"/>
      <c r="KSD1" s="3"/>
      <c r="KSE1" s="3"/>
      <c r="KSF1" s="3"/>
      <c r="KSG1" s="3"/>
      <c r="KSH1" s="3"/>
      <c r="KSI1" s="3"/>
      <c r="KSJ1" s="3"/>
      <c r="KSK1" s="3"/>
      <c r="KSL1" s="3"/>
      <c r="KSM1" s="3"/>
      <c r="KSN1" s="3"/>
      <c r="KSO1" s="3"/>
      <c r="KSP1" s="3"/>
      <c r="KSQ1" s="3"/>
      <c r="KSR1" s="3"/>
      <c r="KSS1" s="3"/>
      <c r="KST1" s="3"/>
      <c r="KSU1" s="3"/>
      <c r="KSV1" s="3"/>
      <c r="KSW1" s="3"/>
      <c r="KSX1" s="3"/>
      <c r="KSY1" s="3"/>
      <c r="KSZ1" s="3"/>
      <c r="KTA1" s="3"/>
      <c r="KTB1" s="3"/>
      <c r="KTC1" s="3"/>
      <c r="KTD1" s="3"/>
      <c r="KTE1" s="3"/>
      <c r="KTF1" s="3"/>
      <c r="KTG1" s="3"/>
      <c r="KTH1" s="3"/>
      <c r="KTI1" s="3"/>
      <c r="KTJ1" s="3"/>
      <c r="KTK1" s="3"/>
      <c r="KTL1" s="3"/>
      <c r="KTM1" s="3"/>
      <c r="KTN1" s="3"/>
      <c r="KTO1" s="3"/>
      <c r="KTP1" s="3"/>
      <c r="KTQ1" s="3"/>
      <c r="KTR1" s="3"/>
      <c r="KTS1" s="3"/>
      <c r="KTT1" s="3"/>
      <c r="KTU1" s="3"/>
      <c r="KTV1" s="3"/>
      <c r="KTW1" s="3"/>
      <c r="KTX1" s="3"/>
      <c r="KTY1" s="3"/>
      <c r="KTZ1" s="3"/>
      <c r="KUA1" s="3"/>
      <c r="KUB1" s="3"/>
      <c r="KUC1" s="3"/>
      <c r="KUD1" s="3"/>
      <c r="KUE1" s="3"/>
      <c r="KUF1" s="3"/>
      <c r="KUG1" s="3"/>
      <c r="KUH1" s="3"/>
      <c r="KUI1" s="3"/>
      <c r="KUJ1" s="3"/>
      <c r="KUK1" s="3"/>
      <c r="KUL1" s="3"/>
      <c r="KUM1" s="3"/>
      <c r="KUN1" s="3"/>
      <c r="KUO1" s="3"/>
      <c r="KUP1" s="3"/>
      <c r="KUQ1" s="3"/>
      <c r="KUR1" s="3"/>
      <c r="KUS1" s="3"/>
      <c r="KUT1" s="3"/>
      <c r="KUU1" s="3"/>
      <c r="KUV1" s="3"/>
      <c r="KUW1" s="3"/>
      <c r="KUX1" s="3"/>
      <c r="KUY1" s="3"/>
      <c r="KUZ1" s="3"/>
      <c r="KVA1" s="3"/>
      <c r="KVB1" s="3"/>
      <c r="KVC1" s="3"/>
      <c r="KVD1" s="3"/>
      <c r="KVE1" s="3"/>
      <c r="KVF1" s="3"/>
      <c r="KVG1" s="3"/>
      <c r="KVH1" s="3"/>
      <c r="KVI1" s="3"/>
      <c r="KVJ1" s="3"/>
      <c r="KVK1" s="3"/>
      <c r="KVL1" s="3"/>
      <c r="KVM1" s="3"/>
      <c r="KVN1" s="3"/>
      <c r="KVO1" s="3"/>
      <c r="KVP1" s="3"/>
      <c r="KVQ1" s="3"/>
      <c r="KVR1" s="3"/>
      <c r="KVS1" s="3"/>
      <c r="KVT1" s="3"/>
      <c r="KVU1" s="3"/>
      <c r="KVV1" s="3"/>
      <c r="KVW1" s="3"/>
      <c r="KVX1" s="3"/>
      <c r="KVY1" s="3"/>
      <c r="KVZ1" s="3"/>
      <c r="KWA1" s="3"/>
      <c r="KWB1" s="3"/>
      <c r="KWC1" s="3"/>
      <c r="KWD1" s="3"/>
      <c r="KWE1" s="3"/>
      <c r="KWF1" s="3"/>
      <c r="KWG1" s="3"/>
      <c r="KWH1" s="3"/>
      <c r="KWI1" s="3"/>
      <c r="KWJ1" s="3"/>
      <c r="KWK1" s="3"/>
      <c r="KWL1" s="3"/>
      <c r="KWM1" s="3"/>
      <c r="KWN1" s="3"/>
      <c r="KWO1" s="3"/>
      <c r="KWP1" s="3"/>
      <c r="KWQ1" s="3"/>
      <c r="KWR1" s="3"/>
      <c r="KWS1" s="3"/>
      <c r="KWT1" s="3"/>
      <c r="KWU1" s="3"/>
      <c r="KWV1" s="3"/>
      <c r="KWW1" s="3"/>
      <c r="KWX1" s="3"/>
      <c r="KWY1" s="3"/>
      <c r="KWZ1" s="3"/>
      <c r="KXA1" s="3"/>
      <c r="KXB1" s="3"/>
      <c r="KXC1" s="3"/>
      <c r="KXD1" s="3"/>
      <c r="KXE1" s="3"/>
      <c r="KXF1" s="3"/>
      <c r="KXG1" s="3"/>
      <c r="KXH1" s="3"/>
      <c r="KXI1" s="3"/>
      <c r="KXJ1" s="3"/>
      <c r="KXK1" s="3"/>
      <c r="KXL1" s="3"/>
      <c r="KXM1" s="3"/>
      <c r="KXN1" s="3"/>
      <c r="KXO1" s="3"/>
      <c r="KXP1" s="3"/>
      <c r="KXQ1" s="3"/>
      <c r="KXR1" s="3"/>
      <c r="KXS1" s="3"/>
      <c r="KXT1" s="3"/>
      <c r="KXU1" s="3"/>
      <c r="KXV1" s="3"/>
      <c r="KXW1" s="3"/>
      <c r="KXX1" s="3"/>
      <c r="KXY1" s="3"/>
      <c r="KXZ1" s="3"/>
      <c r="KYA1" s="3"/>
      <c r="KYB1" s="3"/>
      <c r="KYC1" s="3"/>
      <c r="KYD1" s="3"/>
      <c r="KYE1" s="3"/>
      <c r="KYF1" s="3"/>
      <c r="KYG1" s="3"/>
      <c r="KYH1" s="3"/>
      <c r="KYI1" s="3"/>
      <c r="KYJ1" s="3"/>
      <c r="KYK1" s="3"/>
      <c r="KYL1" s="3"/>
      <c r="KYM1" s="3"/>
      <c r="KYN1" s="3"/>
      <c r="KYO1" s="3"/>
      <c r="KYP1" s="3"/>
      <c r="KYQ1" s="3"/>
      <c r="KYR1" s="3"/>
      <c r="KYS1" s="3"/>
      <c r="KYT1" s="3"/>
      <c r="KYU1" s="3"/>
      <c r="KYV1" s="3"/>
      <c r="KYW1" s="3"/>
      <c r="KYX1" s="3"/>
      <c r="KYY1" s="3"/>
      <c r="KYZ1" s="3"/>
      <c r="KZA1" s="3"/>
      <c r="KZB1" s="3"/>
      <c r="KZC1" s="3"/>
      <c r="KZD1" s="3"/>
      <c r="KZE1" s="3"/>
      <c r="KZF1" s="3"/>
      <c r="KZG1" s="3"/>
      <c r="KZH1" s="3"/>
      <c r="KZI1" s="3"/>
      <c r="KZJ1" s="3"/>
      <c r="KZK1" s="3"/>
      <c r="KZL1" s="3"/>
      <c r="KZM1" s="3"/>
      <c r="KZN1" s="3"/>
      <c r="KZO1" s="3"/>
      <c r="KZP1" s="3"/>
      <c r="KZQ1" s="3"/>
      <c r="KZR1" s="3"/>
      <c r="KZS1" s="3"/>
      <c r="KZT1" s="3"/>
      <c r="KZU1" s="3"/>
      <c r="KZV1" s="3"/>
      <c r="KZW1" s="3"/>
      <c r="KZX1" s="3"/>
      <c r="KZY1" s="3"/>
      <c r="KZZ1" s="3"/>
      <c r="LAA1" s="3"/>
      <c r="LAB1" s="3"/>
      <c r="LAC1" s="3"/>
      <c r="LAD1" s="3"/>
      <c r="LAE1" s="3"/>
      <c r="LAF1" s="3"/>
      <c r="LAG1" s="3"/>
      <c r="LAH1" s="3"/>
      <c r="LAI1" s="3"/>
      <c r="LAJ1" s="3"/>
      <c r="LAK1" s="3"/>
      <c r="LAL1" s="3"/>
      <c r="LAM1" s="3"/>
      <c r="LAN1" s="3"/>
      <c r="LAO1" s="3"/>
      <c r="LAP1" s="3"/>
      <c r="LAQ1" s="3"/>
      <c r="LAR1" s="3"/>
      <c r="LAS1" s="3"/>
      <c r="LAT1" s="3"/>
      <c r="LAU1" s="3"/>
      <c r="LAV1" s="3"/>
      <c r="LAW1" s="3"/>
      <c r="LAX1" s="3"/>
      <c r="LAY1" s="3"/>
      <c r="LAZ1" s="3"/>
      <c r="LBA1" s="3"/>
      <c r="LBB1" s="3"/>
      <c r="LBC1" s="3"/>
      <c r="LBD1" s="3"/>
      <c r="LBE1" s="3"/>
      <c r="LBF1" s="3"/>
      <c r="LBG1" s="3"/>
      <c r="LBH1" s="3"/>
      <c r="LBI1" s="3"/>
      <c r="LBJ1" s="3"/>
      <c r="LBK1" s="3"/>
      <c r="LBL1" s="3"/>
      <c r="LBM1" s="3"/>
      <c r="LBN1" s="3"/>
      <c r="LBO1" s="3"/>
      <c r="LBP1" s="3"/>
      <c r="LBQ1" s="3"/>
      <c r="LBR1" s="3"/>
      <c r="LBS1" s="3"/>
      <c r="LBT1" s="3"/>
      <c r="LBU1" s="3"/>
      <c r="LBV1" s="3"/>
      <c r="LBW1" s="3"/>
      <c r="LBX1" s="3"/>
      <c r="LBY1" s="3"/>
      <c r="LBZ1" s="3"/>
      <c r="LCA1" s="3"/>
      <c r="LCB1" s="3"/>
      <c r="LCC1" s="3"/>
      <c r="LCD1" s="3"/>
      <c r="LCE1" s="3"/>
      <c r="LCF1" s="3"/>
      <c r="LCG1" s="3"/>
      <c r="LCH1" s="3"/>
      <c r="LCI1" s="3"/>
      <c r="LCJ1" s="3"/>
      <c r="LCK1" s="3"/>
      <c r="LCL1" s="3"/>
      <c r="LCM1" s="3"/>
      <c r="LCN1" s="3"/>
      <c r="LCO1" s="3"/>
      <c r="LCP1" s="3"/>
      <c r="LCQ1" s="3"/>
      <c r="LCR1" s="3"/>
      <c r="LCS1" s="3"/>
      <c r="LCT1" s="3"/>
      <c r="LCU1" s="3"/>
      <c r="LCV1" s="3"/>
      <c r="LCW1" s="3"/>
      <c r="LCX1" s="3"/>
      <c r="LCY1" s="3"/>
      <c r="LCZ1" s="3"/>
      <c r="LDA1" s="3"/>
      <c r="LDB1" s="3"/>
      <c r="LDC1" s="3"/>
      <c r="LDD1" s="3"/>
      <c r="LDE1" s="3"/>
      <c r="LDF1" s="3"/>
      <c r="LDG1" s="3"/>
      <c r="LDH1" s="3"/>
      <c r="LDI1" s="3"/>
      <c r="LDJ1" s="3"/>
      <c r="LDK1" s="3"/>
      <c r="LDL1" s="3"/>
      <c r="LDM1" s="3"/>
      <c r="LDN1" s="3"/>
      <c r="LDO1" s="3"/>
      <c r="LDP1" s="3"/>
      <c r="LDQ1" s="3"/>
      <c r="LDR1" s="3"/>
      <c r="LDS1" s="3"/>
      <c r="LDT1" s="3"/>
      <c r="LDU1" s="3"/>
      <c r="LDV1" s="3"/>
      <c r="LDW1" s="3"/>
      <c r="LDX1" s="3"/>
      <c r="LDY1" s="3"/>
      <c r="LDZ1" s="3"/>
      <c r="LEA1" s="3"/>
      <c r="LEB1" s="3"/>
      <c r="LEC1" s="3"/>
      <c r="LED1" s="3"/>
      <c r="LEE1" s="3"/>
      <c r="LEF1" s="3"/>
      <c r="LEG1" s="3"/>
      <c r="LEH1" s="3"/>
      <c r="LEI1" s="3"/>
      <c r="LEJ1" s="3"/>
      <c r="LEK1" s="3"/>
      <c r="LEL1" s="3"/>
      <c r="LEM1" s="3"/>
      <c r="LEN1" s="3"/>
      <c r="LEO1" s="3"/>
      <c r="LEP1" s="3"/>
      <c r="LEQ1" s="3"/>
      <c r="LER1" s="3"/>
      <c r="LES1" s="3"/>
      <c r="LET1" s="3"/>
      <c r="LEU1" s="3"/>
      <c r="LEV1" s="3"/>
      <c r="LEW1" s="3"/>
      <c r="LEX1" s="3"/>
      <c r="LEY1" s="3"/>
      <c r="LEZ1" s="3"/>
      <c r="LFA1" s="3"/>
      <c r="LFB1" s="3"/>
      <c r="LFC1" s="3"/>
      <c r="LFD1" s="3"/>
      <c r="LFE1" s="3"/>
      <c r="LFF1" s="3"/>
      <c r="LFG1" s="3"/>
      <c r="LFH1" s="3"/>
      <c r="LFI1" s="3"/>
      <c r="LFJ1" s="3"/>
      <c r="LFK1" s="3"/>
      <c r="LFL1" s="3"/>
      <c r="LFM1" s="3"/>
      <c r="LFN1" s="3"/>
      <c r="LFO1" s="3"/>
      <c r="LFP1" s="3"/>
      <c r="LFQ1" s="3"/>
      <c r="LFR1" s="3"/>
      <c r="LFS1" s="3"/>
      <c r="LFT1" s="3"/>
      <c r="LFU1" s="3"/>
      <c r="LFV1" s="3"/>
      <c r="LFW1" s="3"/>
      <c r="LFX1" s="3"/>
      <c r="LFY1" s="3"/>
      <c r="LFZ1" s="3"/>
      <c r="LGA1" s="3"/>
      <c r="LGB1" s="3"/>
      <c r="LGC1" s="3"/>
      <c r="LGD1" s="3"/>
      <c r="LGE1" s="3"/>
      <c r="LGF1" s="3"/>
      <c r="LGG1" s="3"/>
      <c r="LGH1" s="3"/>
      <c r="LGI1" s="3"/>
      <c r="LGJ1" s="3"/>
      <c r="LGK1" s="3"/>
      <c r="LGL1" s="3"/>
      <c r="LGM1" s="3"/>
      <c r="LGN1" s="3"/>
      <c r="LGO1" s="3"/>
      <c r="LGP1" s="3"/>
      <c r="LGQ1" s="3"/>
      <c r="LGR1" s="3"/>
      <c r="LGS1" s="3"/>
      <c r="LGT1" s="3"/>
      <c r="LGU1" s="3"/>
      <c r="LGV1" s="3"/>
      <c r="LGW1" s="3"/>
      <c r="LGX1" s="3"/>
      <c r="LGY1" s="3"/>
      <c r="LGZ1" s="3"/>
      <c r="LHA1" s="3"/>
      <c r="LHB1" s="3"/>
      <c r="LHC1" s="3"/>
      <c r="LHD1" s="3"/>
      <c r="LHE1" s="3"/>
      <c r="LHF1" s="3"/>
      <c r="LHG1" s="3"/>
      <c r="LHH1" s="3"/>
      <c r="LHI1" s="3"/>
      <c r="LHJ1" s="3"/>
      <c r="LHK1" s="3"/>
      <c r="LHL1" s="3"/>
      <c r="LHM1" s="3"/>
      <c r="LHN1" s="3"/>
      <c r="LHO1" s="3"/>
      <c r="LHP1" s="3"/>
      <c r="LHQ1" s="3"/>
      <c r="LHR1" s="3"/>
      <c r="LHS1" s="3"/>
      <c r="LHT1" s="3"/>
      <c r="LHU1" s="3"/>
      <c r="LHV1" s="3"/>
      <c r="LHW1" s="3"/>
      <c r="LHX1" s="3"/>
      <c r="LHY1" s="3"/>
      <c r="LHZ1" s="3"/>
      <c r="LIA1" s="3"/>
      <c r="LIB1" s="3"/>
      <c r="LIC1" s="3"/>
      <c r="LID1" s="3"/>
      <c r="LIE1" s="3"/>
      <c r="LIF1" s="3"/>
      <c r="LIG1" s="3"/>
      <c r="LIH1" s="3"/>
      <c r="LII1" s="3"/>
      <c r="LIJ1" s="3"/>
      <c r="LIK1" s="3"/>
      <c r="LIL1" s="3"/>
      <c r="LIM1" s="3"/>
      <c r="LIN1" s="3"/>
      <c r="LIO1" s="3"/>
      <c r="LIP1" s="3"/>
      <c r="LIQ1" s="3"/>
      <c r="LIR1" s="3"/>
      <c r="LIS1" s="3"/>
      <c r="LIT1" s="3"/>
      <c r="LIU1" s="3"/>
      <c r="LIV1" s="3"/>
      <c r="LIW1" s="3"/>
      <c r="LIX1" s="3"/>
      <c r="LIY1" s="3"/>
      <c r="LIZ1" s="3"/>
      <c r="LJA1" s="3"/>
      <c r="LJB1" s="3"/>
      <c r="LJC1" s="3"/>
      <c r="LJD1" s="3"/>
      <c r="LJE1" s="3"/>
      <c r="LJF1" s="3"/>
      <c r="LJG1" s="3"/>
      <c r="LJH1" s="3"/>
      <c r="LJI1" s="3"/>
      <c r="LJJ1" s="3"/>
      <c r="LJK1" s="3"/>
      <c r="LJL1" s="3"/>
      <c r="LJM1" s="3"/>
      <c r="LJN1" s="3"/>
      <c r="LJO1" s="3"/>
      <c r="LJP1" s="3"/>
      <c r="LJQ1" s="3"/>
      <c r="LJR1" s="3"/>
      <c r="LJS1" s="3"/>
      <c r="LJT1" s="3"/>
      <c r="LJU1" s="3"/>
      <c r="LJV1" s="3"/>
      <c r="LJW1" s="3"/>
      <c r="LJX1" s="3"/>
      <c r="LJY1" s="3"/>
      <c r="LJZ1" s="3"/>
      <c r="LKA1" s="3"/>
      <c r="LKB1" s="3"/>
      <c r="LKC1" s="3"/>
      <c r="LKD1" s="3"/>
      <c r="LKE1" s="3"/>
      <c r="LKF1" s="3"/>
      <c r="LKG1" s="3"/>
      <c r="LKH1" s="3"/>
      <c r="LKI1" s="3"/>
      <c r="LKJ1" s="3"/>
      <c r="LKK1" s="3"/>
      <c r="LKL1" s="3"/>
      <c r="LKM1" s="3"/>
      <c r="LKN1" s="3"/>
      <c r="LKO1" s="3"/>
      <c r="LKP1" s="3"/>
      <c r="LKQ1" s="3"/>
      <c r="LKR1" s="3"/>
      <c r="LKS1" s="3"/>
      <c r="LKT1" s="3"/>
      <c r="LKU1" s="3"/>
      <c r="LKV1" s="3"/>
      <c r="LKW1" s="3"/>
      <c r="LKX1" s="3"/>
      <c r="LKY1" s="3"/>
      <c r="LKZ1" s="3"/>
      <c r="LLA1" s="3"/>
      <c r="LLB1" s="3"/>
      <c r="LLC1" s="3"/>
      <c r="LLD1" s="3"/>
      <c r="LLE1" s="3"/>
      <c r="LLF1" s="3"/>
      <c r="LLG1" s="3"/>
      <c r="LLH1" s="3"/>
      <c r="LLI1" s="3"/>
      <c r="LLJ1" s="3"/>
      <c r="LLK1" s="3"/>
      <c r="LLL1" s="3"/>
      <c r="LLM1" s="3"/>
      <c r="LLN1" s="3"/>
      <c r="LLO1" s="3"/>
      <c r="LLP1" s="3"/>
      <c r="LLQ1" s="3"/>
      <c r="LLR1" s="3"/>
      <c r="LLS1" s="3"/>
      <c r="LLT1" s="3"/>
      <c r="LLU1" s="3"/>
      <c r="LLV1" s="3"/>
      <c r="LLW1" s="3"/>
      <c r="LLX1" s="3"/>
      <c r="LLY1" s="3"/>
      <c r="LLZ1" s="3"/>
      <c r="LMA1" s="3"/>
      <c r="LMB1" s="3"/>
      <c r="LMC1" s="3"/>
      <c r="LMD1" s="3"/>
      <c r="LME1" s="3"/>
      <c r="LMF1" s="3"/>
      <c r="LMG1" s="3"/>
      <c r="LMH1" s="3"/>
      <c r="LMI1" s="3"/>
      <c r="LMJ1" s="3"/>
      <c r="LMK1" s="3"/>
      <c r="LML1" s="3"/>
      <c r="LMM1" s="3"/>
      <c r="LMN1" s="3"/>
      <c r="LMO1" s="3"/>
      <c r="LMP1" s="3"/>
      <c r="LMQ1" s="3"/>
      <c r="LMR1" s="3"/>
      <c r="LMS1" s="3"/>
      <c r="LMT1" s="3"/>
      <c r="LMU1" s="3"/>
      <c r="LMV1" s="3"/>
      <c r="LMW1" s="3"/>
      <c r="LMX1" s="3"/>
      <c r="LMY1" s="3"/>
      <c r="LMZ1" s="3"/>
      <c r="LNA1" s="3"/>
      <c r="LNB1" s="3"/>
      <c r="LNC1" s="3"/>
      <c r="LND1" s="3"/>
      <c r="LNE1" s="3"/>
      <c r="LNF1" s="3"/>
      <c r="LNG1" s="3"/>
      <c r="LNH1" s="3"/>
      <c r="LNI1" s="3"/>
      <c r="LNJ1" s="3"/>
      <c r="LNK1" s="3"/>
      <c r="LNL1" s="3"/>
      <c r="LNM1" s="3"/>
      <c r="LNN1" s="3"/>
      <c r="LNO1" s="3"/>
      <c r="LNP1" s="3"/>
      <c r="LNQ1" s="3"/>
      <c r="LNR1" s="3"/>
      <c r="LNS1" s="3"/>
      <c r="LNT1" s="3"/>
      <c r="LNU1" s="3"/>
      <c r="LNV1" s="3"/>
      <c r="LNW1" s="3"/>
      <c r="LNX1" s="3"/>
      <c r="LNY1" s="3"/>
      <c r="LNZ1" s="3"/>
      <c r="LOA1" s="3"/>
      <c r="LOB1" s="3"/>
      <c r="LOC1" s="3"/>
      <c r="LOD1" s="3"/>
      <c r="LOE1" s="3"/>
      <c r="LOF1" s="3"/>
      <c r="LOG1" s="3"/>
      <c r="LOH1" s="3"/>
      <c r="LOI1" s="3"/>
      <c r="LOJ1" s="3"/>
      <c r="LOK1" s="3"/>
      <c r="LOL1" s="3"/>
      <c r="LOM1" s="3"/>
      <c r="LON1" s="3"/>
      <c r="LOO1" s="3"/>
      <c r="LOP1" s="3"/>
      <c r="LOQ1" s="3"/>
      <c r="LOR1" s="3"/>
      <c r="LOS1" s="3"/>
      <c r="LOT1" s="3"/>
      <c r="LOU1" s="3"/>
      <c r="LOV1" s="3"/>
      <c r="LOW1" s="3"/>
      <c r="LOX1" s="3"/>
      <c r="LOY1" s="3"/>
      <c r="LOZ1" s="3"/>
      <c r="LPA1" s="3"/>
      <c r="LPB1" s="3"/>
      <c r="LPC1" s="3"/>
      <c r="LPD1" s="3"/>
      <c r="LPE1" s="3"/>
      <c r="LPF1" s="3"/>
      <c r="LPG1" s="3"/>
      <c r="LPH1" s="3"/>
      <c r="LPI1" s="3"/>
      <c r="LPJ1" s="3"/>
      <c r="LPK1" s="3"/>
      <c r="LPL1" s="3"/>
      <c r="LPM1" s="3"/>
      <c r="LPN1" s="3"/>
      <c r="LPO1" s="3"/>
      <c r="LPP1" s="3"/>
      <c r="LPQ1" s="3"/>
      <c r="LPR1" s="3"/>
      <c r="LPS1" s="3"/>
      <c r="LPT1" s="3"/>
      <c r="LPU1" s="3"/>
      <c r="LPV1" s="3"/>
      <c r="LPW1" s="3"/>
      <c r="LPX1" s="3"/>
      <c r="LPY1" s="3"/>
      <c r="LPZ1" s="3"/>
      <c r="LQA1" s="3"/>
      <c r="LQB1" s="3"/>
      <c r="LQC1" s="3"/>
      <c r="LQD1" s="3"/>
      <c r="LQE1" s="3"/>
      <c r="LQF1" s="3"/>
      <c r="LQG1" s="3"/>
      <c r="LQH1" s="3"/>
      <c r="LQI1" s="3"/>
      <c r="LQJ1" s="3"/>
      <c r="LQK1" s="3"/>
      <c r="LQL1" s="3"/>
      <c r="LQM1" s="3"/>
      <c r="LQN1" s="3"/>
      <c r="LQO1" s="3"/>
      <c r="LQP1" s="3"/>
      <c r="LQQ1" s="3"/>
      <c r="LQR1" s="3"/>
      <c r="LQS1" s="3"/>
      <c r="LQT1" s="3"/>
      <c r="LQU1" s="3"/>
      <c r="LQV1" s="3"/>
      <c r="LQW1" s="3"/>
      <c r="LQX1" s="3"/>
      <c r="LQY1" s="3"/>
      <c r="LQZ1" s="3"/>
      <c r="LRA1" s="3"/>
      <c r="LRB1" s="3"/>
      <c r="LRC1" s="3"/>
      <c r="LRD1" s="3"/>
      <c r="LRE1" s="3"/>
      <c r="LRF1" s="3"/>
      <c r="LRG1" s="3"/>
      <c r="LRH1" s="3"/>
      <c r="LRI1" s="3"/>
      <c r="LRJ1" s="3"/>
      <c r="LRK1" s="3"/>
      <c r="LRL1" s="3"/>
      <c r="LRM1" s="3"/>
      <c r="LRN1" s="3"/>
      <c r="LRO1" s="3"/>
      <c r="LRP1" s="3"/>
      <c r="LRQ1" s="3"/>
      <c r="LRR1" s="3"/>
      <c r="LRS1" s="3"/>
      <c r="LRT1" s="3"/>
      <c r="LRU1" s="3"/>
      <c r="LRV1" s="3"/>
      <c r="LRW1" s="3"/>
      <c r="LRX1" s="3"/>
      <c r="LRY1" s="3"/>
      <c r="LRZ1" s="3"/>
      <c r="LSA1" s="3"/>
      <c r="LSB1" s="3"/>
      <c r="LSC1" s="3"/>
      <c r="LSD1" s="3"/>
      <c r="LSE1" s="3"/>
      <c r="LSF1" s="3"/>
      <c r="LSG1" s="3"/>
      <c r="LSH1" s="3"/>
      <c r="LSI1" s="3"/>
      <c r="LSJ1" s="3"/>
      <c r="LSK1" s="3"/>
      <c r="LSL1" s="3"/>
      <c r="LSM1" s="3"/>
      <c r="LSN1" s="3"/>
      <c r="LSO1" s="3"/>
      <c r="LSP1" s="3"/>
      <c r="LSQ1" s="3"/>
      <c r="LSR1" s="3"/>
      <c r="LSS1" s="3"/>
      <c r="LST1" s="3"/>
      <c r="LSU1" s="3"/>
      <c r="LSV1" s="3"/>
      <c r="LSW1" s="3"/>
      <c r="LSX1" s="3"/>
      <c r="LSY1" s="3"/>
      <c r="LSZ1" s="3"/>
      <c r="LTA1" s="3"/>
      <c r="LTB1" s="3"/>
      <c r="LTC1" s="3"/>
      <c r="LTD1" s="3"/>
      <c r="LTE1" s="3"/>
      <c r="LTF1" s="3"/>
      <c r="LTG1" s="3"/>
      <c r="LTH1" s="3"/>
      <c r="LTI1" s="3"/>
      <c r="LTJ1" s="3"/>
      <c r="LTK1" s="3"/>
      <c r="LTL1" s="3"/>
      <c r="LTM1" s="3"/>
      <c r="LTN1" s="3"/>
      <c r="LTO1" s="3"/>
      <c r="LTP1" s="3"/>
      <c r="LTQ1" s="3"/>
      <c r="LTR1" s="3"/>
      <c r="LTS1" s="3"/>
      <c r="LTT1" s="3"/>
      <c r="LTU1" s="3"/>
      <c r="LTV1" s="3"/>
      <c r="LTW1" s="3"/>
      <c r="LTX1" s="3"/>
      <c r="LTY1" s="3"/>
      <c r="LTZ1" s="3"/>
      <c r="LUA1" s="3"/>
      <c r="LUB1" s="3"/>
      <c r="LUC1" s="3"/>
      <c r="LUD1" s="3"/>
      <c r="LUE1" s="3"/>
      <c r="LUF1" s="3"/>
      <c r="LUG1" s="3"/>
      <c r="LUH1" s="3"/>
      <c r="LUI1" s="3"/>
      <c r="LUJ1" s="3"/>
      <c r="LUK1" s="3"/>
      <c r="LUL1" s="3"/>
      <c r="LUM1" s="3"/>
      <c r="LUN1" s="3"/>
      <c r="LUO1" s="3"/>
      <c r="LUP1" s="3"/>
      <c r="LUQ1" s="3"/>
      <c r="LUR1" s="3"/>
      <c r="LUS1" s="3"/>
      <c r="LUT1" s="3"/>
      <c r="LUU1" s="3"/>
      <c r="LUV1" s="3"/>
      <c r="LUW1" s="3"/>
      <c r="LUX1" s="3"/>
      <c r="LUY1" s="3"/>
      <c r="LUZ1" s="3"/>
      <c r="LVA1" s="3"/>
      <c r="LVB1" s="3"/>
      <c r="LVC1" s="3"/>
      <c r="LVD1" s="3"/>
      <c r="LVE1" s="3"/>
      <c r="LVF1" s="3"/>
      <c r="LVG1" s="3"/>
      <c r="LVH1" s="3"/>
      <c r="LVI1" s="3"/>
      <c r="LVJ1" s="3"/>
      <c r="LVK1" s="3"/>
      <c r="LVL1" s="3"/>
      <c r="LVM1" s="3"/>
      <c r="LVN1" s="3"/>
      <c r="LVO1" s="3"/>
      <c r="LVP1" s="3"/>
      <c r="LVQ1" s="3"/>
      <c r="LVR1" s="3"/>
      <c r="LVS1" s="3"/>
      <c r="LVT1" s="3"/>
      <c r="LVU1" s="3"/>
      <c r="LVV1" s="3"/>
      <c r="LVW1" s="3"/>
      <c r="LVX1" s="3"/>
      <c r="LVY1" s="3"/>
      <c r="LVZ1" s="3"/>
      <c r="LWA1" s="3"/>
      <c r="LWB1" s="3"/>
      <c r="LWC1" s="3"/>
      <c r="LWD1" s="3"/>
      <c r="LWE1" s="3"/>
      <c r="LWF1" s="3"/>
      <c r="LWG1" s="3"/>
      <c r="LWH1" s="3"/>
      <c r="LWI1" s="3"/>
      <c r="LWJ1" s="3"/>
      <c r="LWK1" s="3"/>
      <c r="LWL1" s="3"/>
      <c r="LWM1" s="3"/>
      <c r="LWN1" s="3"/>
      <c r="LWO1" s="3"/>
      <c r="LWP1" s="3"/>
      <c r="LWQ1" s="3"/>
      <c r="LWR1" s="3"/>
      <c r="LWS1" s="3"/>
      <c r="LWT1" s="3"/>
      <c r="LWU1" s="3"/>
      <c r="LWV1" s="3"/>
      <c r="LWW1" s="3"/>
      <c r="LWX1" s="3"/>
      <c r="LWY1" s="3"/>
      <c r="LWZ1" s="3"/>
      <c r="LXA1" s="3"/>
      <c r="LXB1" s="3"/>
      <c r="LXC1" s="3"/>
      <c r="LXD1" s="3"/>
      <c r="LXE1" s="3"/>
      <c r="LXF1" s="3"/>
      <c r="LXG1" s="3"/>
      <c r="LXH1" s="3"/>
      <c r="LXI1" s="3"/>
      <c r="LXJ1" s="3"/>
      <c r="LXK1" s="3"/>
      <c r="LXL1" s="3"/>
      <c r="LXM1" s="3"/>
      <c r="LXN1" s="3"/>
      <c r="LXO1" s="3"/>
      <c r="LXP1" s="3"/>
      <c r="LXQ1" s="3"/>
      <c r="LXR1" s="3"/>
      <c r="LXS1" s="3"/>
      <c r="LXT1" s="3"/>
      <c r="LXU1" s="3"/>
      <c r="LXV1" s="3"/>
      <c r="LXW1" s="3"/>
      <c r="LXX1" s="3"/>
      <c r="LXY1" s="3"/>
      <c r="LXZ1" s="3"/>
      <c r="LYA1" s="3"/>
      <c r="LYB1" s="3"/>
      <c r="LYC1" s="3"/>
      <c r="LYD1" s="3"/>
      <c r="LYE1" s="3"/>
      <c r="LYF1" s="3"/>
      <c r="LYG1" s="3"/>
      <c r="LYH1" s="3"/>
      <c r="LYI1" s="3"/>
      <c r="LYJ1" s="3"/>
      <c r="LYK1" s="3"/>
      <c r="LYL1" s="3"/>
      <c r="LYM1" s="3"/>
      <c r="LYN1" s="3"/>
      <c r="LYO1" s="3"/>
      <c r="LYP1" s="3"/>
      <c r="LYQ1" s="3"/>
      <c r="LYR1" s="3"/>
      <c r="LYS1" s="3"/>
      <c r="LYT1" s="3"/>
      <c r="LYU1" s="3"/>
      <c r="LYV1" s="3"/>
      <c r="LYW1" s="3"/>
      <c r="LYX1" s="3"/>
      <c r="LYY1" s="3"/>
      <c r="LYZ1" s="3"/>
      <c r="LZA1" s="3"/>
      <c r="LZB1" s="3"/>
      <c r="LZC1" s="3"/>
      <c r="LZD1" s="3"/>
      <c r="LZE1" s="3"/>
      <c r="LZF1" s="3"/>
      <c r="LZG1" s="3"/>
      <c r="LZH1" s="3"/>
      <c r="LZI1" s="3"/>
      <c r="LZJ1" s="3"/>
      <c r="LZK1" s="3"/>
      <c r="LZL1" s="3"/>
      <c r="LZM1" s="3"/>
      <c r="LZN1" s="3"/>
      <c r="LZO1" s="3"/>
      <c r="LZP1" s="3"/>
      <c r="LZQ1" s="3"/>
      <c r="LZR1" s="3"/>
      <c r="LZS1" s="3"/>
      <c r="LZT1" s="3"/>
      <c r="LZU1" s="3"/>
      <c r="LZV1" s="3"/>
      <c r="LZW1" s="3"/>
      <c r="LZX1" s="3"/>
      <c r="LZY1" s="3"/>
      <c r="LZZ1" s="3"/>
      <c r="MAA1" s="3"/>
      <c r="MAB1" s="3"/>
      <c r="MAC1" s="3"/>
      <c r="MAD1" s="3"/>
      <c r="MAE1" s="3"/>
      <c r="MAF1" s="3"/>
      <c r="MAG1" s="3"/>
      <c r="MAH1" s="3"/>
      <c r="MAI1" s="3"/>
      <c r="MAJ1" s="3"/>
      <c r="MAK1" s="3"/>
      <c r="MAL1" s="3"/>
      <c r="MAM1" s="3"/>
      <c r="MAN1" s="3"/>
      <c r="MAO1" s="3"/>
      <c r="MAP1" s="3"/>
      <c r="MAQ1" s="3"/>
      <c r="MAR1" s="3"/>
      <c r="MAS1" s="3"/>
      <c r="MAT1" s="3"/>
      <c r="MAU1" s="3"/>
      <c r="MAV1" s="3"/>
      <c r="MAW1" s="3"/>
      <c r="MAX1" s="3"/>
      <c r="MAY1" s="3"/>
      <c r="MAZ1" s="3"/>
      <c r="MBA1" s="3"/>
      <c r="MBB1" s="3"/>
      <c r="MBC1" s="3"/>
      <c r="MBD1" s="3"/>
      <c r="MBE1" s="3"/>
      <c r="MBF1" s="3"/>
      <c r="MBG1" s="3"/>
      <c r="MBH1" s="3"/>
      <c r="MBI1" s="3"/>
      <c r="MBJ1" s="3"/>
      <c r="MBK1" s="3"/>
      <c r="MBL1" s="3"/>
      <c r="MBM1" s="3"/>
      <c r="MBN1" s="3"/>
      <c r="MBO1" s="3"/>
      <c r="MBP1" s="3"/>
      <c r="MBQ1" s="3"/>
      <c r="MBR1" s="3"/>
      <c r="MBS1" s="3"/>
      <c r="MBT1" s="3"/>
      <c r="MBU1" s="3"/>
      <c r="MBV1" s="3"/>
      <c r="MBW1" s="3"/>
      <c r="MBX1" s="3"/>
      <c r="MBY1" s="3"/>
      <c r="MBZ1" s="3"/>
      <c r="MCA1" s="3"/>
      <c r="MCB1" s="3"/>
      <c r="MCC1" s="3"/>
      <c r="MCD1" s="3"/>
      <c r="MCE1" s="3"/>
      <c r="MCF1" s="3"/>
      <c r="MCG1" s="3"/>
      <c r="MCH1" s="3"/>
      <c r="MCI1" s="3"/>
      <c r="MCJ1" s="3"/>
      <c r="MCK1" s="3"/>
      <c r="MCL1" s="3"/>
      <c r="MCM1" s="3"/>
      <c r="MCN1" s="3"/>
      <c r="MCO1" s="3"/>
      <c r="MCP1" s="3"/>
      <c r="MCQ1" s="3"/>
      <c r="MCR1" s="3"/>
      <c r="MCS1" s="3"/>
      <c r="MCT1" s="3"/>
      <c r="MCU1" s="3"/>
      <c r="MCV1" s="3"/>
      <c r="MCW1" s="3"/>
      <c r="MCX1" s="3"/>
      <c r="MCY1" s="3"/>
      <c r="MCZ1" s="3"/>
      <c r="MDA1" s="3"/>
      <c r="MDB1" s="3"/>
      <c r="MDC1" s="3"/>
      <c r="MDD1" s="3"/>
      <c r="MDE1" s="3"/>
      <c r="MDF1" s="3"/>
      <c r="MDG1" s="3"/>
      <c r="MDH1" s="3"/>
      <c r="MDI1" s="3"/>
      <c r="MDJ1" s="3"/>
      <c r="MDK1" s="3"/>
      <c r="MDL1" s="3"/>
      <c r="MDM1" s="3"/>
      <c r="MDN1" s="3"/>
      <c r="MDO1" s="3"/>
      <c r="MDP1" s="3"/>
      <c r="MDQ1" s="3"/>
      <c r="MDR1" s="3"/>
      <c r="MDS1" s="3"/>
      <c r="MDT1" s="3"/>
      <c r="MDU1" s="3"/>
      <c r="MDV1" s="3"/>
      <c r="MDW1" s="3"/>
      <c r="MDX1" s="3"/>
      <c r="MDY1" s="3"/>
      <c r="MDZ1" s="3"/>
      <c r="MEA1" s="3"/>
      <c r="MEB1" s="3"/>
      <c r="MEC1" s="3"/>
      <c r="MED1" s="3"/>
      <c r="MEE1" s="3"/>
      <c r="MEF1" s="3"/>
      <c r="MEG1" s="3"/>
      <c r="MEH1" s="3"/>
      <c r="MEI1" s="3"/>
      <c r="MEJ1" s="3"/>
      <c r="MEK1" s="3"/>
      <c r="MEL1" s="3"/>
      <c r="MEM1" s="3"/>
      <c r="MEN1" s="3"/>
      <c r="MEO1" s="3"/>
      <c r="MEP1" s="3"/>
      <c r="MEQ1" s="3"/>
      <c r="MER1" s="3"/>
      <c r="MES1" s="3"/>
      <c r="MET1" s="3"/>
      <c r="MEU1" s="3"/>
      <c r="MEV1" s="3"/>
      <c r="MEW1" s="3"/>
      <c r="MEX1" s="3"/>
      <c r="MEY1" s="3"/>
      <c r="MEZ1" s="3"/>
      <c r="MFA1" s="3"/>
      <c r="MFB1" s="3"/>
      <c r="MFC1" s="3"/>
      <c r="MFD1" s="3"/>
      <c r="MFE1" s="3"/>
      <c r="MFF1" s="3"/>
      <c r="MFG1" s="3"/>
      <c r="MFH1" s="3"/>
      <c r="MFI1" s="3"/>
      <c r="MFJ1" s="3"/>
      <c r="MFK1" s="3"/>
      <c r="MFL1" s="3"/>
      <c r="MFM1" s="3"/>
      <c r="MFN1" s="3"/>
      <c r="MFO1" s="3"/>
      <c r="MFP1" s="3"/>
      <c r="MFQ1" s="3"/>
      <c r="MFR1" s="3"/>
      <c r="MFS1" s="3"/>
      <c r="MFT1" s="3"/>
      <c r="MFU1" s="3"/>
      <c r="MFV1" s="3"/>
      <c r="MFW1" s="3"/>
      <c r="MFX1" s="3"/>
      <c r="MFY1" s="3"/>
      <c r="MFZ1" s="3"/>
      <c r="MGA1" s="3"/>
      <c r="MGB1" s="3"/>
      <c r="MGC1" s="3"/>
      <c r="MGD1" s="3"/>
      <c r="MGE1" s="3"/>
      <c r="MGF1" s="3"/>
      <c r="MGG1" s="3"/>
      <c r="MGH1" s="3"/>
      <c r="MGI1" s="3"/>
      <c r="MGJ1" s="3"/>
      <c r="MGK1" s="3"/>
      <c r="MGL1" s="3"/>
      <c r="MGM1" s="3"/>
      <c r="MGN1" s="3"/>
      <c r="MGO1" s="3"/>
      <c r="MGP1" s="3"/>
      <c r="MGQ1" s="3"/>
      <c r="MGR1" s="3"/>
      <c r="MGS1" s="3"/>
      <c r="MGT1" s="3"/>
      <c r="MGU1" s="3"/>
      <c r="MGV1" s="3"/>
      <c r="MGW1" s="3"/>
      <c r="MGX1" s="3"/>
      <c r="MGY1" s="3"/>
      <c r="MGZ1" s="3"/>
      <c r="MHA1" s="3"/>
      <c r="MHB1" s="3"/>
      <c r="MHC1" s="3"/>
      <c r="MHD1" s="3"/>
      <c r="MHE1" s="3"/>
      <c r="MHF1" s="3"/>
      <c r="MHG1" s="3"/>
      <c r="MHH1" s="3"/>
      <c r="MHI1" s="3"/>
      <c r="MHJ1" s="3"/>
      <c r="MHK1" s="3"/>
      <c r="MHL1" s="3"/>
      <c r="MHM1" s="3"/>
      <c r="MHN1" s="3"/>
      <c r="MHO1" s="3"/>
      <c r="MHP1" s="3"/>
      <c r="MHQ1" s="3"/>
      <c r="MHR1" s="3"/>
      <c r="MHS1" s="3"/>
      <c r="MHT1" s="3"/>
      <c r="MHU1" s="3"/>
      <c r="MHV1" s="3"/>
      <c r="MHW1" s="3"/>
      <c r="MHX1" s="3"/>
      <c r="MHY1" s="3"/>
      <c r="MHZ1" s="3"/>
      <c r="MIA1" s="3"/>
      <c r="MIB1" s="3"/>
      <c r="MIC1" s="3"/>
      <c r="MID1" s="3"/>
      <c r="MIE1" s="3"/>
      <c r="MIF1" s="3"/>
      <c r="MIG1" s="3"/>
      <c r="MIH1" s="3"/>
      <c r="MII1" s="3"/>
      <c r="MIJ1" s="3"/>
      <c r="MIK1" s="3"/>
      <c r="MIL1" s="3"/>
      <c r="MIM1" s="3"/>
      <c r="MIN1" s="3"/>
      <c r="MIO1" s="3"/>
      <c r="MIP1" s="3"/>
      <c r="MIQ1" s="3"/>
      <c r="MIR1" s="3"/>
      <c r="MIS1" s="3"/>
      <c r="MIT1" s="3"/>
      <c r="MIU1" s="3"/>
      <c r="MIV1" s="3"/>
      <c r="MIW1" s="3"/>
      <c r="MIX1" s="3"/>
      <c r="MIY1" s="3"/>
      <c r="MIZ1" s="3"/>
      <c r="MJA1" s="3"/>
      <c r="MJB1" s="3"/>
      <c r="MJC1" s="3"/>
      <c r="MJD1" s="3"/>
      <c r="MJE1" s="3"/>
      <c r="MJF1" s="3"/>
      <c r="MJG1" s="3"/>
      <c r="MJH1" s="3"/>
      <c r="MJI1" s="3"/>
      <c r="MJJ1" s="3"/>
      <c r="MJK1" s="3"/>
      <c r="MJL1" s="3"/>
      <c r="MJM1" s="3"/>
      <c r="MJN1" s="3"/>
      <c r="MJO1" s="3"/>
      <c r="MJP1" s="3"/>
      <c r="MJQ1" s="3"/>
      <c r="MJR1" s="3"/>
      <c r="MJS1" s="3"/>
      <c r="MJT1" s="3"/>
      <c r="MJU1" s="3"/>
      <c r="MJV1" s="3"/>
      <c r="MJW1" s="3"/>
      <c r="MJX1" s="3"/>
      <c r="MJY1" s="3"/>
      <c r="MJZ1" s="3"/>
      <c r="MKA1" s="3"/>
      <c r="MKB1" s="3"/>
      <c r="MKC1" s="3"/>
      <c r="MKD1" s="3"/>
      <c r="MKE1" s="3"/>
      <c r="MKF1" s="3"/>
      <c r="MKG1" s="3"/>
      <c r="MKH1" s="3"/>
      <c r="MKI1" s="3"/>
      <c r="MKJ1" s="3"/>
      <c r="MKK1" s="3"/>
      <c r="MKL1" s="3"/>
      <c r="MKM1" s="3"/>
      <c r="MKN1" s="3"/>
      <c r="MKO1" s="3"/>
      <c r="MKP1" s="3"/>
      <c r="MKQ1" s="3"/>
      <c r="MKR1" s="3"/>
      <c r="MKS1" s="3"/>
      <c r="MKT1" s="3"/>
      <c r="MKU1" s="3"/>
      <c r="MKV1" s="3"/>
      <c r="MKW1" s="3"/>
      <c r="MKX1" s="3"/>
      <c r="MKY1" s="3"/>
      <c r="MKZ1" s="3"/>
      <c r="MLA1" s="3"/>
      <c r="MLB1" s="3"/>
      <c r="MLC1" s="3"/>
      <c r="MLD1" s="3"/>
      <c r="MLE1" s="3"/>
      <c r="MLF1" s="3"/>
      <c r="MLG1" s="3"/>
      <c r="MLH1" s="3"/>
      <c r="MLI1" s="3"/>
      <c r="MLJ1" s="3"/>
      <c r="MLK1" s="3"/>
      <c r="MLL1" s="3"/>
      <c r="MLM1" s="3"/>
      <c r="MLN1" s="3"/>
      <c r="MLO1" s="3"/>
      <c r="MLP1" s="3"/>
      <c r="MLQ1" s="3"/>
      <c r="MLR1" s="3"/>
      <c r="MLS1" s="3"/>
      <c r="MLT1" s="3"/>
      <c r="MLU1" s="3"/>
      <c r="MLV1" s="3"/>
      <c r="MLW1" s="3"/>
      <c r="MLX1" s="3"/>
      <c r="MLY1" s="3"/>
      <c r="MLZ1" s="3"/>
      <c r="MMA1" s="3"/>
      <c r="MMB1" s="3"/>
      <c r="MMC1" s="3"/>
      <c r="MMD1" s="3"/>
      <c r="MME1" s="3"/>
      <c r="MMF1" s="3"/>
      <c r="MMG1" s="3"/>
      <c r="MMH1" s="3"/>
      <c r="MMI1" s="3"/>
      <c r="MMJ1" s="3"/>
      <c r="MMK1" s="3"/>
      <c r="MML1" s="3"/>
      <c r="MMM1" s="3"/>
      <c r="MMN1" s="3"/>
      <c r="MMO1" s="3"/>
      <c r="MMP1" s="3"/>
      <c r="MMQ1" s="3"/>
      <c r="MMR1" s="3"/>
      <c r="MMS1" s="3"/>
      <c r="MMT1" s="3"/>
      <c r="MMU1" s="3"/>
      <c r="MMV1" s="3"/>
      <c r="MMW1" s="3"/>
      <c r="MMX1" s="3"/>
      <c r="MMY1" s="3"/>
      <c r="MMZ1" s="3"/>
      <c r="MNA1" s="3"/>
      <c r="MNB1" s="3"/>
      <c r="MNC1" s="3"/>
      <c r="MND1" s="3"/>
      <c r="MNE1" s="3"/>
      <c r="MNF1" s="3"/>
      <c r="MNG1" s="3"/>
      <c r="MNH1" s="3"/>
      <c r="MNI1" s="3"/>
      <c r="MNJ1" s="3"/>
      <c r="MNK1" s="3"/>
      <c r="MNL1" s="3"/>
      <c r="MNM1" s="3"/>
      <c r="MNN1" s="3"/>
      <c r="MNO1" s="3"/>
      <c r="MNP1" s="3"/>
      <c r="MNQ1" s="3"/>
      <c r="MNR1" s="3"/>
      <c r="MNS1" s="3"/>
      <c r="MNT1" s="3"/>
      <c r="MNU1" s="3"/>
      <c r="MNV1" s="3"/>
      <c r="MNW1" s="3"/>
      <c r="MNX1" s="3"/>
      <c r="MNY1" s="3"/>
      <c r="MNZ1" s="3"/>
      <c r="MOA1" s="3"/>
      <c r="MOB1" s="3"/>
      <c r="MOC1" s="3"/>
      <c r="MOD1" s="3"/>
      <c r="MOE1" s="3"/>
      <c r="MOF1" s="3"/>
      <c r="MOG1" s="3"/>
      <c r="MOH1" s="3"/>
      <c r="MOI1" s="3"/>
      <c r="MOJ1" s="3"/>
      <c r="MOK1" s="3"/>
      <c r="MOL1" s="3"/>
      <c r="MOM1" s="3"/>
      <c r="MON1" s="3"/>
      <c r="MOO1" s="3"/>
      <c r="MOP1" s="3"/>
      <c r="MOQ1" s="3"/>
      <c r="MOR1" s="3"/>
      <c r="MOS1" s="3"/>
      <c r="MOT1" s="3"/>
      <c r="MOU1" s="3"/>
      <c r="MOV1" s="3"/>
      <c r="MOW1" s="3"/>
      <c r="MOX1" s="3"/>
      <c r="MOY1" s="3"/>
      <c r="MOZ1" s="3"/>
      <c r="MPA1" s="3"/>
      <c r="MPB1" s="3"/>
      <c r="MPC1" s="3"/>
      <c r="MPD1" s="3"/>
      <c r="MPE1" s="3"/>
      <c r="MPF1" s="3"/>
      <c r="MPG1" s="3"/>
      <c r="MPH1" s="3"/>
      <c r="MPI1" s="3"/>
      <c r="MPJ1" s="3"/>
      <c r="MPK1" s="3"/>
      <c r="MPL1" s="3"/>
      <c r="MPM1" s="3"/>
      <c r="MPN1" s="3"/>
      <c r="MPO1" s="3"/>
      <c r="MPP1" s="3"/>
      <c r="MPQ1" s="3"/>
      <c r="MPR1" s="3"/>
      <c r="MPS1" s="3"/>
      <c r="MPT1" s="3"/>
      <c r="MPU1" s="3"/>
      <c r="MPV1" s="3"/>
      <c r="MPW1" s="3"/>
      <c r="MPX1" s="3"/>
      <c r="MPY1" s="3"/>
      <c r="MPZ1" s="3"/>
      <c r="MQA1" s="3"/>
      <c r="MQB1" s="3"/>
      <c r="MQC1" s="3"/>
      <c r="MQD1" s="3"/>
      <c r="MQE1" s="3"/>
      <c r="MQF1" s="3"/>
      <c r="MQG1" s="3"/>
      <c r="MQH1" s="3"/>
      <c r="MQI1" s="3"/>
      <c r="MQJ1" s="3"/>
      <c r="MQK1" s="3"/>
      <c r="MQL1" s="3"/>
      <c r="MQM1" s="3"/>
      <c r="MQN1" s="3"/>
      <c r="MQO1" s="3"/>
      <c r="MQP1" s="3"/>
      <c r="MQQ1" s="3"/>
      <c r="MQR1" s="3"/>
      <c r="MQS1" s="3"/>
      <c r="MQT1" s="3"/>
      <c r="MQU1" s="3"/>
      <c r="MQV1" s="3"/>
      <c r="MQW1" s="3"/>
      <c r="MQX1" s="3"/>
      <c r="MQY1" s="3"/>
      <c r="MQZ1" s="3"/>
      <c r="MRA1" s="3"/>
      <c r="MRB1" s="3"/>
      <c r="MRC1" s="3"/>
      <c r="MRD1" s="3"/>
      <c r="MRE1" s="3"/>
      <c r="MRF1" s="3"/>
      <c r="MRG1" s="3"/>
      <c r="MRH1" s="3"/>
      <c r="MRI1" s="3"/>
      <c r="MRJ1" s="3"/>
      <c r="MRK1" s="3"/>
      <c r="MRL1" s="3"/>
      <c r="MRM1" s="3"/>
      <c r="MRN1" s="3"/>
      <c r="MRO1" s="3"/>
      <c r="MRP1" s="3"/>
      <c r="MRQ1" s="3"/>
      <c r="MRR1" s="3"/>
      <c r="MRS1" s="3"/>
      <c r="MRT1" s="3"/>
      <c r="MRU1" s="3"/>
      <c r="MRV1" s="3"/>
      <c r="MRW1" s="3"/>
      <c r="MRX1" s="3"/>
      <c r="MRY1" s="3"/>
      <c r="MRZ1" s="3"/>
      <c r="MSA1" s="3"/>
      <c r="MSB1" s="3"/>
      <c r="MSC1" s="3"/>
      <c r="MSD1" s="3"/>
      <c r="MSE1" s="3"/>
      <c r="MSF1" s="3"/>
      <c r="MSG1" s="3"/>
      <c r="MSH1" s="3"/>
      <c r="MSI1" s="3"/>
      <c r="MSJ1" s="3"/>
      <c r="MSK1" s="3"/>
      <c r="MSL1" s="3"/>
      <c r="MSM1" s="3"/>
      <c r="MSN1" s="3"/>
      <c r="MSO1" s="3"/>
      <c r="MSP1" s="3"/>
      <c r="MSQ1" s="3"/>
      <c r="MSR1" s="3"/>
      <c r="MSS1" s="3"/>
      <c r="MST1" s="3"/>
      <c r="MSU1" s="3"/>
      <c r="MSV1" s="3"/>
      <c r="MSW1" s="3"/>
      <c r="MSX1" s="3"/>
      <c r="MSY1" s="3"/>
      <c r="MSZ1" s="3"/>
      <c r="MTA1" s="3"/>
      <c r="MTB1" s="3"/>
      <c r="MTC1" s="3"/>
      <c r="MTD1" s="3"/>
      <c r="MTE1" s="3"/>
      <c r="MTF1" s="3"/>
      <c r="MTG1" s="3"/>
      <c r="MTH1" s="3"/>
      <c r="MTI1" s="3"/>
      <c r="MTJ1" s="3"/>
      <c r="MTK1" s="3"/>
      <c r="MTL1" s="3"/>
      <c r="MTM1" s="3"/>
      <c r="MTN1" s="3"/>
      <c r="MTO1" s="3"/>
      <c r="MTP1" s="3"/>
      <c r="MTQ1" s="3"/>
      <c r="MTR1" s="3"/>
      <c r="MTS1" s="3"/>
      <c r="MTT1" s="3"/>
      <c r="MTU1" s="3"/>
      <c r="MTV1" s="3"/>
      <c r="MTW1" s="3"/>
      <c r="MTX1" s="3"/>
      <c r="MTY1" s="3"/>
      <c r="MTZ1" s="3"/>
      <c r="MUA1" s="3"/>
      <c r="MUB1" s="3"/>
      <c r="MUC1" s="3"/>
      <c r="MUD1" s="3"/>
      <c r="MUE1" s="3"/>
      <c r="MUF1" s="3"/>
      <c r="MUG1" s="3"/>
      <c r="MUH1" s="3"/>
      <c r="MUI1" s="3"/>
      <c r="MUJ1" s="3"/>
      <c r="MUK1" s="3"/>
      <c r="MUL1" s="3"/>
      <c r="MUM1" s="3"/>
      <c r="MUN1" s="3"/>
      <c r="MUO1" s="3"/>
      <c r="MUP1" s="3"/>
      <c r="MUQ1" s="3"/>
      <c r="MUR1" s="3"/>
      <c r="MUS1" s="3"/>
      <c r="MUT1" s="3"/>
      <c r="MUU1" s="3"/>
      <c r="MUV1" s="3"/>
      <c r="MUW1" s="3"/>
      <c r="MUX1" s="3"/>
      <c r="MUY1" s="3"/>
      <c r="MUZ1" s="3"/>
      <c r="MVA1" s="3"/>
      <c r="MVB1" s="3"/>
      <c r="MVC1" s="3"/>
      <c r="MVD1" s="3"/>
      <c r="MVE1" s="3"/>
      <c r="MVF1" s="3"/>
      <c r="MVG1" s="3"/>
      <c r="MVH1" s="3"/>
      <c r="MVI1" s="3"/>
      <c r="MVJ1" s="3"/>
      <c r="MVK1" s="3"/>
      <c r="MVL1" s="3"/>
      <c r="MVM1" s="3"/>
      <c r="MVN1" s="3"/>
      <c r="MVO1" s="3"/>
      <c r="MVP1" s="3"/>
      <c r="MVQ1" s="3"/>
      <c r="MVR1" s="3"/>
      <c r="MVS1" s="3"/>
      <c r="MVT1" s="3"/>
      <c r="MVU1" s="3"/>
      <c r="MVV1" s="3"/>
      <c r="MVW1" s="3"/>
      <c r="MVX1" s="3"/>
      <c r="MVY1" s="3"/>
      <c r="MVZ1" s="3"/>
      <c r="MWA1" s="3"/>
      <c r="MWB1" s="3"/>
      <c r="MWC1" s="3"/>
      <c r="MWD1" s="3"/>
      <c r="MWE1" s="3"/>
      <c r="MWF1" s="3"/>
      <c r="MWG1" s="3"/>
      <c r="MWH1" s="3"/>
      <c r="MWI1" s="3"/>
      <c r="MWJ1" s="3"/>
      <c r="MWK1" s="3"/>
      <c r="MWL1" s="3"/>
      <c r="MWM1" s="3"/>
      <c r="MWN1" s="3"/>
      <c r="MWO1" s="3"/>
      <c r="MWP1" s="3"/>
      <c r="MWQ1" s="3"/>
      <c r="MWR1" s="3"/>
      <c r="MWS1" s="3"/>
      <c r="MWT1" s="3"/>
      <c r="MWU1" s="3"/>
      <c r="MWV1" s="3"/>
      <c r="MWW1" s="3"/>
      <c r="MWX1" s="3"/>
      <c r="MWY1" s="3"/>
      <c r="MWZ1" s="3"/>
      <c r="MXA1" s="3"/>
      <c r="MXB1" s="3"/>
      <c r="MXC1" s="3"/>
      <c r="MXD1" s="3"/>
      <c r="MXE1" s="3"/>
      <c r="MXF1" s="3"/>
      <c r="MXG1" s="3"/>
      <c r="MXH1" s="3"/>
      <c r="MXI1" s="3"/>
      <c r="MXJ1" s="3"/>
      <c r="MXK1" s="3"/>
      <c r="MXL1" s="3"/>
      <c r="MXM1" s="3"/>
      <c r="MXN1" s="3"/>
      <c r="MXO1" s="3"/>
      <c r="MXP1" s="3"/>
      <c r="MXQ1" s="3"/>
      <c r="MXR1" s="3"/>
      <c r="MXS1" s="3"/>
      <c r="MXT1" s="3"/>
      <c r="MXU1" s="3"/>
      <c r="MXV1" s="3"/>
      <c r="MXW1" s="3"/>
      <c r="MXX1" s="3"/>
      <c r="MXY1" s="3"/>
      <c r="MXZ1" s="3"/>
      <c r="MYA1" s="3"/>
      <c r="MYB1" s="3"/>
      <c r="MYC1" s="3"/>
      <c r="MYD1" s="3"/>
      <c r="MYE1" s="3"/>
      <c r="MYF1" s="3"/>
      <c r="MYG1" s="3"/>
      <c r="MYH1" s="3"/>
      <c r="MYI1" s="3"/>
      <c r="MYJ1" s="3"/>
      <c r="MYK1" s="3"/>
      <c r="MYL1" s="3"/>
      <c r="MYM1" s="3"/>
      <c r="MYN1" s="3"/>
      <c r="MYO1" s="3"/>
      <c r="MYP1" s="3"/>
      <c r="MYQ1" s="3"/>
      <c r="MYR1" s="3"/>
      <c r="MYS1" s="3"/>
      <c r="MYT1" s="3"/>
      <c r="MYU1" s="3"/>
      <c r="MYV1" s="3"/>
      <c r="MYW1" s="3"/>
      <c r="MYX1" s="3"/>
      <c r="MYY1" s="3"/>
      <c r="MYZ1" s="3"/>
      <c r="MZA1" s="3"/>
      <c r="MZB1" s="3"/>
      <c r="MZC1" s="3"/>
      <c r="MZD1" s="3"/>
      <c r="MZE1" s="3"/>
      <c r="MZF1" s="3"/>
      <c r="MZG1" s="3"/>
      <c r="MZH1" s="3"/>
      <c r="MZI1" s="3"/>
      <c r="MZJ1" s="3"/>
      <c r="MZK1" s="3"/>
      <c r="MZL1" s="3"/>
      <c r="MZM1" s="3"/>
      <c r="MZN1" s="3"/>
      <c r="MZO1" s="3"/>
      <c r="MZP1" s="3"/>
      <c r="MZQ1" s="3"/>
      <c r="MZR1" s="3"/>
      <c r="MZS1" s="3"/>
      <c r="MZT1" s="3"/>
      <c r="MZU1" s="3"/>
      <c r="MZV1" s="3"/>
      <c r="MZW1" s="3"/>
      <c r="MZX1" s="3"/>
      <c r="MZY1" s="3"/>
      <c r="MZZ1" s="3"/>
      <c r="NAA1" s="3"/>
      <c r="NAB1" s="3"/>
      <c r="NAC1" s="3"/>
      <c r="NAD1" s="3"/>
      <c r="NAE1" s="3"/>
      <c r="NAF1" s="3"/>
      <c r="NAG1" s="3"/>
      <c r="NAH1" s="3"/>
      <c r="NAI1" s="3"/>
      <c r="NAJ1" s="3"/>
      <c r="NAK1" s="3"/>
      <c r="NAL1" s="3"/>
      <c r="NAM1" s="3"/>
      <c r="NAN1" s="3"/>
      <c r="NAO1" s="3"/>
      <c r="NAP1" s="3"/>
      <c r="NAQ1" s="3"/>
      <c r="NAR1" s="3"/>
      <c r="NAS1" s="3"/>
      <c r="NAT1" s="3"/>
      <c r="NAU1" s="3"/>
      <c r="NAV1" s="3"/>
      <c r="NAW1" s="3"/>
      <c r="NAX1" s="3"/>
      <c r="NAY1" s="3"/>
      <c r="NAZ1" s="3"/>
      <c r="NBA1" s="3"/>
      <c r="NBB1" s="3"/>
      <c r="NBC1" s="3"/>
      <c r="NBD1" s="3"/>
      <c r="NBE1" s="3"/>
      <c r="NBF1" s="3"/>
      <c r="NBG1" s="3"/>
      <c r="NBH1" s="3"/>
      <c r="NBI1" s="3"/>
      <c r="NBJ1" s="3"/>
      <c r="NBK1" s="3"/>
      <c r="NBL1" s="3"/>
      <c r="NBM1" s="3"/>
      <c r="NBN1" s="3"/>
      <c r="NBO1" s="3"/>
      <c r="NBP1" s="3"/>
      <c r="NBQ1" s="3"/>
      <c r="NBR1" s="3"/>
      <c r="NBS1" s="3"/>
      <c r="NBT1" s="3"/>
      <c r="NBU1" s="3"/>
      <c r="NBV1" s="3"/>
      <c r="NBW1" s="3"/>
      <c r="NBX1" s="3"/>
      <c r="NBY1" s="3"/>
      <c r="NBZ1" s="3"/>
      <c r="NCA1" s="3"/>
      <c r="NCB1" s="3"/>
      <c r="NCC1" s="3"/>
      <c r="NCD1" s="3"/>
      <c r="NCE1" s="3"/>
      <c r="NCF1" s="3"/>
      <c r="NCG1" s="3"/>
      <c r="NCH1" s="3"/>
      <c r="NCI1" s="3"/>
      <c r="NCJ1" s="3"/>
      <c r="NCK1" s="3"/>
      <c r="NCL1" s="3"/>
      <c r="NCM1" s="3"/>
      <c r="NCN1" s="3"/>
      <c r="NCO1" s="3"/>
      <c r="NCP1" s="3"/>
      <c r="NCQ1" s="3"/>
      <c r="NCR1" s="3"/>
      <c r="NCS1" s="3"/>
      <c r="NCT1" s="3"/>
      <c r="NCU1" s="3"/>
      <c r="NCV1" s="3"/>
      <c r="NCW1" s="3"/>
      <c r="NCX1" s="3"/>
      <c r="NCY1" s="3"/>
      <c r="NCZ1" s="3"/>
      <c r="NDA1" s="3"/>
      <c r="NDB1" s="3"/>
      <c r="NDC1" s="3"/>
      <c r="NDD1" s="3"/>
      <c r="NDE1" s="3"/>
      <c r="NDF1" s="3"/>
      <c r="NDG1" s="3"/>
      <c r="NDH1" s="3"/>
      <c r="NDI1" s="3"/>
      <c r="NDJ1" s="3"/>
      <c r="NDK1" s="3"/>
      <c r="NDL1" s="3"/>
      <c r="NDM1" s="3"/>
      <c r="NDN1" s="3"/>
      <c r="NDO1" s="3"/>
      <c r="NDP1" s="3"/>
      <c r="NDQ1" s="3"/>
      <c r="NDR1" s="3"/>
      <c r="NDS1" s="3"/>
      <c r="NDT1" s="3"/>
      <c r="NDU1" s="3"/>
      <c r="NDV1" s="3"/>
      <c r="NDW1" s="3"/>
      <c r="NDX1" s="3"/>
      <c r="NDY1" s="3"/>
      <c r="NDZ1" s="3"/>
      <c r="NEA1" s="3"/>
      <c r="NEB1" s="3"/>
      <c r="NEC1" s="3"/>
      <c r="NED1" s="3"/>
      <c r="NEE1" s="3"/>
      <c r="NEF1" s="3"/>
      <c r="NEG1" s="3"/>
      <c r="NEH1" s="3"/>
      <c r="NEI1" s="3"/>
      <c r="NEJ1" s="3"/>
      <c r="NEK1" s="3"/>
      <c r="NEL1" s="3"/>
      <c r="NEM1" s="3"/>
      <c r="NEN1" s="3"/>
      <c r="NEO1" s="3"/>
      <c r="NEP1" s="3"/>
      <c r="NEQ1" s="3"/>
      <c r="NER1" s="3"/>
      <c r="NES1" s="3"/>
      <c r="NET1" s="3"/>
      <c r="NEU1" s="3"/>
      <c r="NEV1" s="3"/>
      <c r="NEW1" s="3"/>
      <c r="NEX1" s="3"/>
      <c r="NEY1" s="3"/>
      <c r="NEZ1" s="3"/>
      <c r="NFA1" s="3"/>
      <c r="NFB1" s="3"/>
      <c r="NFC1" s="3"/>
      <c r="NFD1" s="3"/>
      <c r="NFE1" s="3"/>
      <c r="NFF1" s="3"/>
      <c r="NFG1" s="3"/>
      <c r="NFH1" s="3"/>
      <c r="NFI1" s="3"/>
      <c r="NFJ1" s="3"/>
      <c r="NFK1" s="3"/>
      <c r="NFL1" s="3"/>
      <c r="NFM1" s="3"/>
      <c r="NFN1" s="3"/>
      <c r="NFO1" s="3"/>
      <c r="NFP1" s="3"/>
      <c r="NFQ1" s="3"/>
      <c r="NFR1" s="3"/>
      <c r="NFS1" s="3"/>
      <c r="NFT1" s="3"/>
      <c r="NFU1" s="3"/>
      <c r="NFV1" s="3"/>
      <c r="NFW1" s="3"/>
      <c r="NFX1" s="3"/>
      <c r="NFY1" s="3"/>
      <c r="NFZ1" s="3"/>
      <c r="NGA1" s="3"/>
      <c r="NGB1" s="3"/>
      <c r="NGC1" s="3"/>
      <c r="NGD1" s="3"/>
      <c r="NGE1" s="3"/>
      <c r="NGF1" s="3"/>
      <c r="NGG1" s="3"/>
      <c r="NGH1" s="3"/>
      <c r="NGI1" s="3"/>
      <c r="NGJ1" s="3"/>
      <c r="NGK1" s="3"/>
      <c r="NGL1" s="3"/>
      <c r="NGM1" s="3"/>
      <c r="NGN1" s="3"/>
      <c r="NGO1" s="3"/>
      <c r="NGP1" s="3"/>
      <c r="NGQ1" s="3"/>
      <c r="NGR1" s="3"/>
      <c r="NGS1" s="3"/>
      <c r="NGT1" s="3"/>
      <c r="NGU1" s="3"/>
      <c r="NGV1" s="3"/>
      <c r="NGW1" s="3"/>
      <c r="NGX1" s="3"/>
      <c r="NGY1" s="3"/>
      <c r="NGZ1" s="3"/>
      <c r="NHA1" s="3"/>
      <c r="NHB1" s="3"/>
      <c r="NHC1" s="3"/>
      <c r="NHD1" s="3"/>
      <c r="NHE1" s="3"/>
      <c r="NHF1" s="3"/>
      <c r="NHG1" s="3"/>
      <c r="NHH1" s="3"/>
      <c r="NHI1" s="3"/>
      <c r="NHJ1" s="3"/>
      <c r="NHK1" s="3"/>
      <c r="NHL1" s="3"/>
      <c r="NHM1" s="3"/>
      <c r="NHN1" s="3"/>
      <c r="NHO1" s="3"/>
      <c r="NHP1" s="3"/>
      <c r="NHQ1" s="3"/>
      <c r="NHR1" s="3"/>
      <c r="NHS1" s="3"/>
      <c r="NHT1" s="3"/>
      <c r="NHU1" s="3"/>
      <c r="NHV1" s="3"/>
      <c r="NHW1" s="3"/>
      <c r="NHX1" s="3"/>
      <c r="NHY1" s="3"/>
      <c r="NHZ1" s="3"/>
      <c r="NIA1" s="3"/>
      <c r="NIB1" s="3"/>
      <c r="NIC1" s="3"/>
      <c r="NID1" s="3"/>
      <c r="NIE1" s="3"/>
      <c r="NIF1" s="3"/>
      <c r="NIG1" s="3"/>
      <c r="NIH1" s="3"/>
      <c r="NII1" s="3"/>
      <c r="NIJ1" s="3"/>
      <c r="NIK1" s="3"/>
      <c r="NIL1" s="3"/>
      <c r="NIM1" s="3"/>
      <c r="NIN1" s="3"/>
      <c r="NIO1" s="3"/>
      <c r="NIP1" s="3"/>
      <c r="NIQ1" s="3"/>
      <c r="NIR1" s="3"/>
      <c r="NIS1" s="3"/>
      <c r="NIT1" s="3"/>
      <c r="NIU1" s="3"/>
      <c r="NIV1" s="3"/>
      <c r="NIW1" s="3"/>
      <c r="NIX1" s="3"/>
      <c r="NIY1" s="3"/>
      <c r="NIZ1" s="3"/>
      <c r="NJA1" s="3"/>
      <c r="NJB1" s="3"/>
      <c r="NJC1" s="3"/>
      <c r="NJD1" s="3"/>
      <c r="NJE1" s="3"/>
      <c r="NJF1" s="3"/>
      <c r="NJG1" s="3"/>
      <c r="NJH1" s="3"/>
      <c r="NJI1" s="3"/>
      <c r="NJJ1" s="3"/>
      <c r="NJK1" s="3"/>
      <c r="NJL1" s="3"/>
      <c r="NJM1" s="3"/>
      <c r="NJN1" s="3"/>
      <c r="NJO1" s="3"/>
      <c r="NJP1" s="3"/>
      <c r="NJQ1" s="3"/>
      <c r="NJR1" s="3"/>
      <c r="NJS1" s="3"/>
      <c r="NJT1" s="3"/>
      <c r="NJU1" s="3"/>
      <c r="NJV1" s="3"/>
      <c r="NJW1" s="3"/>
      <c r="NJX1" s="3"/>
      <c r="NJY1" s="3"/>
      <c r="NJZ1" s="3"/>
      <c r="NKA1" s="3"/>
      <c r="NKB1" s="3"/>
      <c r="NKC1" s="3"/>
      <c r="NKD1" s="3"/>
      <c r="NKE1" s="3"/>
      <c r="NKF1" s="3"/>
      <c r="NKG1" s="3"/>
      <c r="NKH1" s="3"/>
      <c r="NKI1" s="3"/>
      <c r="NKJ1" s="3"/>
      <c r="NKK1" s="3"/>
      <c r="NKL1" s="3"/>
      <c r="NKM1" s="3"/>
      <c r="NKN1" s="3"/>
      <c r="NKO1" s="3"/>
      <c r="NKP1" s="3"/>
      <c r="NKQ1" s="3"/>
      <c r="NKR1" s="3"/>
      <c r="NKS1" s="3"/>
      <c r="NKT1" s="3"/>
      <c r="NKU1" s="3"/>
      <c r="NKV1" s="3"/>
      <c r="NKW1" s="3"/>
      <c r="NKX1" s="3"/>
      <c r="NKY1" s="3"/>
      <c r="NKZ1" s="3"/>
      <c r="NLA1" s="3"/>
      <c r="NLB1" s="3"/>
      <c r="NLC1" s="3"/>
      <c r="NLD1" s="3"/>
      <c r="NLE1" s="3"/>
      <c r="NLF1" s="3"/>
      <c r="NLG1" s="3"/>
      <c r="NLH1" s="3"/>
      <c r="NLI1" s="3"/>
      <c r="NLJ1" s="3"/>
      <c r="NLK1" s="3"/>
      <c r="NLL1" s="3"/>
      <c r="NLM1" s="3"/>
      <c r="NLN1" s="3"/>
      <c r="NLO1" s="3"/>
      <c r="NLP1" s="3"/>
      <c r="NLQ1" s="3"/>
      <c r="NLR1" s="3"/>
      <c r="NLS1" s="3"/>
      <c r="NLT1" s="3"/>
      <c r="NLU1" s="3"/>
      <c r="NLV1" s="3"/>
      <c r="NLW1" s="3"/>
      <c r="NLX1" s="3"/>
      <c r="NLY1" s="3"/>
      <c r="NLZ1" s="3"/>
      <c r="NMA1" s="3"/>
      <c r="NMB1" s="3"/>
      <c r="NMC1" s="3"/>
      <c r="NMD1" s="3"/>
      <c r="NME1" s="3"/>
      <c r="NMF1" s="3"/>
      <c r="NMG1" s="3"/>
      <c r="NMH1" s="3"/>
      <c r="NMI1" s="3"/>
      <c r="NMJ1" s="3"/>
      <c r="NMK1" s="3"/>
      <c r="NML1" s="3"/>
      <c r="NMM1" s="3"/>
      <c r="NMN1" s="3"/>
      <c r="NMO1" s="3"/>
      <c r="NMP1" s="3"/>
      <c r="NMQ1" s="3"/>
      <c r="NMR1" s="3"/>
      <c r="NMS1" s="3"/>
      <c r="NMT1" s="3"/>
      <c r="NMU1" s="3"/>
      <c r="NMV1" s="3"/>
      <c r="NMW1" s="3"/>
      <c r="NMX1" s="3"/>
      <c r="NMY1" s="3"/>
      <c r="NMZ1" s="3"/>
      <c r="NNA1" s="3"/>
      <c r="NNB1" s="3"/>
      <c r="NNC1" s="3"/>
      <c r="NND1" s="3"/>
      <c r="NNE1" s="3"/>
      <c r="NNF1" s="3"/>
      <c r="NNG1" s="3"/>
      <c r="NNH1" s="3"/>
      <c r="NNI1" s="3"/>
      <c r="NNJ1" s="3"/>
      <c r="NNK1" s="3"/>
      <c r="NNL1" s="3"/>
      <c r="NNM1" s="3"/>
      <c r="NNN1" s="3"/>
      <c r="NNO1" s="3"/>
      <c r="NNP1" s="3"/>
      <c r="NNQ1" s="3"/>
      <c r="NNR1" s="3"/>
      <c r="NNS1" s="3"/>
      <c r="NNT1" s="3"/>
      <c r="NNU1" s="3"/>
      <c r="NNV1" s="3"/>
      <c r="NNW1" s="3"/>
      <c r="NNX1" s="3"/>
      <c r="NNY1" s="3"/>
      <c r="NNZ1" s="3"/>
      <c r="NOA1" s="3"/>
      <c r="NOB1" s="3"/>
      <c r="NOC1" s="3"/>
      <c r="NOD1" s="3"/>
      <c r="NOE1" s="3"/>
      <c r="NOF1" s="3"/>
      <c r="NOG1" s="3"/>
      <c r="NOH1" s="3"/>
      <c r="NOI1" s="3"/>
      <c r="NOJ1" s="3"/>
      <c r="NOK1" s="3"/>
      <c r="NOL1" s="3"/>
      <c r="NOM1" s="3"/>
      <c r="NON1" s="3"/>
      <c r="NOO1" s="3"/>
      <c r="NOP1" s="3"/>
      <c r="NOQ1" s="3"/>
      <c r="NOR1" s="3"/>
      <c r="NOS1" s="3"/>
      <c r="NOT1" s="3"/>
      <c r="NOU1" s="3"/>
      <c r="NOV1" s="3"/>
      <c r="NOW1" s="3"/>
      <c r="NOX1" s="3"/>
      <c r="NOY1" s="3"/>
      <c r="NOZ1" s="3"/>
      <c r="NPA1" s="3"/>
      <c r="NPB1" s="3"/>
      <c r="NPC1" s="3"/>
      <c r="NPD1" s="3"/>
      <c r="NPE1" s="3"/>
      <c r="NPF1" s="3"/>
      <c r="NPG1" s="3"/>
      <c r="NPH1" s="3"/>
      <c r="NPI1" s="3"/>
      <c r="NPJ1" s="3"/>
      <c r="NPK1" s="3"/>
      <c r="NPL1" s="3"/>
      <c r="NPM1" s="3"/>
      <c r="NPN1" s="3"/>
      <c r="NPO1" s="3"/>
      <c r="NPP1" s="3"/>
      <c r="NPQ1" s="3"/>
      <c r="NPR1" s="3"/>
      <c r="NPS1" s="3"/>
      <c r="NPT1" s="3"/>
      <c r="NPU1" s="3"/>
      <c r="NPV1" s="3"/>
      <c r="NPW1" s="3"/>
      <c r="NPX1" s="3"/>
      <c r="NPY1" s="3"/>
      <c r="NPZ1" s="3"/>
      <c r="NQA1" s="3"/>
      <c r="NQB1" s="3"/>
      <c r="NQC1" s="3"/>
      <c r="NQD1" s="3"/>
      <c r="NQE1" s="3"/>
      <c r="NQF1" s="3"/>
      <c r="NQG1" s="3"/>
      <c r="NQH1" s="3"/>
      <c r="NQI1" s="3"/>
      <c r="NQJ1" s="3"/>
      <c r="NQK1" s="3"/>
      <c r="NQL1" s="3"/>
      <c r="NQM1" s="3"/>
      <c r="NQN1" s="3"/>
      <c r="NQO1" s="3"/>
      <c r="NQP1" s="3"/>
      <c r="NQQ1" s="3"/>
      <c r="NQR1" s="3"/>
      <c r="NQS1" s="3"/>
      <c r="NQT1" s="3"/>
      <c r="NQU1" s="3"/>
      <c r="NQV1" s="3"/>
      <c r="NQW1" s="3"/>
      <c r="NQX1" s="3"/>
      <c r="NQY1" s="3"/>
      <c r="NQZ1" s="3"/>
      <c r="NRA1" s="3"/>
      <c r="NRB1" s="3"/>
      <c r="NRC1" s="3"/>
      <c r="NRD1" s="3"/>
      <c r="NRE1" s="3"/>
      <c r="NRF1" s="3"/>
      <c r="NRG1" s="3"/>
      <c r="NRH1" s="3"/>
      <c r="NRI1" s="3"/>
      <c r="NRJ1" s="3"/>
      <c r="NRK1" s="3"/>
      <c r="NRL1" s="3"/>
      <c r="NRM1" s="3"/>
      <c r="NRN1" s="3"/>
      <c r="NRO1" s="3"/>
      <c r="NRP1" s="3"/>
      <c r="NRQ1" s="3"/>
      <c r="NRR1" s="3"/>
      <c r="NRS1" s="3"/>
      <c r="NRT1" s="3"/>
      <c r="NRU1" s="3"/>
      <c r="NRV1" s="3"/>
      <c r="NRW1" s="3"/>
      <c r="NRX1" s="3"/>
      <c r="NRY1" s="3"/>
      <c r="NRZ1" s="3"/>
      <c r="NSA1" s="3"/>
      <c r="NSB1" s="3"/>
      <c r="NSC1" s="3"/>
      <c r="NSD1" s="3"/>
      <c r="NSE1" s="3"/>
      <c r="NSF1" s="3"/>
      <c r="NSG1" s="3"/>
      <c r="NSH1" s="3"/>
      <c r="NSI1" s="3"/>
      <c r="NSJ1" s="3"/>
      <c r="NSK1" s="3"/>
      <c r="NSL1" s="3"/>
      <c r="NSM1" s="3"/>
      <c r="NSN1" s="3"/>
      <c r="NSO1" s="3"/>
      <c r="NSP1" s="3"/>
      <c r="NSQ1" s="3"/>
      <c r="NSR1" s="3"/>
      <c r="NSS1" s="3"/>
      <c r="NST1" s="3"/>
      <c r="NSU1" s="3"/>
      <c r="NSV1" s="3"/>
      <c r="NSW1" s="3"/>
      <c r="NSX1" s="3"/>
      <c r="NSY1" s="3"/>
      <c r="NSZ1" s="3"/>
      <c r="NTA1" s="3"/>
      <c r="NTB1" s="3"/>
      <c r="NTC1" s="3"/>
      <c r="NTD1" s="3"/>
      <c r="NTE1" s="3"/>
      <c r="NTF1" s="3"/>
      <c r="NTG1" s="3"/>
      <c r="NTH1" s="3"/>
      <c r="NTI1" s="3"/>
      <c r="NTJ1" s="3"/>
      <c r="NTK1" s="3"/>
      <c r="NTL1" s="3"/>
      <c r="NTM1" s="3"/>
      <c r="NTN1" s="3"/>
      <c r="NTO1" s="3"/>
      <c r="NTP1" s="3"/>
      <c r="NTQ1" s="3"/>
      <c r="NTR1" s="3"/>
      <c r="NTS1" s="3"/>
      <c r="NTT1" s="3"/>
      <c r="NTU1" s="3"/>
      <c r="NTV1" s="3"/>
      <c r="NTW1" s="3"/>
      <c r="NTX1" s="3"/>
      <c r="NTY1" s="3"/>
      <c r="NTZ1" s="3"/>
      <c r="NUA1" s="3"/>
      <c r="NUB1" s="3"/>
      <c r="NUC1" s="3"/>
      <c r="NUD1" s="3"/>
      <c r="NUE1" s="3"/>
      <c r="NUF1" s="3"/>
      <c r="NUG1" s="3"/>
      <c r="NUH1" s="3"/>
      <c r="NUI1" s="3"/>
      <c r="NUJ1" s="3"/>
      <c r="NUK1" s="3"/>
      <c r="NUL1" s="3"/>
      <c r="NUM1" s="3"/>
      <c r="NUN1" s="3"/>
      <c r="NUO1" s="3"/>
      <c r="NUP1" s="3"/>
      <c r="NUQ1" s="3"/>
      <c r="NUR1" s="3"/>
      <c r="NUS1" s="3"/>
      <c r="NUT1" s="3"/>
      <c r="NUU1" s="3"/>
      <c r="NUV1" s="3"/>
      <c r="NUW1" s="3"/>
      <c r="NUX1" s="3"/>
      <c r="NUY1" s="3"/>
      <c r="NUZ1" s="3"/>
      <c r="NVA1" s="3"/>
      <c r="NVB1" s="3"/>
      <c r="NVC1" s="3"/>
      <c r="NVD1" s="3"/>
      <c r="NVE1" s="3"/>
      <c r="NVF1" s="3"/>
      <c r="NVG1" s="3"/>
      <c r="NVH1" s="3"/>
      <c r="NVI1" s="3"/>
      <c r="NVJ1" s="3"/>
      <c r="NVK1" s="3"/>
      <c r="NVL1" s="3"/>
      <c r="NVM1" s="3"/>
      <c r="NVN1" s="3"/>
      <c r="NVO1" s="3"/>
      <c r="NVP1" s="3"/>
      <c r="NVQ1" s="3"/>
      <c r="NVR1" s="3"/>
      <c r="NVS1" s="3"/>
      <c r="NVT1" s="3"/>
      <c r="NVU1" s="3"/>
      <c r="NVV1" s="3"/>
      <c r="NVW1" s="3"/>
      <c r="NVX1" s="3"/>
      <c r="NVY1" s="3"/>
      <c r="NVZ1" s="3"/>
      <c r="NWA1" s="3"/>
      <c r="NWB1" s="3"/>
      <c r="NWC1" s="3"/>
      <c r="NWD1" s="3"/>
      <c r="NWE1" s="3"/>
      <c r="NWF1" s="3"/>
      <c r="NWG1" s="3"/>
      <c r="NWH1" s="3"/>
      <c r="NWI1" s="3"/>
      <c r="NWJ1" s="3"/>
      <c r="NWK1" s="3"/>
      <c r="NWL1" s="3"/>
      <c r="NWM1" s="3"/>
      <c r="NWN1" s="3"/>
      <c r="NWO1" s="3"/>
      <c r="NWP1" s="3"/>
      <c r="NWQ1" s="3"/>
      <c r="NWR1" s="3"/>
      <c r="NWS1" s="3"/>
      <c r="NWT1" s="3"/>
      <c r="NWU1" s="3"/>
      <c r="NWV1" s="3"/>
      <c r="NWW1" s="3"/>
      <c r="NWX1" s="3"/>
      <c r="NWY1" s="3"/>
      <c r="NWZ1" s="3"/>
      <c r="NXA1" s="3"/>
      <c r="NXB1" s="3"/>
      <c r="NXC1" s="3"/>
      <c r="NXD1" s="3"/>
      <c r="NXE1" s="3"/>
      <c r="NXF1" s="3"/>
      <c r="NXG1" s="3"/>
      <c r="NXH1" s="3"/>
      <c r="NXI1" s="3"/>
      <c r="NXJ1" s="3"/>
      <c r="NXK1" s="3"/>
      <c r="NXL1" s="3"/>
      <c r="NXM1" s="3"/>
      <c r="NXN1" s="3"/>
      <c r="NXO1" s="3"/>
      <c r="NXP1" s="3"/>
      <c r="NXQ1" s="3"/>
      <c r="NXR1" s="3"/>
      <c r="NXS1" s="3"/>
      <c r="NXT1" s="3"/>
      <c r="NXU1" s="3"/>
      <c r="NXV1" s="3"/>
      <c r="NXW1" s="3"/>
      <c r="NXX1" s="3"/>
      <c r="NXY1" s="3"/>
      <c r="NXZ1" s="3"/>
      <c r="NYA1" s="3"/>
      <c r="NYB1" s="3"/>
      <c r="NYC1" s="3"/>
      <c r="NYD1" s="3"/>
      <c r="NYE1" s="3"/>
      <c r="NYF1" s="3"/>
      <c r="NYG1" s="3"/>
      <c r="NYH1" s="3"/>
      <c r="NYI1" s="3"/>
      <c r="NYJ1" s="3"/>
      <c r="NYK1" s="3"/>
      <c r="NYL1" s="3"/>
      <c r="NYM1" s="3"/>
      <c r="NYN1" s="3"/>
      <c r="NYO1" s="3"/>
      <c r="NYP1" s="3"/>
      <c r="NYQ1" s="3"/>
      <c r="NYR1" s="3"/>
      <c r="NYS1" s="3"/>
      <c r="NYT1" s="3"/>
      <c r="NYU1" s="3"/>
      <c r="NYV1" s="3"/>
      <c r="NYW1" s="3"/>
      <c r="NYX1" s="3"/>
      <c r="NYY1" s="3"/>
      <c r="NYZ1" s="3"/>
      <c r="NZA1" s="3"/>
      <c r="NZB1" s="3"/>
      <c r="NZC1" s="3"/>
      <c r="NZD1" s="3"/>
      <c r="NZE1" s="3"/>
      <c r="NZF1" s="3"/>
      <c r="NZG1" s="3"/>
      <c r="NZH1" s="3"/>
      <c r="NZI1" s="3"/>
      <c r="NZJ1" s="3"/>
      <c r="NZK1" s="3"/>
      <c r="NZL1" s="3"/>
      <c r="NZM1" s="3"/>
      <c r="NZN1" s="3"/>
      <c r="NZO1" s="3"/>
      <c r="NZP1" s="3"/>
      <c r="NZQ1" s="3"/>
      <c r="NZR1" s="3"/>
      <c r="NZS1" s="3"/>
      <c r="NZT1" s="3"/>
      <c r="NZU1" s="3"/>
      <c r="NZV1" s="3"/>
      <c r="NZW1" s="3"/>
      <c r="NZX1" s="3"/>
      <c r="NZY1" s="3"/>
      <c r="NZZ1" s="3"/>
      <c r="OAA1" s="3"/>
      <c r="OAB1" s="3"/>
      <c r="OAC1" s="3"/>
      <c r="OAD1" s="3"/>
      <c r="OAE1" s="3"/>
      <c r="OAF1" s="3"/>
      <c r="OAG1" s="3"/>
      <c r="OAH1" s="3"/>
      <c r="OAI1" s="3"/>
      <c r="OAJ1" s="3"/>
      <c r="OAK1" s="3"/>
      <c r="OAL1" s="3"/>
      <c r="OAM1" s="3"/>
      <c r="OAN1" s="3"/>
      <c r="OAO1" s="3"/>
      <c r="OAP1" s="3"/>
      <c r="OAQ1" s="3"/>
      <c r="OAR1" s="3"/>
      <c r="OAS1" s="3"/>
      <c r="OAT1" s="3"/>
      <c r="OAU1" s="3"/>
      <c r="OAV1" s="3"/>
      <c r="OAW1" s="3"/>
      <c r="OAX1" s="3"/>
      <c r="OAY1" s="3"/>
      <c r="OAZ1" s="3"/>
      <c r="OBA1" s="3"/>
      <c r="OBB1" s="3"/>
      <c r="OBC1" s="3"/>
      <c r="OBD1" s="3"/>
      <c r="OBE1" s="3"/>
      <c r="OBF1" s="3"/>
      <c r="OBG1" s="3"/>
      <c r="OBH1" s="3"/>
      <c r="OBI1" s="3"/>
      <c r="OBJ1" s="3"/>
      <c r="OBK1" s="3"/>
      <c r="OBL1" s="3"/>
      <c r="OBM1" s="3"/>
      <c r="OBN1" s="3"/>
      <c r="OBO1" s="3"/>
      <c r="OBP1" s="3"/>
      <c r="OBQ1" s="3"/>
      <c r="OBR1" s="3"/>
      <c r="OBS1" s="3"/>
      <c r="OBT1" s="3"/>
      <c r="OBU1" s="3"/>
      <c r="OBV1" s="3"/>
      <c r="OBW1" s="3"/>
      <c r="OBX1" s="3"/>
      <c r="OBY1" s="3"/>
      <c r="OBZ1" s="3"/>
      <c r="OCA1" s="3"/>
      <c r="OCB1" s="3"/>
      <c r="OCC1" s="3"/>
      <c r="OCD1" s="3"/>
      <c r="OCE1" s="3"/>
      <c r="OCF1" s="3"/>
      <c r="OCG1" s="3"/>
      <c r="OCH1" s="3"/>
      <c r="OCI1" s="3"/>
      <c r="OCJ1" s="3"/>
      <c r="OCK1" s="3"/>
      <c r="OCL1" s="3"/>
      <c r="OCM1" s="3"/>
      <c r="OCN1" s="3"/>
      <c r="OCO1" s="3"/>
      <c r="OCP1" s="3"/>
      <c r="OCQ1" s="3"/>
      <c r="OCR1" s="3"/>
      <c r="OCS1" s="3"/>
      <c r="OCT1" s="3"/>
      <c r="OCU1" s="3"/>
      <c r="OCV1" s="3"/>
      <c r="OCW1" s="3"/>
      <c r="OCX1" s="3"/>
      <c r="OCY1" s="3"/>
      <c r="OCZ1" s="3"/>
      <c r="ODA1" s="3"/>
      <c r="ODB1" s="3"/>
      <c r="ODC1" s="3"/>
      <c r="ODD1" s="3"/>
      <c r="ODE1" s="3"/>
      <c r="ODF1" s="3"/>
      <c r="ODG1" s="3"/>
      <c r="ODH1" s="3"/>
      <c r="ODI1" s="3"/>
      <c r="ODJ1" s="3"/>
      <c r="ODK1" s="3"/>
      <c r="ODL1" s="3"/>
      <c r="ODM1" s="3"/>
      <c r="ODN1" s="3"/>
      <c r="ODO1" s="3"/>
      <c r="ODP1" s="3"/>
      <c r="ODQ1" s="3"/>
      <c r="ODR1" s="3"/>
      <c r="ODS1" s="3"/>
      <c r="ODT1" s="3"/>
      <c r="ODU1" s="3"/>
      <c r="ODV1" s="3"/>
      <c r="ODW1" s="3"/>
      <c r="ODX1" s="3"/>
      <c r="ODY1" s="3"/>
      <c r="ODZ1" s="3"/>
      <c r="OEA1" s="3"/>
      <c r="OEB1" s="3"/>
      <c r="OEC1" s="3"/>
      <c r="OED1" s="3"/>
      <c r="OEE1" s="3"/>
      <c r="OEF1" s="3"/>
      <c r="OEG1" s="3"/>
      <c r="OEH1" s="3"/>
      <c r="OEI1" s="3"/>
      <c r="OEJ1" s="3"/>
      <c r="OEK1" s="3"/>
      <c r="OEL1" s="3"/>
      <c r="OEM1" s="3"/>
      <c r="OEN1" s="3"/>
      <c r="OEO1" s="3"/>
      <c r="OEP1" s="3"/>
      <c r="OEQ1" s="3"/>
      <c r="OER1" s="3"/>
      <c r="OES1" s="3"/>
      <c r="OET1" s="3"/>
      <c r="OEU1" s="3"/>
      <c r="OEV1" s="3"/>
      <c r="OEW1" s="3"/>
      <c r="OEX1" s="3"/>
      <c r="OEY1" s="3"/>
      <c r="OEZ1" s="3"/>
      <c r="OFA1" s="3"/>
      <c r="OFB1" s="3"/>
      <c r="OFC1" s="3"/>
      <c r="OFD1" s="3"/>
      <c r="OFE1" s="3"/>
      <c r="OFF1" s="3"/>
      <c r="OFG1" s="3"/>
      <c r="OFH1" s="3"/>
      <c r="OFI1" s="3"/>
      <c r="OFJ1" s="3"/>
      <c r="OFK1" s="3"/>
      <c r="OFL1" s="3"/>
      <c r="OFM1" s="3"/>
      <c r="OFN1" s="3"/>
      <c r="OFO1" s="3"/>
      <c r="OFP1" s="3"/>
      <c r="OFQ1" s="3"/>
      <c r="OFR1" s="3"/>
      <c r="OFS1" s="3"/>
      <c r="OFT1" s="3"/>
      <c r="OFU1" s="3"/>
      <c r="OFV1" s="3"/>
      <c r="OFW1" s="3"/>
      <c r="OFX1" s="3"/>
      <c r="OFY1" s="3"/>
      <c r="OFZ1" s="3"/>
      <c r="OGA1" s="3"/>
      <c r="OGB1" s="3"/>
      <c r="OGC1" s="3"/>
      <c r="OGD1" s="3"/>
      <c r="OGE1" s="3"/>
      <c r="OGF1" s="3"/>
      <c r="OGG1" s="3"/>
      <c r="OGH1" s="3"/>
      <c r="OGI1" s="3"/>
      <c r="OGJ1" s="3"/>
      <c r="OGK1" s="3"/>
      <c r="OGL1" s="3"/>
      <c r="OGM1" s="3"/>
      <c r="OGN1" s="3"/>
      <c r="OGO1" s="3"/>
      <c r="OGP1" s="3"/>
      <c r="OGQ1" s="3"/>
      <c r="OGR1" s="3"/>
      <c r="OGS1" s="3"/>
      <c r="OGT1" s="3"/>
      <c r="OGU1" s="3"/>
      <c r="OGV1" s="3"/>
      <c r="OGW1" s="3"/>
      <c r="OGX1" s="3"/>
      <c r="OGY1" s="3"/>
      <c r="OGZ1" s="3"/>
      <c r="OHA1" s="3"/>
      <c r="OHB1" s="3"/>
      <c r="OHC1" s="3"/>
      <c r="OHD1" s="3"/>
      <c r="OHE1" s="3"/>
      <c r="OHF1" s="3"/>
      <c r="OHG1" s="3"/>
      <c r="OHH1" s="3"/>
      <c r="OHI1" s="3"/>
      <c r="OHJ1" s="3"/>
      <c r="OHK1" s="3"/>
      <c r="OHL1" s="3"/>
      <c r="OHM1" s="3"/>
      <c r="OHN1" s="3"/>
      <c r="OHO1" s="3"/>
      <c r="OHP1" s="3"/>
      <c r="OHQ1" s="3"/>
      <c r="OHR1" s="3"/>
      <c r="OHS1" s="3"/>
      <c r="OHT1" s="3"/>
      <c r="OHU1" s="3"/>
      <c r="OHV1" s="3"/>
      <c r="OHW1" s="3"/>
      <c r="OHX1" s="3"/>
      <c r="OHY1" s="3"/>
      <c r="OHZ1" s="3"/>
      <c r="OIA1" s="3"/>
      <c r="OIB1" s="3"/>
      <c r="OIC1" s="3"/>
      <c r="OID1" s="3"/>
      <c r="OIE1" s="3"/>
      <c r="OIF1" s="3"/>
      <c r="OIG1" s="3"/>
      <c r="OIH1" s="3"/>
      <c r="OII1" s="3"/>
      <c r="OIJ1" s="3"/>
      <c r="OIK1" s="3"/>
      <c r="OIL1" s="3"/>
      <c r="OIM1" s="3"/>
      <c r="OIN1" s="3"/>
      <c r="OIO1" s="3"/>
      <c r="OIP1" s="3"/>
      <c r="OIQ1" s="3"/>
      <c r="OIR1" s="3"/>
      <c r="OIS1" s="3"/>
      <c r="OIT1" s="3"/>
      <c r="OIU1" s="3"/>
      <c r="OIV1" s="3"/>
      <c r="OIW1" s="3"/>
      <c r="OIX1" s="3"/>
      <c r="OIY1" s="3"/>
      <c r="OIZ1" s="3"/>
      <c r="OJA1" s="3"/>
      <c r="OJB1" s="3"/>
      <c r="OJC1" s="3"/>
      <c r="OJD1" s="3"/>
      <c r="OJE1" s="3"/>
      <c r="OJF1" s="3"/>
      <c r="OJG1" s="3"/>
      <c r="OJH1" s="3"/>
      <c r="OJI1" s="3"/>
      <c r="OJJ1" s="3"/>
      <c r="OJK1" s="3"/>
      <c r="OJL1" s="3"/>
      <c r="OJM1" s="3"/>
      <c r="OJN1" s="3"/>
      <c r="OJO1" s="3"/>
      <c r="OJP1" s="3"/>
      <c r="OJQ1" s="3"/>
      <c r="OJR1" s="3"/>
      <c r="OJS1" s="3"/>
      <c r="OJT1" s="3"/>
      <c r="OJU1" s="3"/>
      <c r="OJV1" s="3"/>
      <c r="OJW1" s="3"/>
      <c r="OJX1" s="3"/>
      <c r="OJY1" s="3"/>
      <c r="OJZ1" s="3"/>
      <c r="OKA1" s="3"/>
      <c r="OKB1" s="3"/>
      <c r="OKC1" s="3"/>
      <c r="OKD1" s="3"/>
      <c r="OKE1" s="3"/>
      <c r="OKF1" s="3"/>
      <c r="OKG1" s="3"/>
      <c r="OKH1" s="3"/>
      <c r="OKI1" s="3"/>
      <c r="OKJ1" s="3"/>
      <c r="OKK1" s="3"/>
      <c r="OKL1" s="3"/>
      <c r="OKM1" s="3"/>
      <c r="OKN1" s="3"/>
      <c r="OKO1" s="3"/>
      <c r="OKP1" s="3"/>
      <c r="OKQ1" s="3"/>
      <c r="OKR1" s="3"/>
      <c r="OKS1" s="3"/>
      <c r="OKT1" s="3"/>
      <c r="OKU1" s="3"/>
      <c r="OKV1" s="3"/>
      <c r="OKW1" s="3"/>
      <c r="OKX1" s="3"/>
      <c r="OKY1" s="3"/>
      <c r="OKZ1" s="3"/>
      <c r="OLA1" s="3"/>
      <c r="OLB1" s="3"/>
      <c r="OLC1" s="3"/>
      <c r="OLD1" s="3"/>
      <c r="OLE1" s="3"/>
      <c r="OLF1" s="3"/>
      <c r="OLG1" s="3"/>
      <c r="OLH1" s="3"/>
      <c r="OLI1" s="3"/>
      <c r="OLJ1" s="3"/>
      <c r="OLK1" s="3"/>
      <c r="OLL1" s="3"/>
      <c r="OLM1" s="3"/>
      <c r="OLN1" s="3"/>
      <c r="OLO1" s="3"/>
      <c r="OLP1" s="3"/>
      <c r="OLQ1" s="3"/>
      <c r="OLR1" s="3"/>
      <c r="OLS1" s="3"/>
      <c r="OLT1" s="3"/>
      <c r="OLU1" s="3"/>
      <c r="OLV1" s="3"/>
      <c r="OLW1" s="3"/>
      <c r="OLX1" s="3"/>
      <c r="OLY1" s="3"/>
      <c r="OLZ1" s="3"/>
      <c r="OMA1" s="3"/>
      <c r="OMB1" s="3"/>
      <c r="OMC1" s="3"/>
      <c r="OMD1" s="3"/>
      <c r="OME1" s="3"/>
      <c r="OMF1" s="3"/>
      <c r="OMG1" s="3"/>
      <c r="OMH1" s="3"/>
      <c r="OMI1" s="3"/>
      <c r="OMJ1" s="3"/>
      <c r="OMK1" s="3"/>
      <c r="OML1" s="3"/>
      <c r="OMM1" s="3"/>
      <c r="OMN1" s="3"/>
      <c r="OMO1" s="3"/>
      <c r="OMP1" s="3"/>
      <c r="OMQ1" s="3"/>
      <c r="OMR1" s="3"/>
      <c r="OMS1" s="3"/>
      <c r="OMT1" s="3"/>
      <c r="OMU1" s="3"/>
      <c r="OMV1" s="3"/>
      <c r="OMW1" s="3"/>
      <c r="OMX1" s="3"/>
      <c r="OMY1" s="3"/>
      <c r="OMZ1" s="3"/>
      <c r="ONA1" s="3"/>
      <c r="ONB1" s="3"/>
      <c r="ONC1" s="3"/>
      <c r="OND1" s="3"/>
      <c r="ONE1" s="3"/>
      <c r="ONF1" s="3"/>
      <c r="ONG1" s="3"/>
      <c r="ONH1" s="3"/>
      <c r="ONI1" s="3"/>
      <c r="ONJ1" s="3"/>
      <c r="ONK1" s="3"/>
      <c r="ONL1" s="3"/>
      <c r="ONM1" s="3"/>
      <c r="ONN1" s="3"/>
      <c r="ONO1" s="3"/>
      <c r="ONP1" s="3"/>
      <c r="ONQ1" s="3"/>
      <c r="ONR1" s="3"/>
      <c r="ONS1" s="3"/>
      <c r="ONT1" s="3"/>
      <c r="ONU1" s="3"/>
      <c r="ONV1" s="3"/>
      <c r="ONW1" s="3"/>
      <c r="ONX1" s="3"/>
      <c r="ONY1" s="3"/>
      <c r="ONZ1" s="3"/>
      <c r="OOA1" s="3"/>
      <c r="OOB1" s="3"/>
      <c r="OOC1" s="3"/>
      <c r="OOD1" s="3"/>
      <c r="OOE1" s="3"/>
      <c r="OOF1" s="3"/>
      <c r="OOG1" s="3"/>
      <c r="OOH1" s="3"/>
      <c r="OOI1" s="3"/>
      <c r="OOJ1" s="3"/>
      <c r="OOK1" s="3"/>
      <c r="OOL1" s="3"/>
      <c r="OOM1" s="3"/>
      <c r="OON1" s="3"/>
      <c r="OOO1" s="3"/>
      <c r="OOP1" s="3"/>
      <c r="OOQ1" s="3"/>
      <c r="OOR1" s="3"/>
      <c r="OOS1" s="3"/>
      <c r="OOT1" s="3"/>
      <c r="OOU1" s="3"/>
      <c r="OOV1" s="3"/>
      <c r="OOW1" s="3"/>
      <c r="OOX1" s="3"/>
      <c r="OOY1" s="3"/>
      <c r="OOZ1" s="3"/>
      <c r="OPA1" s="3"/>
      <c r="OPB1" s="3"/>
      <c r="OPC1" s="3"/>
      <c r="OPD1" s="3"/>
      <c r="OPE1" s="3"/>
      <c r="OPF1" s="3"/>
      <c r="OPG1" s="3"/>
      <c r="OPH1" s="3"/>
      <c r="OPI1" s="3"/>
      <c r="OPJ1" s="3"/>
      <c r="OPK1" s="3"/>
      <c r="OPL1" s="3"/>
      <c r="OPM1" s="3"/>
      <c r="OPN1" s="3"/>
      <c r="OPO1" s="3"/>
      <c r="OPP1" s="3"/>
      <c r="OPQ1" s="3"/>
      <c r="OPR1" s="3"/>
      <c r="OPS1" s="3"/>
      <c r="OPT1" s="3"/>
      <c r="OPU1" s="3"/>
      <c r="OPV1" s="3"/>
      <c r="OPW1" s="3"/>
      <c r="OPX1" s="3"/>
      <c r="OPY1" s="3"/>
      <c r="OPZ1" s="3"/>
      <c r="OQA1" s="3"/>
      <c r="OQB1" s="3"/>
      <c r="OQC1" s="3"/>
      <c r="OQD1" s="3"/>
      <c r="OQE1" s="3"/>
      <c r="OQF1" s="3"/>
      <c r="OQG1" s="3"/>
      <c r="OQH1" s="3"/>
      <c r="OQI1" s="3"/>
      <c r="OQJ1" s="3"/>
      <c r="OQK1" s="3"/>
      <c r="OQL1" s="3"/>
      <c r="OQM1" s="3"/>
      <c r="OQN1" s="3"/>
      <c r="OQO1" s="3"/>
      <c r="OQP1" s="3"/>
      <c r="OQQ1" s="3"/>
      <c r="OQR1" s="3"/>
      <c r="OQS1" s="3"/>
      <c r="OQT1" s="3"/>
      <c r="OQU1" s="3"/>
      <c r="OQV1" s="3"/>
      <c r="OQW1" s="3"/>
      <c r="OQX1" s="3"/>
      <c r="OQY1" s="3"/>
      <c r="OQZ1" s="3"/>
      <c r="ORA1" s="3"/>
      <c r="ORB1" s="3"/>
      <c r="ORC1" s="3"/>
      <c r="ORD1" s="3"/>
      <c r="ORE1" s="3"/>
      <c r="ORF1" s="3"/>
      <c r="ORG1" s="3"/>
      <c r="ORH1" s="3"/>
      <c r="ORI1" s="3"/>
      <c r="ORJ1" s="3"/>
      <c r="ORK1" s="3"/>
      <c r="ORL1" s="3"/>
      <c r="ORM1" s="3"/>
      <c r="ORN1" s="3"/>
      <c r="ORO1" s="3"/>
      <c r="ORP1" s="3"/>
      <c r="ORQ1" s="3"/>
      <c r="ORR1" s="3"/>
      <c r="ORS1" s="3"/>
      <c r="ORT1" s="3"/>
      <c r="ORU1" s="3"/>
      <c r="ORV1" s="3"/>
      <c r="ORW1" s="3"/>
      <c r="ORX1" s="3"/>
      <c r="ORY1" s="3"/>
      <c r="ORZ1" s="3"/>
      <c r="OSA1" s="3"/>
      <c r="OSB1" s="3"/>
      <c r="OSC1" s="3"/>
      <c r="OSD1" s="3"/>
      <c r="OSE1" s="3"/>
      <c r="OSF1" s="3"/>
      <c r="OSG1" s="3"/>
      <c r="OSH1" s="3"/>
      <c r="OSI1" s="3"/>
      <c r="OSJ1" s="3"/>
      <c r="OSK1" s="3"/>
      <c r="OSL1" s="3"/>
      <c r="OSM1" s="3"/>
      <c r="OSN1" s="3"/>
      <c r="OSO1" s="3"/>
      <c r="OSP1" s="3"/>
      <c r="OSQ1" s="3"/>
      <c r="OSR1" s="3"/>
      <c r="OSS1" s="3"/>
      <c r="OST1" s="3"/>
      <c r="OSU1" s="3"/>
      <c r="OSV1" s="3"/>
      <c r="OSW1" s="3"/>
      <c r="OSX1" s="3"/>
      <c r="OSY1" s="3"/>
      <c r="OSZ1" s="3"/>
      <c r="OTA1" s="3"/>
      <c r="OTB1" s="3"/>
      <c r="OTC1" s="3"/>
      <c r="OTD1" s="3"/>
      <c r="OTE1" s="3"/>
      <c r="OTF1" s="3"/>
      <c r="OTG1" s="3"/>
      <c r="OTH1" s="3"/>
      <c r="OTI1" s="3"/>
      <c r="OTJ1" s="3"/>
      <c r="OTK1" s="3"/>
      <c r="OTL1" s="3"/>
      <c r="OTM1" s="3"/>
      <c r="OTN1" s="3"/>
      <c r="OTO1" s="3"/>
      <c r="OTP1" s="3"/>
      <c r="OTQ1" s="3"/>
      <c r="OTR1" s="3"/>
      <c r="OTS1" s="3"/>
      <c r="OTT1" s="3"/>
      <c r="OTU1" s="3"/>
      <c r="OTV1" s="3"/>
      <c r="OTW1" s="3"/>
      <c r="OTX1" s="3"/>
      <c r="OTY1" s="3"/>
      <c r="OTZ1" s="3"/>
      <c r="OUA1" s="3"/>
      <c r="OUB1" s="3"/>
      <c r="OUC1" s="3"/>
      <c r="OUD1" s="3"/>
      <c r="OUE1" s="3"/>
      <c r="OUF1" s="3"/>
      <c r="OUG1" s="3"/>
      <c r="OUH1" s="3"/>
      <c r="OUI1" s="3"/>
      <c r="OUJ1" s="3"/>
      <c r="OUK1" s="3"/>
      <c r="OUL1" s="3"/>
      <c r="OUM1" s="3"/>
      <c r="OUN1" s="3"/>
      <c r="OUO1" s="3"/>
      <c r="OUP1" s="3"/>
      <c r="OUQ1" s="3"/>
      <c r="OUR1" s="3"/>
      <c r="OUS1" s="3"/>
      <c r="OUT1" s="3"/>
      <c r="OUU1" s="3"/>
      <c r="OUV1" s="3"/>
      <c r="OUW1" s="3"/>
      <c r="OUX1" s="3"/>
      <c r="OUY1" s="3"/>
      <c r="OUZ1" s="3"/>
      <c r="OVA1" s="3"/>
      <c r="OVB1" s="3"/>
      <c r="OVC1" s="3"/>
      <c r="OVD1" s="3"/>
      <c r="OVE1" s="3"/>
      <c r="OVF1" s="3"/>
      <c r="OVG1" s="3"/>
      <c r="OVH1" s="3"/>
      <c r="OVI1" s="3"/>
      <c r="OVJ1" s="3"/>
      <c r="OVK1" s="3"/>
      <c r="OVL1" s="3"/>
      <c r="OVM1" s="3"/>
      <c r="OVN1" s="3"/>
      <c r="OVO1" s="3"/>
      <c r="OVP1" s="3"/>
      <c r="OVQ1" s="3"/>
      <c r="OVR1" s="3"/>
      <c r="OVS1" s="3"/>
      <c r="OVT1" s="3"/>
      <c r="OVU1" s="3"/>
      <c r="OVV1" s="3"/>
      <c r="OVW1" s="3"/>
      <c r="OVX1" s="3"/>
      <c r="OVY1" s="3"/>
      <c r="OVZ1" s="3"/>
      <c r="OWA1" s="3"/>
      <c r="OWB1" s="3"/>
      <c r="OWC1" s="3"/>
      <c r="OWD1" s="3"/>
      <c r="OWE1" s="3"/>
      <c r="OWF1" s="3"/>
      <c r="OWG1" s="3"/>
      <c r="OWH1" s="3"/>
      <c r="OWI1" s="3"/>
      <c r="OWJ1" s="3"/>
      <c r="OWK1" s="3"/>
      <c r="OWL1" s="3"/>
      <c r="OWM1" s="3"/>
      <c r="OWN1" s="3"/>
      <c r="OWO1" s="3"/>
      <c r="OWP1" s="3"/>
      <c r="OWQ1" s="3"/>
      <c r="OWR1" s="3"/>
      <c r="OWS1" s="3"/>
      <c r="OWT1" s="3"/>
      <c r="OWU1" s="3"/>
      <c r="OWV1" s="3"/>
      <c r="OWW1" s="3"/>
      <c r="OWX1" s="3"/>
      <c r="OWY1" s="3"/>
      <c r="OWZ1" s="3"/>
      <c r="OXA1" s="3"/>
      <c r="OXB1" s="3"/>
      <c r="OXC1" s="3"/>
      <c r="OXD1" s="3"/>
      <c r="OXE1" s="3"/>
      <c r="OXF1" s="3"/>
      <c r="OXG1" s="3"/>
      <c r="OXH1" s="3"/>
      <c r="OXI1" s="3"/>
      <c r="OXJ1" s="3"/>
      <c r="OXK1" s="3"/>
      <c r="OXL1" s="3"/>
      <c r="OXM1" s="3"/>
      <c r="OXN1" s="3"/>
      <c r="OXO1" s="3"/>
      <c r="OXP1" s="3"/>
      <c r="OXQ1" s="3"/>
      <c r="OXR1" s="3"/>
      <c r="OXS1" s="3"/>
      <c r="OXT1" s="3"/>
      <c r="OXU1" s="3"/>
      <c r="OXV1" s="3"/>
      <c r="OXW1" s="3"/>
      <c r="OXX1" s="3"/>
      <c r="OXY1" s="3"/>
      <c r="OXZ1" s="3"/>
      <c r="OYA1" s="3"/>
      <c r="OYB1" s="3"/>
      <c r="OYC1" s="3"/>
      <c r="OYD1" s="3"/>
      <c r="OYE1" s="3"/>
      <c r="OYF1" s="3"/>
      <c r="OYG1" s="3"/>
      <c r="OYH1" s="3"/>
      <c r="OYI1" s="3"/>
      <c r="OYJ1" s="3"/>
      <c r="OYK1" s="3"/>
      <c r="OYL1" s="3"/>
      <c r="OYM1" s="3"/>
      <c r="OYN1" s="3"/>
      <c r="OYO1" s="3"/>
      <c r="OYP1" s="3"/>
      <c r="OYQ1" s="3"/>
      <c r="OYR1" s="3"/>
      <c r="OYS1" s="3"/>
      <c r="OYT1" s="3"/>
      <c r="OYU1" s="3"/>
      <c r="OYV1" s="3"/>
      <c r="OYW1" s="3"/>
      <c r="OYX1" s="3"/>
      <c r="OYY1" s="3"/>
      <c r="OYZ1" s="3"/>
      <c r="OZA1" s="3"/>
      <c r="OZB1" s="3"/>
      <c r="OZC1" s="3"/>
      <c r="OZD1" s="3"/>
      <c r="OZE1" s="3"/>
      <c r="OZF1" s="3"/>
      <c r="OZG1" s="3"/>
      <c r="OZH1" s="3"/>
      <c r="OZI1" s="3"/>
      <c r="OZJ1" s="3"/>
      <c r="OZK1" s="3"/>
      <c r="OZL1" s="3"/>
      <c r="OZM1" s="3"/>
      <c r="OZN1" s="3"/>
      <c r="OZO1" s="3"/>
      <c r="OZP1" s="3"/>
      <c r="OZQ1" s="3"/>
      <c r="OZR1" s="3"/>
      <c r="OZS1" s="3"/>
      <c r="OZT1" s="3"/>
      <c r="OZU1" s="3"/>
      <c r="OZV1" s="3"/>
      <c r="OZW1" s="3"/>
      <c r="OZX1" s="3"/>
      <c r="OZY1" s="3"/>
      <c r="OZZ1" s="3"/>
      <c r="PAA1" s="3"/>
      <c r="PAB1" s="3"/>
      <c r="PAC1" s="3"/>
      <c r="PAD1" s="3"/>
      <c r="PAE1" s="3"/>
      <c r="PAF1" s="3"/>
      <c r="PAG1" s="3"/>
      <c r="PAH1" s="3"/>
      <c r="PAI1" s="3"/>
      <c r="PAJ1" s="3"/>
      <c r="PAK1" s="3"/>
      <c r="PAL1" s="3"/>
      <c r="PAM1" s="3"/>
      <c r="PAN1" s="3"/>
      <c r="PAO1" s="3"/>
      <c r="PAP1" s="3"/>
      <c r="PAQ1" s="3"/>
      <c r="PAR1" s="3"/>
      <c r="PAS1" s="3"/>
      <c r="PAT1" s="3"/>
      <c r="PAU1" s="3"/>
      <c r="PAV1" s="3"/>
      <c r="PAW1" s="3"/>
      <c r="PAX1" s="3"/>
      <c r="PAY1" s="3"/>
      <c r="PAZ1" s="3"/>
      <c r="PBA1" s="3"/>
      <c r="PBB1" s="3"/>
      <c r="PBC1" s="3"/>
      <c r="PBD1" s="3"/>
      <c r="PBE1" s="3"/>
      <c r="PBF1" s="3"/>
      <c r="PBG1" s="3"/>
      <c r="PBH1" s="3"/>
      <c r="PBI1" s="3"/>
      <c r="PBJ1" s="3"/>
      <c r="PBK1" s="3"/>
      <c r="PBL1" s="3"/>
      <c r="PBM1" s="3"/>
      <c r="PBN1" s="3"/>
      <c r="PBO1" s="3"/>
      <c r="PBP1" s="3"/>
      <c r="PBQ1" s="3"/>
      <c r="PBR1" s="3"/>
      <c r="PBS1" s="3"/>
      <c r="PBT1" s="3"/>
      <c r="PBU1" s="3"/>
      <c r="PBV1" s="3"/>
      <c r="PBW1" s="3"/>
      <c r="PBX1" s="3"/>
      <c r="PBY1" s="3"/>
      <c r="PBZ1" s="3"/>
      <c r="PCA1" s="3"/>
      <c r="PCB1" s="3"/>
      <c r="PCC1" s="3"/>
      <c r="PCD1" s="3"/>
      <c r="PCE1" s="3"/>
      <c r="PCF1" s="3"/>
      <c r="PCG1" s="3"/>
      <c r="PCH1" s="3"/>
      <c r="PCI1" s="3"/>
      <c r="PCJ1" s="3"/>
      <c r="PCK1" s="3"/>
      <c r="PCL1" s="3"/>
      <c r="PCM1" s="3"/>
      <c r="PCN1" s="3"/>
      <c r="PCO1" s="3"/>
      <c r="PCP1" s="3"/>
      <c r="PCQ1" s="3"/>
      <c r="PCR1" s="3"/>
      <c r="PCS1" s="3"/>
      <c r="PCT1" s="3"/>
      <c r="PCU1" s="3"/>
      <c r="PCV1" s="3"/>
      <c r="PCW1" s="3"/>
      <c r="PCX1" s="3"/>
      <c r="PCY1" s="3"/>
      <c r="PCZ1" s="3"/>
      <c r="PDA1" s="3"/>
      <c r="PDB1" s="3"/>
      <c r="PDC1" s="3"/>
      <c r="PDD1" s="3"/>
      <c r="PDE1" s="3"/>
      <c r="PDF1" s="3"/>
      <c r="PDG1" s="3"/>
      <c r="PDH1" s="3"/>
      <c r="PDI1" s="3"/>
      <c r="PDJ1" s="3"/>
      <c r="PDK1" s="3"/>
      <c r="PDL1" s="3"/>
      <c r="PDM1" s="3"/>
      <c r="PDN1" s="3"/>
      <c r="PDO1" s="3"/>
      <c r="PDP1" s="3"/>
      <c r="PDQ1" s="3"/>
      <c r="PDR1" s="3"/>
      <c r="PDS1" s="3"/>
      <c r="PDT1" s="3"/>
      <c r="PDU1" s="3"/>
      <c r="PDV1" s="3"/>
      <c r="PDW1" s="3"/>
      <c r="PDX1" s="3"/>
      <c r="PDY1" s="3"/>
      <c r="PDZ1" s="3"/>
      <c r="PEA1" s="3"/>
      <c r="PEB1" s="3"/>
      <c r="PEC1" s="3"/>
      <c r="PED1" s="3"/>
      <c r="PEE1" s="3"/>
      <c r="PEF1" s="3"/>
      <c r="PEG1" s="3"/>
      <c r="PEH1" s="3"/>
      <c r="PEI1" s="3"/>
      <c r="PEJ1" s="3"/>
      <c r="PEK1" s="3"/>
      <c r="PEL1" s="3"/>
      <c r="PEM1" s="3"/>
      <c r="PEN1" s="3"/>
      <c r="PEO1" s="3"/>
      <c r="PEP1" s="3"/>
      <c r="PEQ1" s="3"/>
      <c r="PER1" s="3"/>
      <c r="PES1" s="3"/>
      <c r="PET1" s="3"/>
      <c r="PEU1" s="3"/>
      <c r="PEV1" s="3"/>
      <c r="PEW1" s="3"/>
      <c r="PEX1" s="3"/>
      <c r="PEY1" s="3"/>
      <c r="PEZ1" s="3"/>
      <c r="PFA1" s="3"/>
      <c r="PFB1" s="3"/>
      <c r="PFC1" s="3"/>
      <c r="PFD1" s="3"/>
      <c r="PFE1" s="3"/>
      <c r="PFF1" s="3"/>
      <c r="PFG1" s="3"/>
      <c r="PFH1" s="3"/>
      <c r="PFI1" s="3"/>
      <c r="PFJ1" s="3"/>
      <c r="PFK1" s="3"/>
      <c r="PFL1" s="3"/>
      <c r="PFM1" s="3"/>
      <c r="PFN1" s="3"/>
      <c r="PFO1" s="3"/>
      <c r="PFP1" s="3"/>
      <c r="PFQ1" s="3"/>
      <c r="PFR1" s="3"/>
      <c r="PFS1" s="3"/>
      <c r="PFT1" s="3"/>
      <c r="PFU1" s="3"/>
      <c r="PFV1" s="3"/>
      <c r="PFW1" s="3"/>
      <c r="PFX1" s="3"/>
      <c r="PFY1" s="3"/>
      <c r="PFZ1" s="3"/>
      <c r="PGA1" s="3"/>
      <c r="PGB1" s="3"/>
      <c r="PGC1" s="3"/>
      <c r="PGD1" s="3"/>
      <c r="PGE1" s="3"/>
      <c r="PGF1" s="3"/>
      <c r="PGG1" s="3"/>
      <c r="PGH1" s="3"/>
      <c r="PGI1" s="3"/>
      <c r="PGJ1" s="3"/>
      <c r="PGK1" s="3"/>
      <c r="PGL1" s="3"/>
      <c r="PGM1" s="3"/>
      <c r="PGN1" s="3"/>
      <c r="PGO1" s="3"/>
      <c r="PGP1" s="3"/>
      <c r="PGQ1" s="3"/>
      <c r="PGR1" s="3"/>
      <c r="PGS1" s="3"/>
      <c r="PGT1" s="3"/>
      <c r="PGU1" s="3"/>
      <c r="PGV1" s="3"/>
      <c r="PGW1" s="3"/>
      <c r="PGX1" s="3"/>
      <c r="PGY1" s="3"/>
      <c r="PGZ1" s="3"/>
      <c r="PHA1" s="3"/>
      <c r="PHB1" s="3"/>
      <c r="PHC1" s="3"/>
      <c r="PHD1" s="3"/>
      <c r="PHE1" s="3"/>
      <c r="PHF1" s="3"/>
      <c r="PHG1" s="3"/>
      <c r="PHH1" s="3"/>
      <c r="PHI1" s="3"/>
      <c r="PHJ1" s="3"/>
      <c r="PHK1" s="3"/>
      <c r="PHL1" s="3"/>
      <c r="PHM1" s="3"/>
      <c r="PHN1" s="3"/>
      <c r="PHO1" s="3"/>
      <c r="PHP1" s="3"/>
      <c r="PHQ1" s="3"/>
      <c r="PHR1" s="3"/>
      <c r="PHS1" s="3"/>
      <c r="PHT1" s="3"/>
      <c r="PHU1" s="3"/>
      <c r="PHV1" s="3"/>
      <c r="PHW1" s="3"/>
      <c r="PHX1" s="3"/>
      <c r="PHY1" s="3"/>
      <c r="PHZ1" s="3"/>
      <c r="PIA1" s="3"/>
      <c r="PIB1" s="3"/>
      <c r="PIC1" s="3"/>
      <c r="PID1" s="3"/>
      <c r="PIE1" s="3"/>
      <c r="PIF1" s="3"/>
      <c r="PIG1" s="3"/>
      <c r="PIH1" s="3"/>
      <c r="PII1" s="3"/>
      <c r="PIJ1" s="3"/>
      <c r="PIK1" s="3"/>
      <c r="PIL1" s="3"/>
      <c r="PIM1" s="3"/>
      <c r="PIN1" s="3"/>
      <c r="PIO1" s="3"/>
      <c r="PIP1" s="3"/>
      <c r="PIQ1" s="3"/>
      <c r="PIR1" s="3"/>
      <c r="PIS1" s="3"/>
      <c r="PIT1" s="3"/>
      <c r="PIU1" s="3"/>
      <c r="PIV1" s="3"/>
      <c r="PIW1" s="3"/>
      <c r="PIX1" s="3"/>
      <c r="PIY1" s="3"/>
      <c r="PIZ1" s="3"/>
      <c r="PJA1" s="3"/>
      <c r="PJB1" s="3"/>
      <c r="PJC1" s="3"/>
      <c r="PJD1" s="3"/>
      <c r="PJE1" s="3"/>
      <c r="PJF1" s="3"/>
      <c r="PJG1" s="3"/>
      <c r="PJH1" s="3"/>
      <c r="PJI1" s="3"/>
      <c r="PJJ1" s="3"/>
      <c r="PJK1" s="3"/>
      <c r="PJL1" s="3"/>
      <c r="PJM1" s="3"/>
      <c r="PJN1" s="3"/>
      <c r="PJO1" s="3"/>
      <c r="PJP1" s="3"/>
      <c r="PJQ1" s="3"/>
      <c r="PJR1" s="3"/>
      <c r="PJS1" s="3"/>
      <c r="PJT1" s="3"/>
      <c r="PJU1" s="3"/>
      <c r="PJV1" s="3"/>
      <c r="PJW1" s="3"/>
      <c r="PJX1" s="3"/>
      <c r="PJY1" s="3"/>
      <c r="PJZ1" s="3"/>
      <c r="PKA1" s="3"/>
      <c r="PKB1" s="3"/>
      <c r="PKC1" s="3"/>
      <c r="PKD1" s="3"/>
      <c r="PKE1" s="3"/>
      <c r="PKF1" s="3"/>
      <c r="PKG1" s="3"/>
      <c r="PKH1" s="3"/>
      <c r="PKI1" s="3"/>
      <c r="PKJ1" s="3"/>
      <c r="PKK1" s="3"/>
      <c r="PKL1" s="3"/>
      <c r="PKM1" s="3"/>
      <c r="PKN1" s="3"/>
      <c r="PKO1" s="3"/>
      <c r="PKP1" s="3"/>
      <c r="PKQ1" s="3"/>
      <c r="PKR1" s="3"/>
      <c r="PKS1" s="3"/>
      <c r="PKT1" s="3"/>
      <c r="PKU1" s="3"/>
      <c r="PKV1" s="3"/>
      <c r="PKW1" s="3"/>
      <c r="PKX1" s="3"/>
      <c r="PKY1" s="3"/>
      <c r="PKZ1" s="3"/>
      <c r="PLA1" s="3"/>
      <c r="PLB1" s="3"/>
      <c r="PLC1" s="3"/>
      <c r="PLD1" s="3"/>
      <c r="PLE1" s="3"/>
      <c r="PLF1" s="3"/>
      <c r="PLG1" s="3"/>
      <c r="PLH1" s="3"/>
      <c r="PLI1" s="3"/>
      <c r="PLJ1" s="3"/>
      <c r="PLK1" s="3"/>
      <c r="PLL1" s="3"/>
      <c r="PLM1" s="3"/>
      <c r="PLN1" s="3"/>
      <c r="PLO1" s="3"/>
      <c r="PLP1" s="3"/>
      <c r="PLQ1" s="3"/>
      <c r="PLR1" s="3"/>
      <c r="PLS1" s="3"/>
      <c r="PLT1" s="3"/>
      <c r="PLU1" s="3"/>
      <c r="PLV1" s="3"/>
      <c r="PLW1" s="3"/>
      <c r="PLX1" s="3"/>
      <c r="PLY1" s="3"/>
      <c r="PLZ1" s="3"/>
      <c r="PMA1" s="3"/>
      <c r="PMB1" s="3"/>
      <c r="PMC1" s="3"/>
      <c r="PMD1" s="3"/>
      <c r="PME1" s="3"/>
      <c r="PMF1" s="3"/>
      <c r="PMG1" s="3"/>
      <c r="PMH1" s="3"/>
      <c r="PMI1" s="3"/>
      <c r="PMJ1" s="3"/>
      <c r="PMK1" s="3"/>
      <c r="PML1" s="3"/>
      <c r="PMM1" s="3"/>
      <c r="PMN1" s="3"/>
      <c r="PMO1" s="3"/>
      <c r="PMP1" s="3"/>
      <c r="PMQ1" s="3"/>
      <c r="PMR1" s="3"/>
      <c r="PMS1" s="3"/>
      <c r="PMT1" s="3"/>
      <c r="PMU1" s="3"/>
      <c r="PMV1" s="3"/>
      <c r="PMW1" s="3"/>
      <c r="PMX1" s="3"/>
      <c r="PMY1" s="3"/>
      <c r="PMZ1" s="3"/>
      <c r="PNA1" s="3"/>
      <c r="PNB1" s="3"/>
      <c r="PNC1" s="3"/>
      <c r="PND1" s="3"/>
      <c r="PNE1" s="3"/>
      <c r="PNF1" s="3"/>
      <c r="PNG1" s="3"/>
      <c r="PNH1" s="3"/>
      <c r="PNI1" s="3"/>
      <c r="PNJ1" s="3"/>
      <c r="PNK1" s="3"/>
      <c r="PNL1" s="3"/>
      <c r="PNM1" s="3"/>
      <c r="PNN1" s="3"/>
      <c r="PNO1" s="3"/>
      <c r="PNP1" s="3"/>
      <c r="PNQ1" s="3"/>
      <c r="PNR1" s="3"/>
      <c r="PNS1" s="3"/>
      <c r="PNT1" s="3"/>
      <c r="PNU1" s="3"/>
      <c r="PNV1" s="3"/>
      <c r="PNW1" s="3"/>
      <c r="PNX1" s="3"/>
      <c r="PNY1" s="3"/>
      <c r="PNZ1" s="3"/>
      <c r="POA1" s="3"/>
      <c r="POB1" s="3"/>
      <c r="POC1" s="3"/>
      <c r="POD1" s="3"/>
      <c r="POE1" s="3"/>
      <c r="POF1" s="3"/>
      <c r="POG1" s="3"/>
      <c r="POH1" s="3"/>
      <c r="POI1" s="3"/>
      <c r="POJ1" s="3"/>
      <c r="POK1" s="3"/>
      <c r="POL1" s="3"/>
      <c r="POM1" s="3"/>
      <c r="PON1" s="3"/>
      <c r="POO1" s="3"/>
      <c r="POP1" s="3"/>
      <c r="POQ1" s="3"/>
      <c r="POR1" s="3"/>
      <c r="POS1" s="3"/>
      <c r="POT1" s="3"/>
      <c r="POU1" s="3"/>
      <c r="POV1" s="3"/>
      <c r="POW1" s="3"/>
      <c r="POX1" s="3"/>
      <c r="POY1" s="3"/>
      <c r="POZ1" s="3"/>
      <c r="PPA1" s="3"/>
      <c r="PPB1" s="3"/>
      <c r="PPC1" s="3"/>
      <c r="PPD1" s="3"/>
      <c r="PPE1" s="3"/>
      <c r="PPF1" s="3"/>
      <c r="PPG1" s="3"/>
      <c r="PPH1" s="3"/>
      <c r="PPI1" s="3"/>
      <c r="PPJ1" s="3"/>
      <c r="PPK1" s="3"/>
      <c r="PPL1" s="3"/>
      <c r="PPM1" s="3"/>
      <c r="PPN1" s="3"/>
      <c r="PPO1" s="3"/>
      <c r="PPP1" s="3"/>
      <c r="PPQ1" s="3"/>
      <c r="PPR1" s="3"/>
      <c r="PPS1" s="3"/>
      <c r="PPT1" s="3"/>
      <c r="PPU1" s="3"/>
      <c r="PPV1" s="3"/>
      <c r="PPW1" s="3"/>
      <c r="PPX1" s="3"/>
      <c r="PPY1" s="3"/>
      <c r="PPZ1" s="3"/>
      <c r="PQA1" s="3"/>
      <c r="PQB1" s="3"/>
      <c r="PQC1" s="3"/>
      <c r="PQD1" s="3"/>
      <c r="PQE1" s="3"/>
      <c r="PQF1" s="3"/>
      <c r="PQG1" s="3"/>
      <c r="PQH1" s="3"/>
      <c r="PQI1" s="3"/>
      <c r="PQJ1" s="3"/>
      <c r="PQK1" s="3"/>
      <c r="PQL1" s="3"/>
      <c r="PQM1" s="3"/>
      <c r="PQN1" s="3"/>
      <c r="PQO1" s="3"/>
      <c r="PQP1" s="3"/>
      <c r="PQQ1" s="3"/>
      <c r="PQR1" s="3"/>
      <c r="PQS1" s="3"/>
      <c r="PQT1" s="3"/>
      <c r="PQU1" s="3"/>
      <c r="PQV1" s="3"/>
      <c r="PQW1" s="3"/>
      <c r="PQX1" s="3"/>
      <c r="PQY1" s="3"/>
      <c r="PQZ1" s="3"/>
      <c r="PRA1" s="3"/>
      <c r="PRB1" s="3"/>
      <c r="PRC1" s="3"/>
      <c r="PRD1" s="3"/>
      <c r="PRE1" s="3"/>
      <c r="PRF1" s="3"/>
      <c r="PRG1" s="3"/>
      <c r="PRH1" s="3"/>
      <c r="PRI1" s="3"/>
      <c r="PRJ1" s="3"/>
      <c r="PRK1" s="3"/>
      <c r="PRL1" s="3"/>
      <c r="PRM1" s="3"/>
      <c r="PRN1" s="3"/>
      <c r="PRO1" s="3"/>
      <c r="PRP1" s="3"/>
      <c r="PRQ1" s="3"/>
      <c r="PRR1" s="3"/>
      <c r="PRS1" s="3"/>
      <c r="PRT1" s="3"/>
      <c r="PRU1" s="3"/>
      <c r="PRV1" s="3"/>
      <c r="PRW1" s="3"/>
      <c r="PRX1" s="3"/>
      <c r="PRY1" s="3"/>
      <c r="PRZ1" s="3"/>
      <c r="PSA1" s="3"/>
      <c r="PSB1" s="3"/>
      <c r="PSC1" s="3"/>
      <c r="PSD1" s="3"/>
      <c r="PSE1" s="3"/>
      <c r="PSF1" s="3"/>
      <c r="PSG1" s="3"/>
      <c r="PSH1" s="3"/>
      <c r="PSI1" s="3"/>
      <c r="PSJ1" s="3"/>
      <c r="PSK1" s="3"/>
      <c r="PSL1" s="3"/>
      <c r="PSM1" s="3"/>
      <c r="PSN1" s="3"/>
      <c r="PSO1" s="3"/>
      <c r="PSP1" s="3"/>
      <c r="PSQ1" s="3"/>
      <c r="PSR1" s="3"/>
      <c r="PSS1" s="3"/>
      <c r="PST1" s="3"/>
      <c r="PSU1" s="3"/>
      <c r="PSV1" s="3"/>
      <c r="PSW1" s="3"/>
      <c r="PSX1" s="3"/>
      <c r="PSY1" s="3"/>
      <c r="PSZ1" s="3"/>
      <c r="PTA1" s="3"/>
      <c r="PTB1" s="3"/>
      <c r="PTC1" s="3"/>
      <c r="PTD1" s="3"/>
      <c r="PTE1" s="3"/>
      <c r="PTF1" s="3"/>
      <c r="PTG1" s="3"/>
      <c r="PTH1" s="3"/>
      <c r="PTI1" s="3"/>
      <c r="PTJ1" s="3"/>
      <c r="PTK1" s="3"/>
      <c r="PTL1" s="3"/>
      <c r="PTM1" s="3"/>
      <c r="PTN1" s="3"/>
      <c r="PTO1" s="3"/>
      <c r="PTP1" s="3"/>
      <c r="PTQ1" s="3"/>
      <c r="PTR1" s="3"/>
      <c r="PTS1" s="3"/>
      <c r="PTT1" s="3"/>
      <c r="PTU1" s="3"/>
      <c r="PTV1" s="3"/>
      <c r="PTW1" s="3"/>
      <c r="PTX1" s="3"/>
      <c r="PTY1" s="3"/>
      <c r="PTZ1" s="3"/>
      <c r="PUA1" s="3"/>
      <c r="PUB1" s="3"/>
      <c r="PUC1" s="3"/>
      <c r="PUD1" s="3"/>
      <c r="PUE1" s="3"/>
      <c r="PUF1" s="3"/>
      <c r="PUG1" s="3"/>
      <c r="PUH1" s="3"/>
      <c r="PUI1" s="3"/>
      <c r="PUJ1" s="3"/>
      <c r="PUK1" s="3"/>
      <c r="PUL1" s="3"/>
      <c r="PUM1" s="3"/>
      <c r="PUN1" s="3"/>
      <c r="PUO1" s="3"/>
      <c r="PUP1" s="3"/>
      <c r="PUQ1" s="3"/>
      <c r="PUR1" s="3"/>
      <c r="PUS1" s="3"/>
      <c r="PUT1" s="3"/>
      <c r="PUU1" s="3"/>
      <c r="PUV1" s="3"/>
      <c r="PUW1" s="3"/>
      <c r="PUX1" s="3"/>
      <c r="PUY1" s="3"/>
      <c r="PUZ1" s="3"/>
      <c r="PVA1" s="3"/>
      <c r="PVB1" s="3"/>
      <c r="PVC1" s="3"/>
      <c r="PVD1" s="3"/>
      <c r="PVE1" s="3"/>
      <c r="PVF1" s="3"/>
      <c r="PVG1" s="3"/>
      <c r="PVH1" s="3"/>
      <c r="PVI1" s="3"/>
      <c r="PVJ1" s="3"/>
      <c r="PVK1" s="3"/>
      <c r="PVL1" s="3"/>
      <c r="PVM1" s="3"/>
      <c r="PVN1" s="3"/>
      <c r="PVO1" s="3"/>
      <c r="PVP1" s="3"/>
      <c r="PVQ1" s="3"/>
      <c r="PVR1" s="3"/>
      <c r="PVS1" s="3"/>
      <c r="PVT1" s="3"/>
      <c r="PVU1" s="3"/>
      <c r="PVV1" s="3"/>
      <c r="PVW1" s="3"/>
      <c r="PVX1" s="3"/>
      <c r="PVY1" s="3"/>
      <c r="PVZ1" s="3"/>
      <c r="PWA1" s="3"/>
      <c r="PWB1" s="3"/>
      <c r="PWC1" s="3"/>
      <c r="PWD1" s="3"/>
      <c r="PWE1" s="3"/>
      <c r="PWF1" s="3"/>
      <c r="PWG1" s="3"/>
      <c r="PWH1" s="3"/>
      <c r="PWI1" s="3"/>
      <c r="PWJ1" s="3"/>
      <c r="PWK1" s="3"/>
      <c r="PWL1" s="3"/>
      <c r="PWM1" s="3"/>
      <c r="PWN1" s="3"/>
      <c r="PWO1" s="3"/>
      <c r="PWP1" s="3"/>
      <c r="PWQ1" s="3"/>
      <c r="PWR1" s="3"/>
      <c r="PWS1" s="3"/>
      <c r="PWT1" s="3"/>
      <c r="PWU1" s="3"/>
      <c r="PWV1" s="3"/>
      <c r="PWW1" s="3"/>
      <c r="PWX1" s="3"/>
      <c r="PWY1" s="3"/>
      <c r="PWZ1" s="3"/>
      <c r="PXA1" s="3"/>
      <c r="PXB1" s="3"/>
      <c r="PXC1" s="3"/>
      <c r="PXD1" s="3"/>
      <c r="PXE1" s="3"/>
      <c r="PXF1" s="3"/>
      <c r="PXG1" s="3"/>
      <c r="PXH1" s="3"/>
      <c r="PXI1" s="3"/>
      <c r="PXJ1" s="3"/>
      <c r="PXK1" s="3"/>
      <c r="PXL1" s="3"/>
      <c r="PXM1" s="3"/>
      <c r="PXN1" s="3"/>
      <c r="PXO1" s="3"/>
      <c r="PXP1" s="3"/>
      <c r="PXQ1" s="3"/>
      <c r="PXR1" s="3"/>
      <c r="PXS1" s="3"/>
      <c r="PXT1" s="3"/>
      <c r="PXU1" s="3"/>
      <c r="PXV1" s="3"/>
      <c r="PXW1" s="3"/>
      <c r="PXX1" s="3"/>
      <c r="PXY1" s="3"/>
      <c r="PXZ1" s="3"/>
      <c r="PYA1" s="3"/>
      <c r="PYB1" s="3"/>
      <c r="PYC1" s="3"/>
      <c r="PYD1" s="3"/>
      <c r="PYE1" s="3"/>
      <c r="PYF1" s="3"/>
      <c r="PYG1" s="3"/>
      <c r="PYH1" s="3"/>
      <c r="PYI1" s="3"/>
      <c r="PYJ1" s="3"/>
      <c r="PYK1" s="3"/>
      <c r="PYL1" s="3"/>
      <c r="PYM1" s="3"/>
      <c r="PYN1" s="3"/>
      <c r="PYO1" s="3"/>
      <c r="PYP1" s="3"/>
      <c r="PYQ1" s="3"/>
      <c r="PYR1" s="3"/>
      <c r="PYS1" s="3"/>
      <c r="PYT1" s="3"/>
      <c r="PYU1" s="3"/>
      <c r="PYV1" s="3"/>
      <c r="PYW1" s="3"/>
      <c r="PYX1" s="3"/>
      <c r="PYY1" s="3"/>
      <c r="PYZ1" s="3"/>
      <c r="PZA1" s="3"/>
      <c r="PZB1" s="3"/>
      <c r="PZC1" s="3"/>
      <c r="PZD1" s="3"/>
      <c r="PZE1" s="3"/>
      <c r="PZF1" s="3"/>
      <c r="PZG1" s="3"/>
      <c r="PZH1" s="3"/>
      <c r="PZI1" s="3"/>
      <c r="PZJ1" s="3"/>
      <c r="PZK1" s="3"/>
      <c r="PZL1" s="3"/>
      <c r="PZM1" s="3"/>
      <c r="PZN1" s="3"/>
      <c r="PZO1" s="3"/>
      <c r="PZP1" s="3"/>
      <c r="PZQ1" s="3"/>
      <c r="PZR1" s="3"/>
      <c r="PZS1" s="3"/>
      <c r="PZT1" s="3"/>
      <c r="PZU1" s="3"/>
      <c r="PZV1" s="3"/>
      <c r="PZW1" s="3"/>
      <c r="PZX1" s="3"/>
      <c r="PZY1" s="3"/>
      <c r="PZZ1" s="3"/>
      <c r="QAA1" s="3"/>
      <c r="QAB1" s="3"/>
      <c r="QAC1" s="3"/>
      <c r="QAD1" s="3"/>
      <c r="QAE1" s="3"/>
      <c r="QAF1" s="3"/>
      <c r="QAG1" s="3"/>
      <c r="QAH1" s="3"/>
      <c r="QAI1" s="3"/>
      <c r="QAJ1" s="3"/>
      <c r="QAK1" s="3"/>
      <c r="QAL1" s="3"/>
      <c r="QAM1" s="3"/>
      <c r="QAN1" s="3"/>
      <c r="QAO1" s="3"/>
      <c r="QAP1" s="3"/>
      <c r="QAQ1" s="3"/>
      <c r="QAR1" s="3"/>
      <c r="QAS1" s="3"/>
      <c r="QAT1" s="3"/>
      <c r="QAU1" s="3"/>
      <c r="QAV1" s="3"/>
      <c r="QAW1" s="3"/>
      <c r="QAX1" s="3"/>
      <c r="QAY1" s="3"/>
      <c r="QAZ1" s="3"/>
      <c r="QBA1" s="3"/>
      <c r="QBB1" s="3"/>
      <c r="QBC1" s="3"/>
      <c r="QBD1" s="3"/>
      <c r="QBE1" s="3"/>
      <c r="QBF1" s="3"/>
      <c r="QBG1" s="3"/>
      <c r="QBH1" s="3"/>
      <c r="QBI1" s="3"/>
      <c r="QBJ1" s="3"/>
      <c r="QBK1" s="3"/>
      <c r="QBL1" s="3"/>
      <c r="QBM1" s="3"/>
      <c r="QBN1" s="3"/>
      <c r="QBO1" s="3"/>
      <c r="QBP1" s="3"/>
      <c r="QBQ1" s="3"/>
      <c r="QBR1" s="3"/>
      <c r="QBS1" s="3"/>
      <c r="QBT1" s="3"/>
      <c r="QBU1" s="3"/>
      <c r="QBV1" s="3"/>
      <c r="QBW1" s="3"/>
      <c r="QBX1" s="3"/>
      <c r="QBY1" s="3"/>
      <c r="QBZ1" s="3"/>
      <c r="QCA1" s="3"/>
      <c r="QCB1" s="3"/>
      <c r="QCC1" s="3"/>
      <c r="QCD1" s="3"/>
      <c r="QCE1" s="3"/>
      <c r="QCF1" s="3"/>
      <c r="QCG1" s="3"/>
      <c r="QCH1" s="3"/>
      <c r="QCI1" s="3"/>
      <c r="QCJ1" s="3"/>
      <c r="QCK1" s="3"/>
      <c r="QCL1" s="3"/>
      <c r="QCM1" s="3"/>
      <c r="QCN1" s="3"/>
      <c r="QCO1" s="3"/>
      <c r="QCP1" s="3"/>
      <c r="QCQ1" s="3"/>
      <c r="QCR1" s="3"/>
      <c r="QCS1" s="3"/>
      <c r="QCT1" s="3"/>
      <c r="QCU1" s="3"/>
      <c r="QCV1" s="3"/>
      <c r="QCW1" s="3"/>
      <c r="QCX1" s="3"/>
      <c r="QCY1" s="3"/>
      <c r="QCZ1" s="3"/>
      <c r="QDA1" s="3"/>
      <c r="QDB1" s="3"/>
      <c r="QDC1" s="3"/>
      <c r="QDD1" s="3"/>
      <c r="QDE1" s="3"/>
      <c r="QDF1" s="3"/>
      <c r="QDG1" s="3"/>
      <c r="QDH1" s="3"/>
      <c r="QDI1" s="3"/>
      <c r="QDJ1" s="3"/>
      <c r="QDK1" s="3"/>
      <c r="QDL1" s="3"/>
      <c r="QDM1" s="3"/>
      <c r="QDN1" s="3"/>
      <c r="QDO1" s="3"/>
      <c r="QDP1" s="3"/>
      <c r="QDQ1" s="3"/>
      <c r="QDR1" s="3"/>
      <c r="QDS1" s="3"/>
      <c r="QDT1" s="3"/>
      <c r="QDU1" s="3"/>
      <c r="QDV1" s="3"/>
      <c r="QDW1" s="3"/>
      <c r="QDX1" s="3"/>
      <c r="QDY1" s="3"/>
      <c r="QDZ1" s="3"/>
      <c r="QEA1" s="3"/>
      <c r="QEB1" s="3"/>
      <c r="QEC1" s="3"/>
      <c r="QED1" s="3"/>
      <c r="QEE1" s="3"/>
      <c r="QEF1" s="3"/>
      <c r="QEG1" s="3"/>
      <c r="QEH1" s="3"/>
      <c r="QEI1" s="3"/>
      <c r="QEJ1" s="3"/>
      <c r="QEK1" s="3"/>
      <c r="QEL1" s="3"/>
      <c r="QEM1" s="3"/>
      <c r="QEN1" s="3"/>
      <c r="QEO1" s="3"/>
      <c r="QEP1" s="3"/>
      <c r="QEQ1" s="3"/>
      <c r="QER1" s="3"/>
      <c r="QES1" s="3"/>
      <c r="QET1" s="3"/>
      <c r="QEU1" s="3"/>
      <c r="QEV1" s="3"/>
      <c r="QEW1" s="3"/>
      <c r="QEX1" s="3"/>
      <c r="QEY1" s="3"/>
      <c r="QEZ1" s="3"/>
      <c r="QFA1" s="3"/>
      <c r="QFB1" s="3"/>
      <c r="QFC1" s="3"/>
      <c r="QFD1" s="3"/>
      <c r="QFE1" s="3"/>
      <c r="QFF1" s="3"/>
      <c r="QFG1" s="3"/>
      <c r="QFH1" s="3"/>
      <c r="QFI1" s="3"/>
      <c r="QFJ1" s="3"/>
      <c r="QFK1" s="3"/>
      <c r="QFL1" s="3"/>
      <c r="QFM1" s="3"/>
      <c r="QFN1" s="3"/>
      <c r="QFO1" s="3"/>
      <c r="QFP1" s="3"/>
      <c r="QFQ1" s="3"/>
      <c r="QFR1" s="3"/>
      <c r="QFS1" s="3"/>
      <c r="QFT1" s="3"/>
      <c r="QFU1" s="3"/>
      <c r="QFV1" s="3"/>
      <c r="QFW1" s="3"/>
      <c r="QFX1" s="3"/>
      <c r="QFY1" s="3"/>
      <c r="QFZ1" s="3"/>
      <c r="QGA1" s="3"/>
      <c r="QGB1" s="3"/>
      <c r="QGC1" s="3"/>
      <c r="QGD1" s="3"/>
      <c r="QGE1" s="3"/>
      <c r="QGF1" s="3"/>
      <c r="QGG1" s="3"/>
      <c r="QGH1" s="3"/>
      <c r="QGI1" s="3"/>
      <c r="QGJ1" s="3"/>
      <c r="QGK1" s="3"/>
      <c r="QGL1" s="3"/>
      <c r="QGM1" s="3"/>
      <c r="QGN1" s="3"/>
      <c r="QGO1" s="3"/>
      <c r="QGP1" s="3"/>
      <c r="QGQ1" s="3"/>
      <c r="QGR1" s="3"/>
      <c r="QGS1" s="3"/>
      <c r="QGT1" s="3"/>
      <c r="QGU1" s="3"/>
      <c r="QGV1" s="3"/>
      <c r="QGW1" s="3"/>
      <c r="QGX1" s="3"/>
      <c r="QGY1" s="3"/>
      <c r="QGZ1" s="3"/>
      <c r="QHA1" s="3"/>
      <c r="QHB1" s="3"/>
      <c r="QHC1" s="3"/>
      <c r="QHD1" s="3"/>
      <c r="QHE1" s="3"/>
      <c r="QHF1" s="3"/>
      <c r="QHG1" s="3"/>
      <c r="QHH1" s="3"/>
      <c r="QHI1" s="3"/>
      <c r="QHJ1" s="3"/>
      <c r="QHK1" s="3"/>
      <c r="QHL1" s="3"/>
      <c r="QHM1" s="3"/>
      <c r="QHN1" s="3"/>
      <c r="QHO1" s="3"/>
      <c r="QHP1" s="3"/>
      <c r="QHQ1" s="3"/>
      <c r="QHR1" s="3"/>
      <c r="QHS1" s="3"/>
      <c r="QHT1" s="3"/>
      <c r="QHU1" s="3"/>
      <c r="QHV1" s="3"/>
      <c r="QHW1" s="3"/>
      <c r="QHX1" s="3"/>
      <c r="QHY1" s="3"/>
      <c r="QHZ1" s="3"/>
      <c r="QIA1" s="3"/>
      <c r="QIB1" s="3"/>
      <c r="QIC1" s="3"/>
      <c r="QID1" s="3"/>
      <c r="QIE1" s="3"/>
      <c r="QIF1" s="3"/>
      <c r="QIG1" s="3"/>
      <c r="QIH1" s="3"/>
      <c r="QII1" s="3"/>
      <c r="QIJ1" s="3"/>
      <c r="QIK1" s="3"/>
      <c r="QIL1" s="3"/>
      <c r="QIM1" s="3"/>
      <c r="QIN1" s="3"/>
      <c r="QIO1" s="3"/>
      <c r="QIP1" s="3"/>
      <c r="QIQ1" s="3"/>
      <c r="QIR1" s="3"/>
      <c r="QIS1" s="3"/>
      <c r="QIT1" s="3"/>
      <c r="QIU1" s="3"/>
      <c r="QIV1" s="3"/>
      <c r="QIW1" s="3"/>
      <c r="QIX1" s="3"/>
      <c r="QIY1" s="3"/>
      <c r="QIZ1" s="3"/>
      <c r="QJA1" s="3"/>
      <c r="QJB1" s="3"/>
      <c r="QJC1" s="3"/>
      <c r="QJD1" s="3"/>
      <c r="QJE1" s="3"/>
      <c r="QJF1" s="3"/>
      <c r="QJG1" s="3"/>
      <c r="QJH1" s="3"/>
      <c r="QJI1" s="3"/>
      <c r="QJJ1" s="3"/>
      <c r="QJK1" s="3"/>
      <c r="QJL1" s="3"/>
      <c r="QJM1" s="3"/>
      <c r="QJN1" s="3"/>
      <c r="QJO1" s="3"/>
      <c r="QJP1" s="3"/>
      <c r="QJQ1" s="3"/>
      <c r="QJR1" s="3"/>
      <c r="QJS1" s="3"/>
      <c r="QJT1" s="3"/>
      <c r="QJU1" s="3"/>
      <c r="QJV1" s="3"/>
      <c r="QJW1" s="3"/>
      <c r="QJX1" s="3"/>
      <c r="QJY1" s="3"/>
      <c r="QJZ1" s="3"/>
      <c r="QKA1" s="3"/>
      <c r="QKB1" s="3"/>
      <c r="QKC1" s="3"/>
      <c r="QKD1" s="3"/>
      <c r="QKE1" s="3"/>
      <c r="QKF1" s="3"/>
      <c r="QKG1" s="3"/>
      <c r="QKH1" s="3"/>
      <c r="QKI1" s="3"/>
      <c r="QKJ1" s="3"/>
      <c r="QKK1" s="3"/>
      <c r="QKL1" s="3"/>
      <c r="QKM1" s="3"/>
      <c r="QKN1" s="3"/>
      <c r="QKO1" s="3"/>
      <c r="QKP1" s="3"/>
      <c r="QKQ1" s="3"/>
      <c r="QKR1" s="3"/>
      <c r="QKS1" s="3"/>
      <c r="QKT1" s="3"/>
      <c r="QKU1" s="3"/>
      <c r="QKV1" s="3"/>
      <c r="QKW1" s="3"/>
      <c r="QKX1" s="3"/>
      <c r="QKY1" s="3"/>
      <c r="QKZ1" s="3"/>
      <c r="QLA1" s="3"/>
      <c r="QLB1" s="3"/>
      <c r="QLC1" s="3"/>
      <c r="QLD1" s="3"/>
      <c r="QLE1" s="3"/>
      <c r="QLF1" s="3"/>
      <c r="QLG1" s="3"/>
      <c r="QLH1" s="3"/>
      <c r="QLI1" s="3"/>
      <c r="QLJ1" s="3"/>
      <c r="QLK1" s="3"/>
      <c r="QLL1" s="3"/>
      <c r="QLM1" s="3"/>
      <c r="QLN1" s="3"/>
      <c r="QLO1" s="3"/>
      <c r="QLP1" s="3"/>
      <c r="QLQ1" s="3"/>
      <c r="QLR1" s="3"/>
      <c r="QLS1" s="3"/>
      <c r="QLT1" s="3"/>
      <c r="QLU1" s="3"/>
      <c r="QLV1" s="3"/>
      <c r="QLW1" s="3"/>
      <c r="QLX1" s="3"/>
      <c r="QLY1" s="3"/>
      <c r="QLZ1" s="3"/>
      <c r="QMA1" s="3"/>
      <c r="QMB1" s="3"/>
      <c r="QMC1" s="3"/>
      <c r="QMD1" s="3"/>
      <c r="QME1" s="3"/>
      <c r="QMF1" s="3"/>
      <c r="QMG1" s="3"/>
      <c r="QMH1" s="3"/>
      <c r="QMI1" s="3"/>
      <c r="QMJ1" s="3"/>
      <c r="QMK1" s="3"/>
      <c r="QML1" s="3"/>
      <c r="QMM1" s="3"/>
      <c r="QMN1" s="3"/>
      <c r="QMO1" s="3"/>
      <c r="QMP1" s="3"/>
      <c r="QMQ1" s="3"/>
      <c r="QMR1" s="3"/>
      <c r="QMS1" s="3"/>
      <c r="QMT1" s="3"/>
      <c r="QMU1" s="3"/>
      <c r="QMV1" s="3"/>
      <c r="QMW1" s="3"/>
      <c r="QMX1" s="3"/>
      <c r="QMY1" s="3"/>
      <c r="QMZ1" s="3"/>
      <c r="QNA1" s="3"/>
      <c r="QNB1" s="3"/>
      <c r="QNC1" s="3"/>
      <c r="QND1" s="3"/>
      <c r="QNE1" s="3"/>
      <c r="QNF1" s="3"/>
      <c r="QNG1" s="3"/>
      <c r="QNH1" s="3"/>
      <c r="QNI1" s="3"/>
      <c r="QNJ1" s="3"/>
      <c r="QNK1" s="3"/>
      <c r="QNL1" s="3"/>
      <c r="QNM1" s="3"/>
      <c r="QNN1" s="3"/>
      <c r="QNO1" s="3"/>
      <c r="QNP1" s="3"/>
      <c r="QNQ1" s="3"/>
      <c r="QNR1" s="3"/>
      <c r="QNS1" s="3"/>
      <c r="QNT1" s="3"/>
      <c r="QNU1" s="3"/>
      <c r="QNV1" s="3"/>
      <c r="QNW1" s="3"/>
      <c r="QNX1" s="3"/>
      <c r="QNY1" s="3"/>
      <c r="QNZ1" s="3"/>
      <c r="QOA1" s="3"/>
      <c r="QOB1" s="3"/>
      <c r="QOC1" s="3"/>
      <c r="QOD1" s="3"/>
      <c r="QOE1" s="3"/>
      <c r="QOF1" s="3"/>
      <c r="QOG1" s="3"/>
      <c r="QOH1" s="3"/>
      <c r="QOI1" s="3"/>
      <c r="QOJ1" s="3"/>
      <c r="QOK1" s="3"/>
      <c r="QOL1" s="3"/>
      <c r="QOM1" s="3"/>
      <c r="QON1" s="3"/>
      <c r="QOO1" s="3"/>
      <c r="QOP1" s="3"/>
      <c r="QOQ1" s="3"/>
      <c r="QOR1" s="3"/>
      <c r="QOS1" s="3"/>
      <c r="QOT1" s="3"/>
      <c r="QOU1" s="3"/>
      <c r="QOV1" s="3"/>
      <c r="QOW1" s="3"/>
      <c r="QOX1" s="3"/>
      <c r="QOY1" s="3"/>
      <c r="QOZ1" s="3"/>
      <c r="QPA1" s="3"/>
      <c r="QPB1" s="3"/>
      <c r="QPC1" s="3"/>
      <c r="QPD1" s="3"/>
      <c r="QPE1" s="3"/>
      <c r="QPF1" s="3"/>
      <c r="QPG1" s="3"/>
      <c r="QPH1" s="3"/>
      <c r="QPI1" s="3"/>
      <c r="QPJ1" s="3"/>
      <c r="QPK1" s="3"/>
      <c r="QPL1" s="3"/>
      <c r="QPM1" s="3"/>
      <c r="QPN1" s="3"/>
      <c r="QPO1" s="3"/>
      <c r="QPP1" s="3"/>
      <c r="QPQ1" s="3"/>
      <c r="QPR1" s="3"/>
      <c r="QPS1" s="3"/>
      <c r="QPT1" s="3"/>
      <c r="QPU1" s="3"/>
      <c r="QPV1" s="3"/>
      <c r="QPW1" s="3"/>
      <c r="QPX1" s="3"/>
      <c r="QPY1" s="3"/>
      <c r="QPZ1" s="3"/>
      <c r="QQA1" s="3"/>
      <c r="QQB1" s="3"/>
      <c r="QQC1" s="3"/>
      <c r="QQD1" s="3"/>
      <c r="QQE1" s="3"/>
      <c r="QQF1" s="3"/>
      <c r="QQG1" s="3"/>
      <c r="QQH1" s="3"/>
      <c r="QQI1" s="3"/>
      <c r="QQJ1" s="3"/>
      <c r="QQK1" s="3"/>
      <c r="QQL1" s="3"/>
      <c r="QQM1" s="3"/>
      <c r="QQN1" s="3"/>
      <c r="QQO1" s="3"/>
      <c r="QQP1" s="3"/>
      <c r="QQQ1" s="3"/>
      <c r="QQR1" s="3"/>
      <c r="QQS1" s="3"/>
      <c r="QQT1" s="3"/>
      <c r="QQU1" s="3"/>
      <c r="QQV1" s="3"/>
      <c r="QQW1" s="3"/>
      <c r="QQX1" s="3"/>
      <c r="QQY1" s="3"/>
      <c r="QQZ1" s="3"/>
      <c r="QRA1" s="3"/>
      <c r="QRB1" s="3"/>
      <c r="QRC1" s="3"/>
      <c r="QRD1" s="3"/>
      <c r="QRE1" s="3"/>
      <c r="QRF1" s="3"/>
      <c r="QRG1" s="3"/>
      <c r="QRH1" s="3"/>
      <c r="QRI1" s="3"/>
      <c r="QRJ1" s="3"/>
      <c r="QRK1" s="3"/>
      <c r="QRL1" s="3"/>
      <c r="QRM1" s="3"/>
      <c r="QRN1" s="3"/>
      <c r="QRO1" s="3"/>
      <c r="QRP1" s="3"/>
      <c r="QRQ1" s="3"/>
      <c r="QRR1" s="3"/>
      <c r="QRS1" s="3"/>
      <c r="QRT1" s="3"/>
      <c r="QRU1" s="3"/>
      <c r="QRV1" s="3"/>
      <c r="QRW1" s="3"/>
      <c r="QRX1" s="3"/>
      <c r="QRY1" s="3"/>
      <c r="QRZ1" s="3"/>
      <c r="QSA1" s="3"/>
      <c r="QSB1" s="3"/>
      <c r="QSC1" s="3"/>
      <c r="QSD1" s="3"/>
      <c r="QSE1" s="3"/>
      <c r="QSF1" s="3"/>
      <c r="QSG1" s="3"/>
      <c r="QSH1" s="3"/>
      <c r="QSI1" s="3"/>
      <c r="QSJ1" s="3"/>
      <c r="QSK1" s="3"/>
      <c r="QSL1" s="3"/>
      <c r="QSM1" s="3"/>
      <c r="QSN1" s="3"/>
      <c r="QSO1" s="3"/>
      <c r="QSP1" s="3"/>
      <c r="QSQ1" s="3"/>
      <c r="QSR1" s="3"/>
      <c r="QSS1" s="3"/>
      <c r="QST1" s="3"/>
      <c r="QSU1" s="3"/>
      <c r="QSV1" s="3"/>
      <c r="QSW1" s="3"/>
      <c r="QSX1" s="3"/>
      <c r="QSY1" s="3"/>
      <c r="QSZ1" s="3"/>
      <c r="QTA1" s="3"/>
      <c r="QTB1" s="3"/>
      <c r="QTC1" s="3"/>
      <c r="QTD1" s="3"/>
      <c r="QTE1" s="3"/>
      <c r="QTF1" s="3"/>
      <c r="QTG1" s="3"/>
      <c r="QTH1" s="3"/>
      <c r="QTI1" s="3"/>
      <c r="QTJ1" s="3"/>
      <c r="QTK1" s="3"/>
      <c r="QTL1" s="3"/>
      <c r="QTM1" s="3"/>
      <c r="QTN1" s="3"/>
      <c r="QTO1" s="3"/>
      <c r="QTP1" s="3"/>
      <c r="QTQ1" s="3"/>
      <c r="QTR1" s="3"/>
      <c r="QTS1" s="3"/>
      <c r="QTT1" s="3"/>
      <c r="QTU1" s="3"/>
      <c r="QTV1" s="3"/>
      <c r="QTW1" s="3"/>
      <c r="QTX1" s="3"/>
      <c r="QTY1" s="3"/>
      <c r="QTZ1" s="3"/>
      <c r="QUA1" s="3"/>
      <c r="QUB1" s="3"/>
      <c r="QUC1" s="3"/>
      <c r="QUD1" s="3"/>
      <c r="QUE1" s="3"/>
      <c r="QUF1" s="3"/>
      <c r="QUG1" s="3"/>
      <c r="QUH1" s="3"/>
      <c r="QUI1" s="3"/>
      <c r="QUJ1" s="3"/>
      <c r="QUK1" s="3"/>
      <c r="QUL1" s="3"/>
      <c r="QUM1" s="3"/>
      <c r="QUN1" s="3"/>
      <c r="QUO1" s="3"/>
      <c r="QUP1" s="3"/>
      <c r="QUQ1" s="3"/>
      <c r="QUR1" s="3"/>
      <c r="QUS1" s="3"/>
      <c r="QUT1" s="3"/>
      <c r="QUU1" s="3"/>
      <c r="QUV1" s="3"/>
      <c r="QUW1" s="3"/>
      <c r="QUX1" s="3"/>
      <c r="QUY1" s="3"/>
      <c r="QUZ1" s="3"/>
      <c r="QVA1" s="3"/>
      <c r="QVB1" s="3"/>
      <c r="QVC1" s="3"/>
      <c r="QVD1" s="3"/>
      <c r="QVE1" s="3"/>
      <c r="QVF1" s="3"/>
      <c r="QVG1" s="3"/>
      <c r="QVH1" s="3"/>
      <c r="QVI1" s="3"/>
      <c r="QVJ1" s="3"/>
      <c r="QVK1" s="3"/>
      <c r="QVL1" s="3"/>
      <c r="QVM1" s="3"/>
      <c r="QVN1" s="3"/>
      <c r="QVO1" s="3"/>
      <c r="QVP1" s="3"/>
      <c r="QVQ1" s="3"/>
      <c r="QVR1" s="3"/>
      <c r="QVS1" s="3"/>
      <c r="QVT1" s="3"/>
      <c r="QVU1" s="3"/>
      <c r="QVV1" s="3"/>
      <c r="QVW1" s="3"/>
      <c r="QVX1" s="3"/>
      <c r="QVY1" s="3"/>
      <c r="QVZ1" s="3"/>
      <c r="QWA1" s="3"/>
      <c r="QWB1" s="3"/>
      <c r="QWC1" s="3"/>
      <c r="QWD1" s="3"/>
      <c r="QWE1" s="3"/>
      <c r="QWF1" s="3"/>
      <c r="QWG1" s="3"/>
      <c r="QWH1" s="3"/>
      <c r="QWI1" s="3"/>
      <c r="QWJ1" s="3"/>
      <c r="QWK1" s="3"/>
      <c r="QWL1" s="3"/>
      <c r="QWM1" s="3"/>
      <c r="QWN1" s="3"/>
      <c r="QWO1" s="3"/>
      <c r="QWP1" s="3"/>
      <c r="QWQ1" s="3"/>
      <c r="QWR1" s="3"/>
      <c r="QWS1" s="3"/>
      <c r="QWT1" s="3"/>
      <c r="QWU1" s="3"/>
      <c r="QWV1" s="3"/>
      <c r="QWW1" s="3"/>
      <c r="QWX1" s="3"/>
      <c r="QWY1" s="3"/>
      <c r="QWZ1" s="3"/>
      <c r="QXA1" s="3"/>
      <c r="QXB1" s="3"/>
      <c r="QXC1" s="3"/>
      <c r="QXD1" s="3"/>
      <c r="QXE1" s="3"/>
      <c r="QXF1" s="3"/>
      <c r="QXG1" s="3"/>
      <c r="QXH1" s="3"/>
      <c r="QXI1" s="3"/>
      <c r="QXJ1" s="3"/>
      <c r="QXK1" s="3"/>
      <c r="QXL1" s="3"/>
      <c r="QXM1" s="3"/>
      <c r="QXN1" s="3"/>
      <c r="QXO1" s="3"/>
      <c r="QXP1" s="3"/>
      <c r="QXQ1" s="3"/>
      <c r="QXR1" s="3"/>
      <c r="QXS1" s="3"/>
      <c r="QXT1" s="3"/>
      <c r="QXU1" s="3"/>
      <c r="QXV1" s="3"/>
      <c r="QXW1" s="3"/>
      <c r="QXX1" s="3"/>
      <c r="QXY1" s="3"/>
      <c r="QXZ1" s="3"/>
      <c r="QYA1" s="3"/>
      <c r="QYB1" s="3"/>
      <c r="QYC1" s="3"/>
      <c r="QYD1" s="3"/>
      <c r="QYE1" s="3"/>
      <c r="QYF1" s="3"/>
      <c r="QYG1" s="3"/>
      <c r="QYH1" s="3"/>
      <c r="QYI1" s="3"/>
      <c r="QYJ1" s="3"/>
      <c r="QYK1" s="3"/>
      <c r="QYL1" s="3"/>
      <c r="QYM1" s="3"/>
      <c r="QYN1" s="3"/>
      <c r="QYO1" s="3"/>
      <c r="QYP1" s="3"/>
      <c r="QYQ1" s="3"/>
      <c r="QYR1" s="3"/>
      <c r="QYS1" s="3"/>
      <c r="QYT1" s="3"/>
      <c r="QYU1" s="3"/>
      <c r="QYV1" s="3"/>
      <c r="QYW1" s="3"/>
      <c r="QYX1" s="3"/>
      <c r="QYY1" s="3"/>
      <c r="QYZ1" s="3"/>
      <c r="QZA1" s="3"/>
      <c r="QZB1" s="3"/>
      <c r="QZC1" s="3"/>
      <c r="QZD1" s="3"/>
      <c r="QZE1" s="3"/>
      <c r="QZF1" s="3"/>
      <c r="QZG1" s="3"/>
      <c r="QZH1" s="3"/>
      <c r="QZI1" s="3"/>
      <c r="QZJ1" s="3"/>
      <c r="QZK1" s="3"/>
      <c r="QZL1" s="3"/>
      <c r="QZM1" s="3"/>
      <c r="QZN1" s="3"/>
      <c r="QZO1" s="3"/>
      <c r="QZP1" s="3"/>
      <c r="QZQ1" s="3"/>
      <c r="QZR1" s="3"/>
      <c r="QZS1" s="3"/>
      <c r="QZT1" s="3"/>
      <c r="QZU1" s="3"/>
      <c r="QZV1" s="3"/>
      <c r="QZW1" s="3"/>
      <c r="QZX1" s="3"/>
      <c r="QZY1" s="3"/>
      <c r="QZZ1" s="3"/>
      <c r="RAA1" s="3"/>
      <c r="RAB1" s="3"/>
      <c r="RAC1" s="3"/>
      <c r="RAD1" s="3"/>
      <c r="RAE1" s="3"/>
      <c r="RAF1" s="3"/>
      <c r="RAG1" s="3"/>
      <c r="RAH1" s="3"/>
      <c r="RAI1" s="3"/>
      <c r="RAJ1" s="3"/>
      <c r="RAK1" s="3"/>
      <c r="RAL1" s="3"/>
      <c r="RAM1" s="3"/>
      <c r="RAN1" s="3"/>
      <c r="RAO1" s="3"/>
      <c r="RAP1" s="3"/>
      <c r="RAQ1" s="3"/>
      <c r="RAR1" s="3"/>
      <c r="RAS1" s="3"/>
      <c r="RAT1" s="3"/>
      <c r="RAU1" s="3"/>
      <c r="RAV1" s="3"/>
      <c r="RAW1" s="3"/>
      <c r="RAX1" s="3"/>
      <c r="RAY1" s="3"/>
      <c r="RAZ1" s="3"/>
      <c r="RBA1" s="3"/>
      <c r="RBB1" s="3"/>
      <c r="RBC1" s="3"/>
      <c r="RBD1" s="3"/>
      <c r="RBE1" s="3"/>
      <c r="RBF1" s="3"/>
      <c r="RBG1" s="3"/>
      <c r="RBH1" s="3"/>
      <c r="RBI1" s="3"/>
      <c r="RBJ1" s="3"/>
      <c r="RBK1" s="3"/>
      <c r="RBL1" s="3"/>
      <c r="RBM1" s="3"/>
      <c r="RBN1" s="3"/>
      <c r="RBO1" s="3"/>
      <c r="RBP1" s="3"/>
      <c r="RBQ1" s="3"/>
      <c r="RBR1" s="3"/>
      <c r="RBS1" s="3"/>
      <c r="RBT1" s="3"/>
      <c r="RBU1" s="3"/>
      <c r="RBV1" s="3"/>
      <c r="RBW1" s="3"/>
      <c r="RBX1" s="3"/>
      <c r="RBY1" s="3"/>
      <c r="RBZ1" s="3"/>
      <c r="RCA1" s="3"/>
      <c r="RCB1" s="3"/>
      <c r="RCC1" s="3"/>
      <c r="RCD1" s="3"/>
      <c r="RCE1" s="3"/>
      <c r="RCF1" s="3"/>
      <c r="RCG1" s="3"/>
      <c r="RCH1" s="3"/>
      <c r="RCI1" s="3"/>
      <c r="RCJ1" s="3"/>
      <c r="RCK1" s="3"/>
      <c r="RCL1" s="3"/>
      <c r="RCM1" s="3"/>
      <c r="RCN1" s="3"/>
      <c r="RCO1" s="3"/>
      <c r="RCP1" s="3"/>
      <c r="RCQ1" s="3"/>
      <c r="RCR1" s="3"/>
      <c r="RCS1" s="3"/>
      <c r="RCT1" s="3"/>
      <c r="RCU1" s="3"/>
      <c r="RCV1" s="3"/>
      <c r="RCW1" s="3"/>
      <c r="RCX1" s="3"/>
      <c r="RCY1" s="3"/>
      <c r="RCZ1" s="3"/>
      <c r="RDA1" s="3"/>
      <c r="RDB1" s="3"/>
      <c r="RDC1" s="3"/>
      <c r="RDD1" s="3"/>
      <c r="RDE1" s="3"/>
      <c r="RDF1" s="3"/>
      <c r="RDG1" s="3"/>
      <c r="RDH1" s="3"/>
      <c r="RDI1" s="3"/>
      <c r="RDJ1" s="3"/>
      <c r="RDK1" s="3"/>
      <c r="RDL1" s="3"/>
      <c r="RDM1" s="3"/>
      <c r="RDN1" s="3"/>
      <c r="RDO1" s="3"/>
      <c r="RDP1" s="3"/>
      <c r="RDQ1" s="3"/>
      <c r="RDR1" s="3"/>
      <c r="RDS1" s="3"/>
      <c r="RDT1" s="3"/>
      <c r="RDU1" s="3"/>
      <c r="RDV1" s="3"/>
      <c r="RDW1" s="3"/>
      <c r="RDX1" s="3"/>
      <c r="RDY1" s="3"/>
      <c r="RDZ1" s="3"/>
      <c r="REA1" s="3"/>
      <c r="REB1" s="3"/>
      <c r="REC1" s="3"/>
      <c r="RED1" s="3"/>
      <c r="REE1" s="3"/>
      <c r="REF1" s="3"/>
      <c r="REG1" s="3"/>
      <c r="REH1" s="3"/>
      <c r="REI1" s="3"/>
      <c r="REJ1" s="3"/>
      <c r="REK1" s="3"/>
      <c r="REL1" s="3"/>
      <c r="REM1" s="3"/>
      <c r="REN1" s="3"/>
      <c r="REO1" s="3"/>
      <c r="REP1" s="3"/>
      <c r="REQ1" s="3"/>
      <c r="RER1" s="3"/>
      <c r="RES1" s="3"/>
      <c r="RET1" s="3"/>
      <c r="REU1" s="3"/>
      <c r="REV1" s="3"/>
      <c r="REW1" s="3"/>
      <c r="REX1" s="3"/>
      <c r="REY1" s="3"/>
      <c r="REZ1" s="3"/>
      <c r="RFA1" s="3"/>
      <c r="RFB1" s="3"/>
      <c r="RFC1" s="3"/>
      <c r="RFD1" s="3"/>
      <c r="RFE1" s="3"/>
      <c r="RFF1" s="3"/>
      <c r="RFG1" s="3"/>
      <c r="RFH1" s="3"/>
      <c r="RFI1" s="3"/>
      <c r="RFJ1" s="3"/>
      <c r="RFK1" s="3"/>
      <c r="RFL1" s="3"/>
      <c r="RFM1" s="3"/>
      <c r="RFN1" s="3"/>
      <c r="RFO1" s="3"/>
      <c r="RFP1" s="3"/>
      <c r="RFQ1" s="3"/>
      <c r="RFR1" s="3"/>
      <c r="RFS1" s="3"/>
      <c r="RFT1" s="3"/>
      <c r="RFU1" s="3"/>
      <c r="RFV1" s="3"/>
      <c r="RFW1" s="3"/>
      <c r="RFX1" s="3"/>
      <c r="RFY1" s="3"/>
      <c r="RFZ1" s="3"/>
      <c r="RGA1" s="3"/>
      <c r="RGB1" s="3"/>
      <c r="RGC1" s="3"/>
      <c r="RGD1" s="3"/>
      <c r="RGE1" s="3"/>
      <c r="RGF1" s="3"/>
      <c r="RGG1" s="3"/>
      <c r="RGH1" s="3"/>
      <c r="RGI1" s="3"/>
      <c r="RGJ1" s="3"/>
      <c r="RGK1" s="3"/>
      <c r="RGL1" s="3"/>
      <c r="RGM1" s="3"/>
      <c r="RGN1" s="3"/>
      <c r="RGO1" s="3"/>
      <c r="RGP1" s="3"/>
      <c r="RGQ1" s="3"/>
      <c r="RGR1" s="3"/>
      <c r="RGS1" s="3"/>
      <c r="RGT1" s="3"/>
      <c r="RGU1" s="3"/>
      <c r="RGV1" s="3"/>
      <c r="RGW1" s="3"/>
      <c r="RGX1" s="3"/>
      <c r="RGY1" s="3"/>
      <c r="RGZ1" s="3"/>
      <c r="RHA1" s="3"/>
      <c r="RHB1" s="3"/>
      <c r="RHC1" s="3"/>
      <c r="RHD1" s="3"/>
      <c r="RHE1" s="3"/>
      <c r="RHF1" s="3"/>
      <c r="RHG1" s="3"/>
      <c r="RHH1" s="3"/>
      <c r="RHI1" s="3"/>
      <c r="RHJ1" s="3"/>
      <c r="RHK1" s="3"/>
      <c r="RHL1" s="3"/>
      <c r="RHM1" s="3"/>
      <c r="RHN1" s="3"/>
      <c r="RHO1" s="3"/>
      <c r="RHP1" s="3"/>
      <c r="RHQ1" s="3"/>
      <c r="RHR1" s="3"/>
      <c r="RHS1" s="3"/>
      <c r="RHT1" s="3"/>
      <c r="RHU1" s="3"/>
      <c r="RHV1" s="3"/>
      <c r="RHW1" s="3"/>
      <c r="RHX1" s="3"/>
      <c r="RHY1" s="3"/>
      <c r="RHZ1" s="3"/>
      <c r="RIA1" s="3"/>
      <c r="RIB1" s="3"/>
      <c r="RIC1" s="3"/>
      <c r="RID1" s="3"/>
      <c r="RIE1" s="3"/>
      <c r="RIF1" s="3"/>
      <c r="RIG1" s="3"/>
      <c r="RIH1" s="3"/>
      <c r="RII1" s="3"/>
      <c r="RIJ1" s="3"/>
      <c r="RIK1" s="3"/>
      <c r="RIL1" s="3"/>
      <c r="RIM1" s="3"/>
      <c r="RIN1" s="3"/>
      <c r="RIO1" s="3"/>
      <c r="RIP1" s="3"/>
      <c r="RIQ1" s="3"/>
      <c r="RIR1" s="3"/>
      <c r="RIS1" s="3"/>
      <c r="RIT1" s="3"/>
      <c r="RIU1" s="3"/>
      <c r="RIV1" s="3"/>
      <c r="RIW1" s="3"/>
      <c r="RIX1" s="3"/>
      <c r="RIY1" s="3"/>
      <c r="RIZ1" s="3"/>
      <c r="RJA1" s="3"/>
      <c r="RJB1" s="3"/>
      <c r="RJC1" s="3"/>
      <c r="RJD1" s="3"/>
      <c r="RJE1" s="3"/>
      <c r="RJF1" s="3"/>
      <c r="RJG1" s="3"/>
      <c r="RJH1" s="3"/>
      <c r="RJI1" s="3"/>
      <c r="RJJ1" s="3"/>
      <c r="RJK1" s="3"/>
      <c r="RJL1" s="3"/>
      <c r="RJM1" s="3"/>
      <c r="RJN1" s="3"/>
      <c r="RJO1" s="3"/>
      <c r="RJP1" s="3"/>
      <c r="RJQ1" s="3"/>
      <c r="RJR1" s="3"/>
      <c r="RJS1" s="3"/>
      <c r="RJT1" s="3"/>
      <c r="RJU1" s="3"/>
      <c r="RJV1" s="3"/>
      <c r="RJW1" s="3"/>
      <c r="RJX1" s="3"/>
      <c r="RJY1" s="3"/>
      <c r="RJZ1" s="3"/>
      <c r="RKA1" s="3"/>
      <c r="RKB1" s="3"/>
      <c r="RKC1" s="3"/>
      <c r="RKD1" s="3"/>
      <c r="RKE1" s="3"/>
      <c r="RKF1" s="3"/>
      <c r="RKG1" s="3"/>
      <c r="RKH1" s="3"/>
      <c r="RKI1" s="3"/>
      <c r="RKJ1" s="3"/>
      <c r="RKK1" s="3"/>
      <c r="RKL1" s="3"/>
      <c r="RKM1" s="3"/>
      <c r="RKN1" s="3"/>
      <c r="RKO1" s="3"/>
      <c r="RKP1" s="3"/>
      <c r="RKQ1" s="3"/>
      <c r="RKR1" s="3"/>
      <c r="RKS1" s="3"/>
      <c r="RKT1" s="3"/>
      <c r="RKU1" s="3"/>
      <c r="RKV1" s="3"/>
      <c r="RKW1" s="3"/>
      <c r="RKX1" s="3"/>
      <c r="RKY1" s="3"/>
      <c r="RKZ1" s="3"/>
      <c r="RLA1" s="3"/>
      <c r="RLB1" s="3"/>
      <c r="RLC1" s="3"/>
      <c r="RLD1" s="3"/>
      <c r="RLE1" s="3"/>
      <c r="RLF1" s="3"/>
      <c r="RLG1" s="3"/>
      <c r="RLH1" s="3"/>
      <c r="RLI1" s="3"/>
      <c r="RLJ1" s="3"/>
      <c r="RLK1" s="3"/>
      <c r="RLL1" s="3"/>
      <c r="RLM1" s="3"/>
      <c r="RLN1" s="3"/>
      <c r="RLO1" s="3"/>
      <c r="RLP1" s="3"/>
      <c r="RLQ1" s="3"/>
      <c r="RLR1" s="3"/>
      <c r="RLS1" s="3"/>
      <c r="RLT1" s="3"/>
      <c r="RLU1" s="3"/>
      <c r="RLV1" s="3"/>
      <c r="RLW1" s="3"/>
      <c r="RLX1" s="3"/>
      <c r="RLY1" s="3"/>
      <c r="RLZ1" s="3"/>
      <c r="RMA1" s="3"/>
      <c r="RMB1" s="3"/>
      <c r="RMC1" s="3"/>
      <c r="RMD1" s="3"/>
      <c r="RME1" s="3"/>
      <c r="RMF1" s="3"/>
      <c r="RMG1" s="3"/>
      <c r="RMH1" s="3"/>
      <c r="RMI1" s="3"/>
      <c r="RMJ1" s="3"/>
      <c r="RMK1" s="3"/>
      <c r="RML1" s="3"/>
      <c r="RMM1" s="3"/>
      <c r="RMN1" s="3"/>
      <c r="RMO1" s="3"/>
      <c r="RMP1" s="3"/>
      <c r="RMQ1" s="3"/>
      <c r="RMR1" s="3"/>
      <c r="RMS1" s="3"/>
      <c r="RMT1" s="3"/>
      <c r="RMU1" s="3"/>
      <c r="RMV1" s="3"/>
      <c r="RMW1" s="3"/>
      <c r="RMX1" s="3"/>
      <c r="RMY1" s="3"/>
      <c r="RMZ1" s="3"/>
      <c r="RNA1" s="3"/>
      <c r="RNB1" s="3"/>
      <c r="RNC1" s="3"/>
      <c r="RND1" s="3"/>
      <c r="RNE1" s="3"/>
      <c r="RNF1" s="3"/>
      <c r="RNG1" s="3"/>
      <c r="RNH1" s="3"/>
      <c r="RNI1" s="3"/>
      <c r="RNJ1" s="3"/>
      <c r="RNK1" s="3"/>
      <c r="RNL1" s="3"/>
      <c r="RNM1" s="3"/>
      <c r="RNN1" s="3"/>
      <c r="RNO1" s="3"/>
      <c r="RNP1" s="3"/>
      <c r="RNQ1" s="3"/>
      <c r="RNR1" s="3"/>
      <c r="RNS1" s="3"/>
      <c r="RNT1" s="3"/>
      <c r="RNU1" s="3"/>
      <c r="RNV1" s="3"/>
      <c r="RNW1" s="3"/>
      <c r="RNX1" s="3"/>
      <c r="RNY1" s="3"/>
      <c r="RNZ1" s="3"/>
      <c r="ROA1" s="3"/>
      <c r="ROB1" s="3"/>
      <c r="ROC1" s="3"/>
      <c r="ROD1" s="3"/>
      <c r="ROE1" s="3"/>
      <c r="ROF1" s="3"/>
      <c r="ROG1" s="3"/>
      <c r="ROH1" s="3"/>
      <c r="ROI1" s="3"/>
      <c r="ROJ1" s="3"/>
      <c r="ROK1" s="3"/>
      <c r="ROL1" s="3"/>
      <c r="ROM1" s="3"/>
      <c r="RON1" s="3"/>
      <c r="ROO1" s="3"/>
      <c r="ROP1" s="3"/>
      <c r="ROQ1" s="3"/>
      <c r="ROR1" s="3"/>
      <c r="ROS1" s="3"/>
      <c r="ROT1" s="3"/>
      <c r="ROU1" s="3"/>
      <c r="ROV1" s="3"/>
      <c r="ROW1" s="3"/>
      <c r="ROX1" s="3"/>
      <c r="ROY1" s="3"/>
      <c r="ROZ1" s="3"/>
      <c r="RPA1" s="3"/>
      <c r="RPB1" s="3"/>
      <c r="RPC1" s="3"/>
      <c r="RPD1" s="3"/>
      <c r="RPE1" s="3"/>
      <c r="RPF1" s="3"/>
      <c r="RPG1" s="3"/>
      <c r="RPH1" s="3"/>
      <c r="RPI1" s="3"/>
      <c r="RPJ1" s="3"/>
      <c r="RPK1" s="3"/>
      <c r="RPL1" s="3"/>
      <c r="RPM1" s="3"/>
      <c r="RPN1" s="3"/>
      <c r="RPO1" s="3"/>
      <c r="RPP1" s="3"/>
      <c r="RPQ1" s="3"/>
      <c r="RPR1" s="3"/>
      <c r="RPS1" s="3"/>
      <c r="RPT1" s="3"/>
      <c r="RPU1" s="3"/>
      <c r="RPV1" s="3"/>
      <c r="RPW1" s="3"/>
      <c r="RPX1" s="3"/>
      <c r="RPY1" s="3"/>
      <c r="RPZ1" s="3"/>
      <c r="RQA1" s="3"/>
      <c r="RQB1" s="3"/>
      <c r="RQC1" s="3"/>
      <c r="RQD1" s="3"/>
      <c r="RQE1" s="3"/>
      <c r="RQF1" s="3"/>
      <c r="RQG1" s="3"/>
      <c r="RQH1" s="3"/>
      <c r="RQI1" s="3"/>
      <c r="RQJ1" s="3"/>
      <c r="RQK1" s="3"/>
      <c r="RQL1" s="3"/>
      <c r="RQM1" s="3"/>
      <c r="RQN1" s="3"/>
      <c r="RQO1" s="3"/>
      <c r="RQP1" s="3"/>
      <c r="RQQ1" s="3"/>
      <c r="RQR1" s="3"/>
      <c r="RQS1" s="3"/>
      <c r="RQT1" s="3"/>
      <c r="RQU1" s="3"/>
      <c r="RQV1" s="3"/>
      <c r="RQW1" s="3"/>
      <c r="RQX1" s="3"/>
      <c r="RQY1" s="3"/>
      <c r="RQZ1" s="3"/>
      <c r="RRA1" s="3"/>
      <c r="RRB1" s="3"/>
      <c r="RRC1" s="3"/>
      <c r="RRD1" s="3"/>
      <c r="RRE1" s="3"/>
      <c r="RRF1" s="3"/>
      <c r="RRG1" s="3"/>
      <c r="RRH1" s="3"/>
      <c r="RRI1" s="3"/>
      <c r="RRJ1" s="3"/>
      <c r="RRK1" s="3"/>
      <c r="RRL1" s="3"/>
      <c r="RRM1" s="3"/>
      <c r="RRN1" s="3"/>
      <c r="RRO1" s="3"/>
      <c r="RRP1" s="3"/>
      <c r="RRQ1" s="3"/>
      <c r="RRR1" s="3"/>
      <c r="RRS1" s="3"/>
      <c r="RRT1" s="3"/>
      <c r="RRU1" s="3"/>
      <c r="RRV1" s="3"/>
      <c r="RRW1" s="3"/>
      <c r="RRX1" s="3"/>
      <c r="RRY1" s="3"/>
      <c r="RRZ1" s="3"/>
      <c r="RSA1" s="3"/>
      <c r="RSB1" s="3"/>
      <c r="RSC1" s="3"/>
      <c r="RSD1" s="3"/>
      <c r="RSE1" s="3"/>
      <c r="RSF1" s="3"/>
      <c r="RSG1" s="3"/>
      <c r="RSH1" s="3"/>
      <c r="RSI1" s="3"/>
      <c r="RSJ1" s="3"/>
      <c r="RSK1" s="3"/>
      <c r="RSL1" s="3"/>
      <c r="RSM1" s="3"/>
      <c r="RSN1" s="3"/>
      <c r="RSO1" s="3"/>
      <c r="RSP1" s="3"/>
      <c r="RSQ1" s="3"/>
      <c r="RSR1" s="3"/>
      <c r="RSS1" s="3"/>
      <c r="RST1" s="3"/>
      <c r="RSU1" s="3"/>
      <c r="RSV1" s="3"/>
      <c r="RSW1" s="3"/>
      <c r="RSX1" s="3"/>
      <c r="RSY1" s="3"/>
      <c r="RSZ1" s="3"/>
      <c r="RTA1" s="3"/>
      <c r="RTB1" s="3"/>
      <c r="RTC1" s="3"/>
      <c r="RTD1" s="3"/>
      <c r="RTE1" s="3"/>
      <c r="RTF1" s="3"/>
      <c r="RTG1" s="3"/>
      <c r="RTH1" s="3"/>
      <c r="RTI1" s="3"/>
      <c r="RTJ1" s="3"/>
      <c r="RTK1" s="3"/>
      <c r="RTL1" s="3"/>
      <c r="RTM1" s="3"/>
      <c r="RTN1" s="3"/>
      <c r="RTO1" s="3"/>
      <c r="RTP1" s="3"/>
      <c r="RTQ1" s="3"/>
      <c r="RTR1" s="3"/>
      <c r="RTS1" s="3"/>
      <c r="RTT1" s="3"/>
      <c r="RTU1" s="3"/>
      <c r="RTV1" s="3"/>
      <c r="RTW1" s="3"/>
      <c r="RTX1" s="3"/>
      <c r="RTY1" s="3"/>
      <c r="RTZ1" s="3"/>
      <c r="RUA1" s="3"/>
      <c r="RUB1" s="3"/>
      <c r="RUC1" s="3"/>
      <c r="RUD1" s="3"/>
      <c r="RUE1" s="3"/>
      <c r="RUF1" s="3"/>
      <c r="RUG1" s="3"/>
      <c r="RUH1" s="3"/>
      <c r="RUI1" s="3"/>
      <c r="RUJ1" s="3"/>
      <c r="RUK1" s="3"/>
      <c r="RUL1" s="3"/>
      <c r="RUM1" s="3"/>
      <c r="RUN1" s="3"/>
      <c r="RUO1" s="3"/>
      <c r="RUP1" s="3"/>
      <c r="RUQ1" s="3"/>
      <c r="RUR1" s="3"/>
      <c r="RUS1" s="3"/>
      <c r="RUT1" s="3"/>
      <c r="RUU1" s="3"/>
      <c r="RUV1" s="3"/>
      <c r="RUW1" s="3"/>
      <c r="RUX1" s="3"/>
      <c r="RUY1" s="3"/>
      <c r="RUZ1" s="3"/>
      <c r="RVA1" s="3"/>
      <c r="RVB1" s="3"/>
      <c r="RVC1" s="3"/>
      <c r="RVD1" s="3"/>
      <c r="RVE1" s="3"/>
      <c r="RVF1" s="3"/>
      <c r="RVG1" s="3"/>
      <c r="RVH1" s="3"/>
      <c r="RVI1" s="3"/>
      <c r="RVJ1" s="3"/>
      <c r="RVK1" s="3"/>
      <c r="RVL1" s="3"/>
      <c r="RVM1" s="3"/>
      <c r="RVN1" s="3"/>
      <c r="RVO1" s="3"/>
      <c r="RVP1" s="3"/>
      <c r="RVQ1" s="3"/>
      <c r="RVR1" s="3"/>
      <c r="RVS1" s="3"/>
      <c r="RVT1" s="3"/>
      <c r="RVU1" s="3"/>
      <c r="RVV1" s="3"/>
      <c r="RVW1" s="3"/>
      <c r="RVX1" s="3"/>
      <c r="RVY1" s="3"/>
      <c r="RVZ1" s="3"/>
      <c r="RWA1" s="3"/>
      <c r="RWB1" s="3"/>
      <c r="RWC1" s="3"/>
      <c r="RWD1" s="3"/>
      <c r="RWE1" s="3"/>
      <c r="RWF1" s="3"/>
      <c r="RWG1" s="3"/>
      <c r="RWH1" s="3"/>
      <c r="RWI1" s="3"/>
      <c r="RWJ1" s="3"/>
      <c r="RWK1" s="3"/>
      <c r="RWL1" s="3"/>
      <c r="RWM1" s="3"/>
      <c r="RWN1" s="3"/>
      <c r="RWO1" s="3"/>
      <c r="RWP1" s="3"/>
      <c r="RWQ1" s="3"/>
      <c r="RWR1" s="3"/>
      <c r="RWS1" s="3"/>
      <c r="RWT1" s="3"/>
      <c r="RWU1" s="3"/>
      <c r="RWV1" s="3"/>
      <c r="RWW1" s="3"/>
      <c r="RWX1" s="3"/>
      <c r="RWY1" s="3"/>
      <c r="RWZ1" s="3"/>
      <c r="RXA1" s="3"/>
      <c r="RXB1" s="3"/>
      <c r="RXC1" s="3"/>
      <c r="RXD1" s="3"/>
      <c r="RXE1" s="3"/>
      <c r="RXF1" s="3"/>
      <c r="RXG1" s="3"/>
      <c r="RXH1" s="3"/>
      <c r="RXI1" s="3"/>
      <c r="RXJ1" s="3"/>
      <c r="RXK1" s="3"/>
      <c r="RXL1" s="3"/>
      <c r="RXM1" s="3"/>
      <c r="RXN1" s="3"/>
      <c r="RXO1" s="3"/>
      <c r="RXP1" s="3"/>
      <c r="RXQ1" s="3"/>
      <c r="RXR1" s="3"/>
      <c r="RXS1" s="3"/>
      <c r="RXT1" s="3"/>
      <c r="RXU1" s="3"/>
      <c r="RXV1" s="3"/>
      <c r="RXW1" s="3"/>
      <c r="RXX1" s="3"/>
      <c r="RXY1" s="3"/>
      <c r="RXZ1" s="3"/>
      <c r="RYA1" s="3"/>
      <c r="RYB1" s="3"/>
      <c r="RYC1" s="3"/>
      <c r="RYD1" s="3"/>
      <c r="RYE1" s="3"/>
      <c r="RYF1" s="3"/>
      <c r="RYG1" s="3"/>
      <c r="RYH1" s="3"/>
      <c r="RYI1" s="3"/>
      <c r="RYJ1" s="3"/>
      <c r="RYK1" s="3"/>
      <c r="RYL1" s="3"/>
      <c r="RYM1" s="3"/>
      <c r="RYN1" s="3"/>
      <c r="RYO1" s="3"/>
      <c r="RYP1" s="3"/>
      <c r="RYQ1" s="3"/>
      <c r="RYR1" s="3"/>
      <c r="RYS1" s="3"/>
      <c r="RYT1" s="3"/>
      <c r="RYU1" s="3"/>
      <c r="RYV1" s="3"/>
      <c r="RYW1" s="3"/>
      <c r="RYX1" s="3"/>
      <c r="RYY1" s="3"/>
      <c r="RYZ1" s="3"/>
      <c r="RZA1" s="3"/>
      <c r="RZB1" s="3"/>
      <c r="RZC1" s="3"/>
      <c r="RZD1" s="3"/>
      <c r="RZE1" s="3"/>
      <c r="RZF1" s="3"/>
      <c r="RZG1" s="3"/>
      <c r="RZH1" s="3"/>
      <c r="RZI1" s="3"/>
      <c r="RZJ1" s="3"/>
      <c r="RZK1" s="3"/>
      <c r="RZL1" s="3"/>
      <c r="RZM1" s="3"/>
      <c r="RZN1" s="3"/>
      <c r="RZO1" s="3"/>
      <c r="RZP1" s="3"/>
      <c r="RZQ1" s="3"/>
      <c r="RZR1" s="3"/>
      <c r="RZS1" s="3"/>
      <c r="RZT1" s="3"/>
      <c r="RZU1" s="3"/>
      <c r="RZV1" s="3"/>
      <c r="RZW1" s="3"/>
      <c r="RZX1" s="3"/>
      <c r="RZY1" s="3"/>
      <c r="RZZ1" s="3"/>
      <c r="SAA1" s="3"/>
      <c r="SAB1" s="3"/>
      <c r="SAC1" s="3"/>
      <c r="SAD1" s="3"/>
      <c r="SAE1" s="3"/>
      <c r="SAF1" s="3"/>
      <c r="SAG1" s="3"/>
      <c r="SAH1" s="3"/>
      <c r="SAI1" s="3"/>
      <c r="SAJ1" s="3"/>
      <c r="SAK1" s="3"/>
      <c r="SAL1" s="3"/>
      <c r="SAM1" s="3"/>
      <c r="SAN1" s="3"/>
      <c r="SAO1" s="3"/>
      <c r="SAP1" s="3"/>
      <c r="SAQ1" s="3"/>
      <c r="SAR1" s="3"/>
      <c r="SAS1" s="3"/>
      <c r="SAT1" s="3"/>
      <c r="SAU1" s="3"/>
      <c r="SAV1" s="3"/>
      <c r="SAW1" s="3"/>
      <c r="SAX1" s="3"/>
      <c r="SAY1" s="3"/>
      <c r="SAZ1" s="3"/>
      <c r="SBA1" s="3"/>
      <c r="SBB1" s="3"/>
      <c r="SBC1" s="3"/>
      <c r="SBD1" s="3"/>
      <c r="SBE1" s="3"/>
      <c r="SBF1" s="3"/>
      <c r="SBG1" s="3"/>
      <c r="SBH1" s="3"/>
      <c r="SBI1" s="3"/>
      <c r="SBJ1" s="3"/>
      <c r="SBK1" s="3"/>
      <c r="SBL1" s="3"/>
      <c r="SBM1" s="3"/>
      <c r="SBN1" s="3"/>
      <c r="SBO1" s="3"/>
      <c r="SBP1" s="3"/>
      <c r="SBQ1" s="3"/>
      <c r="SBR1" s="3"/>
      <c r="SBS1" s="3"/>
      <c r="SBT1" s="3"/>
      <c r="SBU1" s="3"/>
      <c r="SBV1" s="3"/>
      <c r="SBW1" s="3"/>
      <c r="SBX1" s="3"/>
      <c r="SBY1" s="3"/>
      <c r="SBZ1" s="3"/>
      <c r="SCA1" s="3"/>
      <c r="SCB1" s="3"/>
      <c r="SCC1" s="3"/>
      <c r="SCD1" s="3"/>
      <c r="SCE1" s="3"/>
      <c r="SCF1" s="3"/>
      <c r="SCG1" s="3"/>
      <c r="SCH1" s="3"/>
      <c r="SCI1" s="3"/>
      <c r="SCJ1" s="3"/>
      <c r="SCK1" s="3"/>
      <c r="SCL1" s="3"/>
      <c r="SCM1" s="3"/>
      <c r="SCN1" s="3"/>
      <c r="SCO1" s="3"/>
      <c r="SCP1" s="3"/>
      <c r="SCQ1" s="3"/>
      <c r="SCR1" s="3"/>
      <c r="SCS1" s="3"/>
      <c r="SCT1" s="3"/>
      <c r="SCU1" s="3"/>
      <c r="SCV1" s="3"/>
      <c r="SCW1" s="3"/>
      <c r="SCX1" s="3"/>
      <c r="SCY1" s="3"/>
      <c r="SCZ1" s="3"/>
      <c r="SDA1" s="3"/>
      <c r="SDB1" s="3"/>
      <c r="SDC1" s="3"/>
      <c r="SDD1" s="3"/>
      <c r="SDE1" s="3"/>
      <c r="SDF1" s="3"/>
      <c r="SDG1" s="3"/>
      <c r="SDH1" s="3"/>
      <c r="SDI1" s="3"/>
      <c r="SDJ1" s="3"/>
      <c r="SDK1" s="3"/>
      <c r="SDL1" s="3"/>
      <c r="SDM1" s="3"/>
      <c r="SDN1" s="3"/>
      <c r="SDO1" s="3"/>
      <c r="SDP1" s="3"/>
      <c r="SDQ1" s="3"/>
      <c r="SDR1" s="3"/>
      <c r="SDS1" s="3"/>
      <c r="SDT1" s="3"/>
      <c r="SDU1" s="3"/>
      <c r="SDV1" s="3"/>
      <c r="SDW1" s="3"/>
      <c r="SDX1" s="3"/>
      <c r="SDY1" s="3"/>
      <c r="SDZ1" s="3"/>
      <c r="SEA1" s="3"/>
      <c r="SEB1" s="3"/>
      <c r="SEC1" s="3"/>
      <c r="SED1" s="3"/>
      <c r="SEE1" s="3"/>
      <c r="SEF1" s="3"/>
      <c r="SEG1" s="3"/>
      <c r="SEH1" s="3"/>
      <c r="SEI1" s="3"/>
      <c r="SEJ1" s="3"/>
      <c r="SEK1" s="3"/>
      <c r="SEL1" s="3"/>
      <c r="SEM1" s="3"/>
      <c r="SEN1" s="3"/>
      <c r="SEO1" s="3"/>
      <c r="SEP1" s="3"/>
      <c r="SEQ1" s="3"/>
      <c r="SER1" s="3"/>
      <c r="SES1" s="3"/>
      <c r="SET1" s="3"/>
      <c r="SEU1" s="3"/>
      <c r="SEV1" s="3"/>
      <c r="SEW1" s="3"/>
      <c r="SEX1" s="3"/>
      <c r="SEY1" s="3"/>
      <c r="SEZ1" s="3"/>
      <c r="SFA1" s="3"/>
      <c r="SFB1" s="3"/>
      <c r="SFC1" s="3"/>
      <c r="SFD1" s="3"/>
      <c r="SFE1" s="3"/>
      <c r="SFF1" s="3"/>
      <c r="SFG1" s="3"/>
      <c r="SFH1" s="3"/>
      <c r="SFI1" s="3"/>
      <c r="SFJ1" s="3"/>
      <c r="SFK1" s="3"/>
      <c r="SFL1" s="3"/>
      <c r="SFM1" s="3"/>
      <c r="SFN1" s="3"/>
      <c r="SFO1" s="3"/>
      <c r="SFP1" s="3"/>
      <c r="SFQ1" s="3"/>
      <c r="SFR1" s="3"/>
      <c r="SFS1" s="3"/>
      <c r="SFT1" s="3"/>
      <c r="SFU1" s="3"/>
      <c r="SFV1" s="3"/>
      <c r="SFW1" s="3"/>
      <c r="SFX1" s="3"/>
      <c r="SFY1" s="3"/>
      <c r="SFZ1" s="3"/>
      <c r="SGA1" s="3"/>
      <c r="SGB1" s="3"/>
      <c r="SGC1" s="3"/>
      <c r="SGD1" s="3"/>
      <c r="SGE1" s="3"/>
      <c r="SGF1" s="3"/>
      <c r="SGG1" s="3"/>
      <c r="SGH1" s="3"/>
      <c r="SGI1" s="3"/>
      <c r="SGJ1" s="3"/>
      <c r="SGK1" s="3"/>
      <c r="SGL1" s="3"/>
      <c r="SGM1" s="3"/>
      <c r="SGN1" s="3"/>
      <c r="SGO1" s="3"/>
      <c r="SGP1" s="3"/>
      <c r="SGQ1" s="3"/>
      <c r="SGR1" s="3"/>
      <c r="SGS1" s="3"/>
      <c r="SGT1" s="3"/>
      <c r="SGU1" s="3"/>
      <c r="SGV1" s="3"/>
      <c r="SGW1" s="3"/>
      <c r="SGX1" s="3"/>
      <c r="SGY1" s="3"/>
      <c r="SGZ1" s="3"/>
      <c r="SHA1" s="3"/>
      <c r="SHB1" s="3"/>
      <c r="SHC1" s="3"/>
      <c r="SHD1" s="3"/>
      <c r="SHE1" s="3"/>
      <c r="SHF1" s="3"/>
      <c r="SHG1" s="3"/>
      <c r="SHH1" s="3"/>
      <c r="SHI1" s="3"/>
      <c r="SHJ1" s="3"/>
      <c r="SHK1" s="3"/>
      <c r="SHL1" s="3"/>
      <c r="SHM1" s="3"/>
      <c r="SHN1" s="3"/>
      <c r="SHO1" s="3"/>
      <c r="SHP1" s="3"/>
      <c r="SHQ1" s="3"/>
      <c r="SHR1" s="3"/>
      <c r="SHS1" s="3"/>
      <c r="SHT1" s="3"/>
      <c r="SHU1" s="3"/>
      <c r="SHV1" s="3"/>
      <c r="SHW1" s="3"/>
      <c r="SHX1" s="3"/>
      <c r="SHY1" s="3"/>
      <c r="SHZ1" s="3"/>
      <c r="SIA1" s="3"/>
      <c r="SIB1" s="3"/>
      <c r="SIC1" s="3"/>
      <c r="SID1" s="3"/>
      <c r="SIE1" s="3"/>
      <c r="SIF1" s="3"/>
      <c r="SIG1" s="3"/>
      <c r="SIH1" s="3"/>
      <c r="SII1" s="3"/>
      <c r="SIJ1" s="3"/>
      <c r="SIK1" s="3"/>
      <c r="SIL1" s="3"/>
      <c r="SIM1" s="3"/>
      <c r="SIN1" s="3"/>
      <c r="SIO1" s="3"/>
      <c r="SIP1" s="3"/>
      <c r="SIQ1" s="3"/>
      <c r="SIR1" s="3"/>
      <c r="SIS1" s="3"/>
      <c r="SIT1" s="3"/>
      <c r="SIU1" s="3"/>
      <c r="SIV1" s="3"/>
      <c r="SIW1" s="3"/>
      <c r="SIX1" s="3"/>
      <c r="SIY1" s="3"/>
      <c r="SIZ1" s="3"/>
      <c r="SJA1" s="3"/>
      <c r="SJB1" s="3"/>
      <c r="SJC1" s="3"/>
      <c r="SJD1" s="3"/>
      <c r="SJE1" s="3"/>
      <c r="SJF1" s="3"/>
      <c r="SJG1" s="3"/>
      <c r="SJH1" s="3"/>
      <c r="SJI1" s="3"/>
      <c r="SJJ1" s="3"/>
      <c r="SJK1" s="3"/>
      <c r="SJL1" s="3"/>
      <c r="SJM1" s="3"/>
      <c r="SJN1" s="3"/>
      <c r="SJO1" s="3"/>
      <c r="SJP1" s="3"/>
      <c r="SJQ1" s="3"/>
      <c r="SJR1" s="3"/>
      <c r="SJS1" s="3"/>
      <c r="SJT1" s="3"/>
      <c r="SJU1" s="3"/>
      <c r="SJV1" s="3"/>
      <c r="SJW1" s="3"/>
      <c r="SJX1" s="3"/>
      <c r="SJY1" s="3"/>
      <c r="SJZ1" s="3"/>
      <c r="SKA1" s="3"/>
      <c r="SKB1" s="3"/>
      <c r="SKC1" s="3"/>
      <c r="SKD1" s="3"/>
      <c r="SKE1" s="3"/>
      <c r="SKF1" s="3"/>
      <c r="SKG1" s="3"/>
      <c r="SKH1" s="3"/>
      <c r="SKI1" s="3"/>
      <c r="SKJ1" s="3"/>
      <c r="SKK1" s="3"/>
      <c r="SKL1" s="3"/>
      <c r="SKM1" s="3"/>
      <c r="SKN1" s="3"/>
      <c r="SKO1" s="3"/>
      <c r="SKP1" s="3"/>
      <c r="SKQ1" s="3"/>
      <c r="SKR1" s="3"/>
      <c r="SKS1" s="3"/>
      <c r="SKT1" s="3"/>
      <c r="SKU1" s="3"/>
      <c r="SKV1" s="3"/>
      <c r="SKW1" s="3"/>
      <c r="SKX1" s="3"/>
      <c r="SKY1" s="3"/>
      <c r="SKZ1" s="3"/>
      <c r="SLA1" s="3"/>
      <c r="SLB1" s="3"/>
      <c r="SLC1" s="3"/>
      <c r="SLD1" s="3"/>
      <c r="SLE1" s="3"/>
      <c r="SLF1" s="3"/>
      <c r="SLG1" s="3"/>
      <c r="SLH1" s="3"/>
      <c r="SLI1" s="3"/>
      <c r="SLJ1" s="3"/>
      <c r="SLK1" s="3"/>
      <c r="SLL1" s="3"/>
      <c r="SLM1" s="3"/>
      <c r="SLN1" s="3"/>
      <c r="SLO1" s="3"/>
      <c r="SLP1" s="3"/>
      <c r="SLQ1" s="3"/>
      <c r="SLR1" s="3"/>
      <c r="SLS1" s="3"/>
      <c r="SLT1" s="3"/>
      <c r="SLU1" s="3"/>
      <c r="SLV1" s="3"/>
      <c r="SLW1" s="3"/>
      <c r="SLX1" s="3"/>
      <c r="SLY1" s="3"/>
      <c r="SLZ1" s="3"/>
      <c r="SMA1" s="3"/>
      <c r="SMB1" s="3"/>
      <c r="SMC1" s="3"/>
      <c r="SMD1" s="3"/>
      <c r="SME1" s="3"/>
      <c r="SMF1" s="3"/>
      <c r="SMG1" s="3"/>
      <c r="SMH1" s="3"/>
      <c r="SMI1" s="3"/>
      <c r="SMJ1" s="3"/>
      <c r="SMK1" s="3"/>
      <c r="SML1" s="3"/>
      <c r="SMM1" s="3"/>
      <c r="SMN1" s="3"/>
      <c r="SMO1" s="3"/>
      <c r="SMP1" s="3"/>
      <c r="SMQ1" s="3"/>
      <c r="SMR1" s="3"/>
      <c r="SMS1" s="3"/>
      <c r="SMT1" s="3"/>
      <c r="SMU1" s="3"/>
      <c r="SMV1" s="3"/>
      <c r="SMW1" s="3"/>
      <c r="SMX1" s="3"/>
      <c r="SMY1" s="3"/>
      <c r="SMZ1" s="3"/>
      <c r="SNA1" s="3"/>
      <c r="SNB1" s="3"/>
      <c r="SNC1" s="3"/>
      <c r="SND1" s="3"/>
      <c r="SNE1" s="3"/>
      <c r="SNF1" s="3"/>
      <c r="SNG1" s="3"/>
      <c r="SNH1" s="3"/>
      <c r="SNI1" s="3"/>
      <c r="SNJ1" s="3"/>
      <c r="SNK1" s="3"/>
      <c r="SNL1" s="3"/>
      <c r="SNM1" s="3"/>
      <c r="SNN1" s="3"/>
      <c r="SNO1" s="3"/>
      <c r="SNP1" s="3"/>
      <c r="SNQ1" s="3"/>
      <c r="SNR1" s="3"/>
      <c r="SNS1" s="3"/>
      <c r="SNT1" s="3"/>
      <c r="SNU1" s="3"/>
      <c r="SNV1" s="3"/>
      <c r="SNW1" s="3"/>
      <c r="SNX1" s="3"/>
      <c r="SNY1" s="3"/>
      <c r="SNZ1" s="3"/>
      <c r="SOA1" s="3"/>
      <c r="SOB1" s="3"/>
      <c r="SOC1" s="3"/>
      <c r="SOD1" s="3"/>
      <c r="SOE1" s="3"/>
      <c r="SOF1" s="3"/>
      <c r="SOG1" s="3"/>
      <c r="SOH1" s="3"/>
      <c r="SOI1" s="3"/>
      <c r="SOJ1" s="3"/>
      <c r="SOK1" s="3"/>
      <c r="SOL1" s="3"/>
      <c r="SOM1" s="3"/>
      <c r="SON1" s="3"/>
      <c r="SOO1" s="3"/>
      <c r="SOP1" s="3"/>
      <c r="SOQ1" s="3"/>
      <c r="SOR1" s="3"/>
      <c r="SOS1" s="3"/>
      <c r="SOT1" s="3"/>
      <c r="SOU1" s="3"/>
      <c r="SOV1" s="3"/>
      <c r="SOW1" s="3"/>
      <c r="SOX1" s="3"/>
      <c r="SOY1" s="3"/>
      <c r="SOZ1" s="3"/>
      <c r="SPA1" s="3"/>
      <c r="SPB1" s="3"/>
      <c r="SPC1" s="3"/>
      <c r="SPD1" s="3"/>
      <c r="SPE1" s="3"/>
      <c r="SPF1" s="3"/>
      <c r="SPG1" s="3"/>
      <c r="SPH1" s="3"/>
      <c r="SPI1" s="3"/>
      <c r="SPJ1" s="3"/>
      <c r="SPK1" s="3"/>
      <c r="SPL1" s="3"/>
      <c r="SPM1" s="3"/>
      <c r="SPN1" s="3"/>
      <c r="SPO1" s="3"/>
      <c r="SPP1" s="3"/>
      <c r="SPQ1" s="3"/>
      <c r="SPR1" s="3"/>
      <c r="SPS1" s="3"/>
      <c r="SPT1" s="3"/>
      <c r="SPU1" s="3"/>
      <c r="SPV1" s="3"/>
      <c r="SPW1" s="3"/>
      <c r="SPX1" s="3"/>
      <c r="SPY1" s="3"/>
      <c r="SPZ1" s="3"/>
      <c r="SQA1" s="3"/>
      <c r="SQB1" s="3"/>
      <c r="SQC1" s="3"/>
      <c r="SQD1" s="3"/>
      <c r="SQE1" s="3"/>
      <c r="SQF1" s="3"/>
      <c r="SQG1" s="3"/>
      <c r="SQH1" s="3"/>
      <c r="SQI1" s="3"/>
      <c r="SQJ1" s="3"/>
      <c r="SQK1" s="3"/>
      <c r="SQL1" s="3"/>
      <c r="SQM1" s="3"/>
      <c r="SQN1" s="3"/>
      <c r="SQO1" s="3"/>
      <c r="SQP1" s="3"/>
      <c r="SQQ1" s="3"/>
      <c r="SQR1" s="3"/>
      <c r="SQS1" s="3"/>
      <c r="SQT1" s="3"/>
      <c r="SQU1" s="3"/>
      <c r="SQV1" s="3"/>
      <c r="SQW1" s="3"/>
      <c r="SQX1" s="3"/>
      <c r="SQY1" s="3"/>
      <c r="SQZ1" s="3"/>
      <c r="SRA1" s="3"/>
      <c r="SRB1" s="3"/>
      <c r="SRC1" s="3"/>
      <c r="SRD1" s="3"/>
      <c r="SRE1" s="3"/>
      <c r="SRF1" s="3"/>
      <c r="SRG1" s="3"/>
      <c r="SRH1" s="3"/>
      <c r="SRI1" s="3"/>
      <c r="SRJ1" s="3"/>
      <c r="SRK1" s="3"/>
      <c r="SRL1" s="3"/>
      <c r="SRM1" s="3"/>
      <c r="SRN1" s="3"/>
      <c r="SRO1" s="3"/>
      <c r="SRP1" s="3"/>
      <c r="SRQ1" s="3"/>
      <c r="SRR1" s="3"/>
      <c r="SRS1" s="3"/>
      <c r="SRT1" s="3"/>
      <c r="SRU1" s="3"/>
      <c r="SRV1" s="3"/>
      <c r="SRW1" s="3"/>
      <c r="SRX1" s="3"/>
      <c r="SRY1" s="3"/>
      <c r="SRZ1" s="3"/>
      <c r="SSA1" s="3"/>
      <c r="SSB1" s="3"/>
      <c r="SSC1" s="3"/>
      <c r="SSD1" s="3"/>
      <c r="SSE1" s="3"/>
      <c r="SSF1" s="3"/>
      <c r="SSG1" s="3"/>
      <c r="SSH1" s="3"/>
      <c r="SSI1" s="3"/>
      <c r="SSJ1" s="3"/>
      <c r="SSK1" s="3"/>
      <c r="SSL1" s="3"/>
      <c r="SSM1" s="3"/>
      <c r="SSN1" s="3"/>
      <c r="SSO1" s="3"/>
      <c r="SSP1" s="3"/>
      <c r="SSQ1" s="3"/>
      <c r="SSR1" s="3"/>
      <c r="SSS1" s="3"/>
      <c r="SST1" s="3"/>
      <c r="SSU1" s="3"/>
      <c r="SSV1" s="3"/>
      <c r="SSW1" s="3"/>
      <c r="SSX1" s="3"/>
      <c r="SSY1" s="3"/>
      <c r="SSZ1" s="3"/>
      <c r="STA1" s="3"/>
      <c r="STB1" s="3"/>
      <c r="STC1" s="3"/>
      <c r="STD1" s="3"/>
      <c r="STE1" s="3"/>
      <c r="STF1" s="3"/>
      <c r="STG1" s="3"/>
      <c r="STH1" s="3"/>
      <c r="STI1" s="3"/>
      <c r="STJ1" s="3"/>
      <c r="STK1" s="3"/>
      <c r="STL1" s="3"/>
      <c r="STM1" s="3"/>
      <c r="STN1" s="3"/>
      <c r="STO1" s="3"/>
      <c r="STP1" s="3"/>
      <c r="STQ1" s="3"/>
      <c r="STR1" s="3"/>
      <c r="STS1" s="3"/>
      <c r="STT1" s="3"/>
      <c r="STU1" s="3"/>
      <c r="STV1" s="3"/>
      <c r="STW1" s="3"/>
      <c r="STX1" s="3"/>
      <c r="STY1" s="3"/>
      <c r="STZ1" s="3"/>
      <c r="SUA1" s="3"/>
      <c r="SUB1" s="3"/>
      <c r="SUC1" s="3"/>
      <c r="SUD1" s="3"/>
      <c r="SUE1" s="3"/>
      <c r="SUF1" s="3"/>
      <c r="SUG1" s="3"/>
      <c r="SUH1" s="3"/>
      <c r="SUI1" s="3"/>
      <c r="SUJ1" s="3"/>
      <c r="SUK1" s="3"/>
      <c r="SUL1" s="3"/>
      <c r="SUM1" s="3"/>
      <c r="SUN1" s="3"/>
      <c r="SUO1" s="3"/>
      <c r="SUP1" s="3"/>
      <c r="SUQ1" s="3"/>
      <c r="SUR1" s="3"/>
      <c r="SUS1" s="3"/>
      <c r="SUT1" s="3"/>
      <c r="SUU1" s="3"/>
      <c r="SUV1" s="3"/>
      <c r="SUW1" s="3"/>
      <c r="SUX1" s="3"/>
      <c r="SUY1" s="3"/>
      <c r="SUZ1" s="3"/>
      <c r="SVA1" s="3"/>
      <c r="SVB1" s="3"/>
      <c r="SVC1" s="3"/>
      <c r="SVD1" s="3"/>
      <c r="SVE1" s="3"/>
      <c r="SVF1" s="3"/>
      <c r="SVG1" s="3"/>
      <c r="SVH1" s="3"/>
      <c r="SVI1" s="3"/>
      <c r="SVJ1" s="3"/>
      <c r="SVK1" s="3"/>
      <c r="SVL1" s="3"/>
      <c r="SVM1" s="3"/>
      <c r="SVN1" s="3"/>
      <c r="SVO1" s="3"/>
      <c r="SVP1" s="3"/>
      <c r="SVQ1" s="3"/>
      <c r="SVR1" s="3"/>
      <c r="SVS1" s="3"/>
      <c r="SVT1" s="3"/>
      <c r="SVU1" s="3"/>
      <c r="SVV1" s="3"/>
      <c r="SVW1" s="3"/>
      <c r="SVX1" s="3"/>
      <c r="SVY1" s="3"/>
      <c r="SVZ1" s="3"/>
      <c r="SWA1" s="3"/>
      <c r="SWB1" s="3"/>
      <c r="SWC1" s="3"/>
      <c r="SWD1" s="3"/>
      <c r="SWE1" s="3"/>
      <c r="SWF1" s="3"/>
      <c r="SWG1" s="3"/>
      <c r="SWH1" s="3"/>
      <c r="SWI1" s="3"/>
      <c r="SWJ1" s="3"/>
      <c r="SWK1" s="3"/>
      <c r="SWL1" s="3"/>
      <c r="SWM1" s="3"/>
      <c r="SWN1" s="3"/>
      <c r="SWO1" s="3"/>
      <c r="SWP1" s="3"/>
      <c r="SWQ1" s="3"/>
      <c r="SWR1" s="3"/>
      <c r="SWS1" s="3"/>
      <c r="SWT1" s="3"/>
      <c r="SWU1" s="3"/>
      <c r="SWV1" s="3"/>
      <c r="SWW1" s="3"/>
      <c r="SWX1" s="3"/>
      <c r="SWY1" s="3"/>
      <c r="SWZ1" s="3"/>
      <c r="SXA1" s="3"/>
      <c r="SXB1" s="3"/>
      <c r="SXC1" s="3"/>
      <c r="SXD1" s="3"/>
      <c r="SXE1" s="3"/>
      <c r="SXF1" s="3"/>
      <c r="SXG1" s="3"/>
      <c r="SXH1" s="3"/>
      <c r="SXI1" s="3"/>
      <c r="SXJ1" s="3"/>
      <c r="SXK1" s="3"/>
      <c r="SXL1" s="3"/>
      <c r="SXM1" s="3"/>
      <c r="SXN1" s="3"/>
      <c r="SXO1" s="3"/>
      <c r="SXP1" s="3"/>
      <c r="SXQ1" s="3"/>
      <c r="SXR1" s="3"/>
      <c r="SXS1" s="3"/>
      <c r="SXT1" s="3"/>
      <c r="SXU1" s="3"/>
      <c r="SXV1" s="3"/>
      <c r="SXW1" s="3"/>
      <c r="SXX1" s="3"/>
      <c r="SXY1" s="3"/>
      <c r="SXZ1" s="3"/>
      <c r="SYA1" s="3"/>
      <c r="SYB1" s="3"/>
      <c r="SYC1" s="3"/>
      <c r="SYD1" s="3"/>
      <c r="SYE1" s="3"/>
      <c r="SYF1" s="3"/>
      <c r="SYG1" s="3"/>
      <c r="SYH1" s="3"/>
      <c r="SYI1" s="3"/>
      <c r="SYJ1" s="3"/>
      <c r="SYK1" s="3"/>
      <c r="SYL1" s="3"/>
      <c r="SYM1" s="3"/>
      <c r="SYN1" s="3"/>
      <c r="SYO1" s="3"/>
      <c r="SYP1" s="3"/>
      <c r="SYQ1" s="3"/>
      <c r="SYR1" s="3"/>
      <c r="SYS1" s="3"/>
      <c r="SYT1" s="3"/>
      <c r="SYU1" s="3"/>
      <c r="SYV1" s="3"/>
      <c r="SYW1" s="3"/>
      <c r="SYX1" s="3"/>
      <c r="SYY1" s="3"/>
      <c r="SYZ1" s="3"/>
      <c r="SZA1" s="3"/>
      <c r="SZB1" s="3"/>
      <c r="SZC1" s="3"/>
      <c r="SZD1" s="3"/>
      <c r="SZE1" s="3"/>
      <c r="SZF1" s="3"/>
      <c r="SZG1" s="3"/>
      <c r="SZH1" s="3"/>
      <c r="SZI1" s="3"/>
      <c r="SZJ1" s="3"/>
      <c r="SZK1" s="3"/>
      <c r="SZL1" s="3"/>
      <c r="SZM1" s="3"/>
      <c r="SZN1" s="3"/>
      <c r="SZO1" s="3"/>
      <c r="SZP1" s="3"/>
      <c r="SZQ1" s="3"/>
      <c r="SZR1" s="3"/>
      <c r="SZS1" s="3"/>
      <c r="SZT1" s="3"/>
      <c r="SZU1" s="3"/>
      <c r="SZV1" s="3"/>
      <c r="SZW1" s="3"/>
      <c r="SZX1" s="3"/>
      <c r="SZY1" s="3"/>
      <c r="SZZ1" s="3"/>
      <c r="TAA1" s="3"/>
      <c r="TAB1" s="3"/>
      <c r="TAC1" s="3"/>
      <c r="TAD1" s="3"/>
      <c r="TAE1" s="3"/>
      <c r="TAF1" s="3"/>
      <c r="TAG1" s="3"/>
      <c r="TAH1" s="3"/>
      <c r="TAI1" s="3"/>
      <c r="TAJ1" s="3"/>
      <c r="TAK1" s="3"/>
      <c r="TAL1" s="3"/>
      <c r="TAM1" s="3"/>
      <c r="TAN1" s="3"/>
      <c r="TAO1" s="3"/>
      <c r="TAP1" s="3"/>
      <c r="TAQ1" s="3"/>
      <c r="TAR1" s="3"/>
      <c r="TAS1" s="3"/>
      <c r="TAT1" s="3"/>
      <c r="TAU1" s="3"/>
      <c r="TAV1" s="3"/>
      <c r="TAW1" s="3"/>
      <c r="TAX1" s="3"/>
      <c r="TAY1" s="3"/>
      <c r="TAZ1" s="3"/>
      <c r="TBA1" s="3"/>
      <c r="TBB1" s="3"/>
      <c r="TBC1" s="3"/>
      <c r="TBD1" s="3"/>
      <c r="TBE1" s="3"/>
      <c r="TBF1" s="3"/>
      <c r="TBG1" s="3"/>
      <c r="TBH1" s="3"/>
      <c r="TBI1" s="3"/>
      <c r="TBJ1" s="3"/>
      <c r="TBK1" s="3"/>
      <c r="TBL1" s="3"/>
      <c r="TBM1" s="3"/>
      <c r="TBN1" s="3"/>
      <c r="TBO1" s="3"/>
      <c r="TBP1" s="3"/>
      <c r="TBQ1" s="3"/>
      <c r="TBR1" s="3"/>
      <c r="TBS1" s="3"/>
      <c r="TBT1" s="3"/>
      <c r="TBU1" s="3"/>
      <c r="TBV1" s="3"/>
      <c r="TBW1" s="3"/>
      <c r="TBX1" s="3"/>
      <c r="TBY1" s="3"/>
      <c r="TBZ1" s="3"/>
      <c r="TCA1" s="3"/>
      <c r="TCB1" s="3"/>
      <c r="TCC1" s="3"/>
      <c r="TCD1" s="3"/>
      <c r="TCE1" s="3"/>
      <c r="TCF1" s="3"/>
      <c r="TCG1" s="3"/>
      <c r="TCH1" s="3"/>
      <c r="TCI1" s="3"/>
      <c r="TCJ1" s="3"/>
      <c r="TCK1" s="3"/>
      <c r="TCL1" s="3"/>
      <c r="TCM1" s="3"/>
      <c r="TCN1" s="3"/>
      <c r="TCO1" s="3"/>
      <c r="TCP1" s="3"/>
      <c r="TCQ1" s="3"/>
      <c r="TCR1" s="3"/>
      <c r="TCS1" s="3"/>
      <c r="TCT1" s="3"/>
      <c r="TCU1" s="3"/>
      <c r="TCV1" s="3"/>
      <c r="TCW1" s="3"/>
      <c r="TCX1" s="3"/>
      <c r="TCY1" s="3"/>
      <c r="TCZ1" s="3"/>
      <c r="TDA1" s="3"/>
      <c r="TDB1" s="3"/>
      <c r="TDC1" s="3"/>
      <c r="TDD1" s="3"/>
      <c r="TDE1" s="3"/>
      <c r="TDF1" s="3"/>
      <c r="TDG1" s="3"/>
      <c r="TDH1" s="3"/>
      <c r="TDI1" s="3"/>
      <c r="TDJ1" s="3"/>
      <c r="TDK1" s="3"/>
      <c r="TDL1" s="3"/>
      <c r="TDM1" s="3"/>
      <c r="TDN1" s="3"/>
      <c r="TDO1" s="3"/>
      <c r="TDP1" s="3"/>
      <c r="TDQ1" s="3"/>
      <c r="TDR1" s="3"/>
      <c r="TDS1" s="3"/>
      <c r="TDT1" s="3"/>
      <c r="TDU1" s="3"/>
      <c r="TDV1" s="3"/>
      <c r="TDW1" s="3"/>
      <c r="TDX1" s="3"/>
      <c r="TDY1" s="3"/>
      <c r="TDZ1" s="3"/>
      <c r="TEA1" s="3"/>
      <c r="TEB1" s="3"/>
      <c r="TEC1" s="3"/>
      <c r="TED1" s="3"/>
      <c r="TEE1" s="3"/>
      <c r="TEF1" s="3"/>
      <c r="TEG1" s="3"/>
      <c r="TEH1" s="3"/>
      <c r="TEI1" s="3"/>
      <c r="TEJ1" s="3"/>
      <c r="TEK1" s="3"/>
      <c r="TEL1" s="3"/>
      <c r="TEM1" s="3"/>
      <c r="TEN1" s="3"/>
      <c r="TEO1" s="3"/>
      <c r="TEP1" s="3"/>
      <c r="TEQ1" s="3"/>
      <c r="TER1" s="3"/>
      <c r="TES1" s="3"/>
      <c r="TET1" s="3"/>
      <c r="TEU1" s="3"/>
      <c r="TEV1" s="3"/>
      <c r="TEW1" s="3"/>
      <c r="TEX1" s="3"/>
      <c r="TEY1" s="3"/>
      <c r="TEZ1" s="3"/>
      <c r="TFA1" s="3"/>
      <c r="TFB1" s="3"/>
      <c r="TFC1" s="3"/>
      <c r="TFD1" s="3"/>
      <c r="TFE1" s="3"/>
      <c r="TFF1" s="3"/>
      <c r="TFG1" s="3"/>
      <c r="TFH1" s="3"/>
      <c r="TFI1" s="3"/>
      <c r="TFJ1" s="3"/>
      <c r="TFK1" s="3"/>
      <c r="TFL1" s="3"/>
      <c r="TFM1" s="3"/>
      <c r="TFN1" s="3"/>
      <c r="TFO1" s="3"/>
      <c r="TFP1" s="3"/>
      <c r="TFQ1" s="3"/>
      <c r="TFR1" s="3"/>
      <c r="TFS1" s="3"/>
      <c r="TFT1" s="3"/>
      <c r="TFU1" s="3"/>
      <c r="TFV1" s="3"/>
      <c r="TFW1" s="3"/>
      <c r="TFX1" s="3"/>
      <c r="TFY1" s="3"/>
      <c r="TFZ1" s="3"/>
      <c r="TGA1" s="3"/>
      <c r="TGB1" s="3"/>
      <c r="TGC1" s="3"/>
      <c r="TGD1" s="3"/>
      <c r="TGE1" s="3"/>
      <c r="TGF1" s="3"/>
      <c r="TGG1" s="3"/>
      <c r="TGH1" s="3"/>
      <c r="TGI1" s="3"/>
      <c r="TGJ1" s="3"/>
      <c r="TGK1" s="3"/>
      <c r="TGL1" s="3"/>
      <c r="TGM1" s="3"/>
      <c r="TGN1" s="3"/>
      <c r="TGO1" s="3"/>
      <c r="TGP1" s="3"/>
      <c r="TGQ1" s="3"/>
      <c r="TGR1" s="3"/>
      <c r="TGS1" s="3"/>
      <c r="TGT1" s="3"/>
      <c r="TGU1" s="3"/>
      <c r="TGV1" s="3"/>
      <c r="TGW1" s="3"/>
      <c r="TGX1" s="3"/>
      <c r="TGY1" s="3"/>
      <c r="TGZ1" s="3"/>
      <c r="THA1" s="3"/>
      <c r="THB1" s="3"/>
      <c r="THC1" s="3"/>
      <c r="THD1" s="3"/>
      <c r="THE1" s="3"/>
      <c r="THF1" s="3"/>
      <c r="THG1" s="3"/>
      <c r="THH1" s="3"/>
      <c r="THI1" s="3"/>
      <c r="THJ1" s="3"/>
      <c r="THK1" s="3"/>
      <c r="THL1" s="3"/>
      <c r="THM1" s="3"/>
      <c r="THN1" s="3"/>
      <c r="THO1" s="3"/>
      <c r="THP1" s="3"/>
      <c r="THQ1" s="3"/>
      <c r="THR1" s="3"/>
      <c r="THS1" s="3"/>
      <c r="THT1" s="3"/>
      <c r="THU1" s="3"/>
      <c r="THV1" s="3"/>
      <c r="THW1" s="3"/>
      <c r="THX1" s="3"/>
      <c r="THY1" s="3"/>
      <c r="THZ1" s="3"/>
      <c r="TIA1" s="3"/>
      <c r="TIB1" s="3"/>
      <c r="TIC1" s="3"/>
      <c r="TID1" s="3"/>
      <c r="TIE1" s="3"/>
      <c r="TIF1" s="3"/>
      <c r="TIG1" s="3"/>
      <c r="TIH1" s="3"/>
      <c r="TII1" s="3"/>
      <c r="TIJ1" s="3"/>
      <c r="TIK1" s="3"/>
      <c r="TIL1" s="3"/>
      <c r="TIM1" s="3"/>
      <c r="TIN1" s="3"/>
      <c r="TIO1" s="3"/>
      <c r="TIP1" s="3"/>
      <c r="TIQ1" s="3"/>
      <c r="TIR1" s="3"/>
      <c r="TIS1" s="3"/>
      <c r="TIT1" s="3"/>
      <c r="TIU1" s="3"/>
      <c r="TIV1" s="3"/>
      <c r="TIW1" s="3"/>
      <c r="TIX1" s="3"/>
      <c r="TIY1" s="3"/>
      <c r="TIZ1" s="3"/>
      <c r="TJA1" s="3"/>
      <c r="TJB1" s="3"/>
      <c r="TJC1" s="3"/>
      <c r="TJD1" s="3"/>
      <c r="TJE1" s="3"/>
      <c r="TJF1" s="3"/>
      <c r="TJG1" s="3"/>
      <c r="TJH1" s="3"/>
      <c r="TJI1" s="3"/>
      <c r="TJJ1" s="3"/>
      <c r="TJK1" s="3"/>
      <c r="TJL1" s="3"/>
      <c r="TJM1" s="3"/>
      <c r="TJN1" s="3"/>
      <c r="TJO1" s="3"/>
      <c r="TJP1" s="3"/>
      <c r="TJQ1" s="3"/>
      <c r="TJR1" s="3"/>
      <c r="TJS1" s="3"/>
      <c r="TJT1" s="3"/>
      <c r="TJU1" s="3"/>
      <c r="TJV1" s="3"/>
      <c r="TJW1" s="3"/>
      <c r="TJX1" s="3"/>
      <c r="TJY1" s="3"/>
      <c r="TJZ1" s="3"/>
      <c r="TKA1" s="3"/>
      <c r="TKB1" s="3"/>
      <c r="TKC1" s="3"/>
      <c r="TKD1" s="3"/>
      <c r="TKE1" s="3"/>
      <c r="TKF1" s="3"/>
      <c r="TKG1" s="3"/>
      <c r="TKH1" s="3"/>
      <c r="TKI1" s="3"/>
      <c r="TKJ1" s="3"/>
      <c r="TKK1" s="3"/>
      <c r="TKL1" s="3"/>
      <c r="TKM1" s="3"/>
      <c r="TKN1" s="3"/>
      <c r="TKO1" s="3"/>
      <c r="TKP1" s="3"/>
      <c r="TKQ1" s="3"/>
      <c r="TKR1" s="3"/>
      <c r="TKS1" s="3"/>
      <c r="TKT1" s="3"/>
      <c r="TKU1" s="3"/>
      <c r="TKV1" s="3"/>
      <c r="TKW1" s="3"/>
      <c r="TKX1" s="3"/>
      <c r="TKY1" s="3"/>
      <c r="TKZ1" s="3"/>
      <c r="TLA1" s="3"/>
      <c r="TLB1" s="3"/>
      <c r="TLC1" s="3"/>
      <c r="TLD1" s="3"/>
      <c r="TLE1" s="3"/>
      <c r="TLF1" s="3"/>
      <c r="TLG1" s="3"/>
      <c r="TLH1" s="3"/>
      <c r="TLI1" s="3"/>
      <c r="TLJ1" s="3"/>
      <c r="TLK1" s="3"/>
      <c r="TLL1" s="3"/>
      <c r="TLM1" s="3"/>
      <c r="TLN1" s="3"/>
      <c r="TLO1" s="3"/>
      <c r="TLP1" s="3"/>
      <c r="TLQ1" s="3"/>
      <c r="TLR1" s="3"/>
      <c r="TLS1" s="3"/>
      <c r="TLT1" s="3"/>
      <c r="TLU1" s="3"/>
      <c r="TLV1" s="3"/>
      <c r="TLW1" s="3"/>
      <c r="TLX1" s="3"/>
      <c r="TLY1" s="3"/>
      <c r="TLZ1" s="3"/>
      <c r="TMA1" s="3"/>
      <c r="TMB1" s="3"/>
      <c r="TMC1" s="3"/>
      <c r="TMD1" s="3"/>
      <c r="TME1" s="3"/>
      <c r="TMF1" s="3"/>
      <c r="TMG1" s="3"/>
      <c r="TMH1" s="3"/>
      <c r="TMI1" s="3"/>
      <c r="TMJ1" s="3"/>
      <c r="TMK1" s="3"/>
      <c r="TML1" s="3"/>
      <c r="TMM1" s="3"/>
      <c r="TMN1" s="3"/>
      <c r="TMO1" s="3"/>
      <c r="TMP1" s="3"/>
      <c r="TMQ1" s="3"/>
      <c r="TMR1" s="3"/>
      <c r="TMS1" s="3"/>
      <c r="TMT1" s="3"/>
      <c r="TMU1" s="3"/>
      <c r="TMV1" s="3"/>
      <c r="TMW1" s="3"/>
      <c r="TMX1" s="3"/>
      <c r="TMY1" s="3"/>
      <c r="TMZ1" s="3"/>
      <c r="TNA1" s="3"/>
      <c r="TNB1" s="3"/>
      <c r="TNC1" s="3"/>
      <c r="TND1" s="3"/>
      <c r="TNE1" s="3"/>
      <c r="TNF1" s="3"/>
      <c r="TNG1" s="3"/>
      <c r="TNH1" s="3"/>
      <c r="TNI1" s="3"/>
      <c r="TNJ1" s="3"/>
      <c r="TNK1" s="3"/>
      <c r="TNL1" s="3"/>
      <c r="TNM1" s="3"/>
      <c r="TNN1" s="3"/>
      <c r="TNO1" s="3"/>
      <c r="TNP1" s="3"/>
      <c r="TNQ1" s="3"/>
      <c r="TNR1" s="3"/>
      <c r="TNS1" s="3"/>
      <c r="TNT1" s="3"/>
      <c r="TNU1" s="3"/>
      <c r="TNV1" s="3"/>
      <c r="TNW1" s="3"/>
      <c r="TNX1" s="3"/>
      <c r="TNY1" s="3"/>
      <c r="TNZ1" s="3"/>
      <c r="TOA1" s="3"/>
      <c r="TOB1" s="3"/>
      <c r="TOC1" s="3"/>
      <c r="TOD1" s="3"/>
      <c r="TOE1" s="3"/>
      <c r="TOF1" s="3"/>
      <c r="TOG1" s="3"/>
      <c r="TOH1" s="3"/>
      <c r="TOI1" s="3"/>
      <c r="TOJ1" s="3"/>
      <c r="TOK1" s="3"/>
      <c r="TOL1" s="3"/>
      <c r="TOM1" s="3"/>
      <c r="TON1" s="3"/>
      <c r="TOO1" s="3"/>
      <c r="TOP1" s="3"/>
      <c r="TOQ1" s="3"/>
      <c r="TOR1" s="3"/>
      <c r="TOS1" s="3"/>
      <c r="TOT1" s="3"/>
      <c r="TOU1" s="3"/>
      <c r="TOV1" s="3"/>
      <c r="TOW1" s="3"/>
      <c r="TOX1" s="3"/>
      <c r="TOY1" s="3"/>
      <c r="TOZ1" s="3"/>
      <c r="TPA1" s="3"/>
      <c r="TPB1" s="3"/>
      <c r="TPC1" s="3"/>
      <c r="TPD1" s="3"/>
      <c r="TPE1" s="3"/>
      <c r="TPF1" s="3"/>
      <c r="TPG1" s="3"/>
      <c r="TPH1" s="3"/>
      <c r="TPI1" s="3"/>
      <c r="TPJ1" s="3"/>
      <c r="TPK1" s="3"/>
      <c r="TPL1" s="3"/>
      <c r="TPM1" s="3"/>
      <c r="TPN1" s="3"/>
      <c r="TPO1" s="3"/>
      <c r="TPP1" s="3"/>
      <c r="TPQ1" s="3"/>
      <c r="TPR1" s="3"/>
      <c r="TPS1" s="3"/>
      <c r="TPT1" s="3"/>
      <c r="TPU1" s="3"/>
      <c r="TPV1" s="3"/>
      <c r="TPW1" s="3"/>
      <c r="TPX1" s="3"/>
      <c r="TPY1" s="3"/>
      <c r="TPZ1" s="3"/>
      <c r="TQA1" s="3"/>
      <c r="TQB1" s="3"/>
      <c r="TQC1" s="3"/>
      <c r="TQD1" s="3"/>
      <c r="TQE1" s="3"/>
      <c r="TQF1" s="3"/>
      <c r="TQG1" s="3"/>
      <c r="TQH1" s="3"/>
      <c r="TQI1" s="3"/>
      <c r="TQJ1" s="3"/>
      <c r="TQK1" s="3"/>
      <c r="TQL1" s="3"/>
      <c r="TQM1" s="3"/>
      <c r="TQN1" s="3"/>
      <c r="TQO1" s="3"/>
      <c r="TQP1" s="3"/>
      <c r="TQQ1" s="3"/>
      <c r="TQR1" s="3"/>
      <c r="TQS1" s="3"/>
      <c r="TQT1" s="3"/>
      <c r="TQU1" s="3"/>
      <c r="TQV1" s="3"/>
      <c r="TQW1" s="3"/>
      <c r="TQX1" s="3"/>
      <c r="TQY1" s="3"/>
      <c r="TQZ1" s="3"/>
      <c r="TRA1" s="3"/>
      <c r="TRB1" s="3"/>
      <c r="TRC1" s="3"/>
      <c r="TRD1" s="3"/>
      <c r="TRE1" s="3"/>
      <c r="TRF1" s="3"/>
      <c r="TRG1" s="3"/>
      <c r="TRH1" s="3"/>
      <c r="TRI1" s="3"/>
      <c r="TRJ1" s="3"/>
      <c r="TRK1" s="3"/>
      <c r="TRL1" s="3"/>
      <c r="TRM1" s="3"/>
      <c r="TRN1" s="3"/>
      <c r="TRO1" s="3"/>
      <c r="TRP1" s="3"/>
      <c r="TRQ1" s="3"/>
      <c r="TRR1" s="3"/>
      <c r="TRS1" s="3"/>
      <c r="TRT1" s="3"/>
      <c r="TRU1" s="3"/>
      <c r="TRV1" s="3"/>
      <c r="TRW1" s="3"/>
      <c r="TRX1" s="3"/>
      <c r="TRY1" s="3"/>
      <c r="TRZ1" s="3"/>
      <c r="TSA1" s="3"/>
      <c r="TSB1" s="3"/>
      <c r="TSC1" s="3"/>
      <c r="TSD1" s="3"/>
      <c r="TSE1" s="3"/>
      <c r="TSF1" s="3"/>
      <c r="TSG1" s="3"/>
      <c r="TSH1" s="3"/>
      <c r="TSI1" s="3"/>
      <c r="TSJ1" s="3"/>
      <c r="TSK1" s="3"/>
      <c r="TSL1" s="3"/>
      <c r="TSM1" s="3"/>
      <c r="TSN1" s="3"/>
      <c r="TSO1" s="3"/>
      <c r="TSP1" s="3"/>
      <c r="TSQ1" s="3"/>
      <c r="TSR1" s="3"/>
      <c r="TSS1" s="3"/>
      <c r="TST1" s="3"/>
      <c r="TSU1" s="3"/>
      <c r="TSV1" s="3"/>
      <c r="TSW1" s="3"/>
      <c r="TSX1" s="3"/>
      <c r="TSY1" s="3"/>
      <c r="TSZ1" s="3"/>
      <c r="TTA1" s="3"/>
      <c r="TTB1" s="3"/>
      <c r="TTC1" s="3"/>
      <c r="TTD1" s="3"/>
      <c r="TTE1" s="3"/>
      <c r="TTF1" s="3"/>
      <c r="TTG1" s="3"/>
      <c r="TTH1" s="3"/>
      <c r="TTI1" s="3"/>
      <c r="TTJ1" s="3"/>
      <c r="TTK1" s="3"/>
      <c r="TTL1" s="3"/>
      <c r="TTM1" s="3"/>
      <c r="TTN1" s="3"/>
      <c r="TTO1" s="3"/>
      <c r="TTP1" s="3"/>
      <c r="TTQ1" s="3"/>
      <c r="TTR1" s="3"/>
      <c r="TTS1" s="3"/>
      <c r="TTT1" s="3"/>
      <c r="TTU1" s="3"/>
      <c r="TTV1" s="3"/>
      <c r="TTW1" s="3"/>
      <c r="TTX1" s="3"/>
      <c r="TTY1" s="3"/>
      <c r="TTZ1" s="3"/>
      <c r="TUA1" s="3"/>
      <c r="TUB1" s="3"/>
      <c r="TUC1" s="3"/>
      <c r="TUD1" s="3"/>
      <c r="TUE1" s="3"/>
      <c r="TUF1" s="3"/>
      <c r="TUG1" s="3"/>
      <c r="TUH1" s="3"/>
      <c r="TUI1" s="3"/>
      <c r="TUJ1" s="3"/>
      <c r="TUK1" s="3"/>
      <c r="TUL1" s="3"/>
      <c r="TUM1" s="3"/>
      <c r="TUN1" s="3"/>
      <c r="TUO1" s="3"/>
      <c r="TUP1" s="3"/>
      <c r="TUQ1" s="3"/>
      <c r="TUR1" s="3"/>
      <c r="TUS1" s="3"/>
      <c r="TUT1" s="3"/>
      <c r="TUU1" s="3"/>
      <c r="TUV1" s="3"/>
      <c r="TUW1" s="3"/>
      <c r="TUX1" s="3"/>
      <c r="TUY1" s="3"/>
      <c r="TUZ1" s="3"/>
      <c r="TVA1" s="3"/>
      <c r="TVB1" s="3"/>
      <c r="TVC1" s="3"/>
      <c r="TVD1" s="3"/>
      <c r="TVE1" s="3"/>
      <c r="TVF1" s="3"/>
      <c r="TVG1" s="3"/>
      <c r="TVH1" s="3"/>
      <c r="TVI1" s="3"/>
      <c r="TVJ1" s="3"/>
      <c r="TVK1" s="3"/>
      <c r="TVL1" s="3"/>
      <c r="TVM1" s="3"/>
      <c r="TVN1" s="3"/>
      <c r="TVO1" s="3"/>
      <c r="TVP1" s="3"/>
      <c r="TVQ1" s="3"/>
      <c r="TVR1" s="3"/>
      <c r="TVS1" s="3"/>
      <c r="TVT1" s="3"/>
      <c r="TVU1" s="3"/>
      <c r="TVV1" s="3"/>
      <c r="TVW1" s="3"/>
      <c r="TVX1" s="3"/>
      <c r="TVY1" s="3"/>
      <c r="TVZ1" s="3"/>
      <c r="TWA1" s="3"/>
      <c r="TWB1" s="3"/>
      <c r="TWC1" s="3"/>
      <c r="TWD1" s="3"/>
      <c r="TWE1" s="3"/>
      <c r="TWF1" s="3"/>
      <c r="TWG1" s="3"/>
      <c r="TWH1" s="3"/>
      <c r="TWI1" s="3"/>
      <c r="TWJ1" s="3"/>
      <c r="TWK1" s="3"/>
      <c r="TWL1" s="3"/>
      <c r="TWM1" s="3"/>
      <c r="TWN1" s="3"/>
      <c r="TWO1" s="3"/>
      <c r="TWP1" s="3"/>
      <c r="TWQ1" s="3"/>
      <c r="TWR1" s="3"/>
      <c r="TWS1" s="3"/>
      <c r="TWT1" s="3"/>
      <c r="TWU1" s="3"/>
      <c r="TWV1" s="3"/>
      <c r="TWW1" s="3"/>
      <c r="TWX1" s="3"/>
      <c r="TWY1" s="3"/>
      <c r="TWZ1" s="3"/>
      <c r="TXA1" s="3"/>
      <c r="TXB1" s="3"/>
      <c r="TXC1" s="3"/>
      <c r="TXD1" s="3"/>
      <c r="TXE1" s="3"/>
      <c r="TXF1" s="3"/>
      <c r="TXG1" s="3"/>
      <c r="TXH1" s="3"/>
      <c r="TXI1" s="3"/>
      <c r="TXJ1" s="3"/>
      <c r="TXK1" s="3"/>
      <c r="TXL1" s="3"/>
      <c r="TXM1" s="3"/>
      <c r="TXN1" s="3"/>
      <c r="TXO1" s="3"/>
      <c r="TXP1" s="3"/>
      <c r="TXQ1" s="3"/>
      <c r="TXR1" s="3"/>
      <c r="TXS1" s="3"/>
      <c r="TXT1" s="3"/>
      <c r="TXU1" s="3"/>
      <c r="TXV1" s="3"/>
      <c r="TXW1" s="3"/>
      <c r="TXX1" s="3"/>
      <c r="TXY1" s="3"/>
      <c r="TXZ1" s="3"/>
      <c r="TYA1" s="3"/>
      <c r="TYB1" s="3"/>
      <c r="TYC1" s="3"/>
      <c r="TYD1" s="3"/>
      <c r="TYE1" s="3"/>
      <c r="TYF1" s="3"/>
      <c r="TYG1" s="3"/>
      <c r="TYH1" s="3"/>
      <c r="TYI1" s="3"/>
      <c r="TYJ1" s="3"/>
      <c r="TYK1" s="3"/>
      <c r="TYL1" s="3"/>
      <c r="TYM1" s="3"/>
      <c r="TYN1" s="3"/>
      <c r="TYO1" s="3"/>
      <c r="TYP1" s="3"/>
      <c r="TYQ1" s="3"/>
      <c r="TYR1" s="3"/>
      <c r="TYS1" s="3"/>
      <c r="TYT1" s="3"/>
      <c r="TYU1" s="3"/>
      <c r="TYV1" s="3"/>
      <c r="TYW1" s="3"/>
      <c r="TYX1" s="3"/>
      <c r="TYY1" s="3"/>
      <c r="TYZ1" s="3"/>
      <c r="TZA1" s="3"/>
      <c r="TZB1" s="3"/>
      <c r="TZC1" s="3"/>
      <c r="TZD1" s="3"/>
      <c r="TZE1" s="3"/>
      <c r="TZF1" s="3"/>
      <c r="TZG1" s="3"/>
      <c r="TZH1" s="3"/>
      <c r="TZI1" s="3"/>
      <c r="TZJ1" s="3"/>
      <c r="TZK1" s="3"/>
      <c r="TZL1" s="3"/>
      <c r="TZM1" s="3"/>
      <c r="TZN1" s="3"/>
      <c r="TZO1" s="3"/>
      <c r="TZP1" s="3"/>
      <c r="TZQ1" s="3"/>
      <c r="TZR1" s="3"/>
      <c r="TZS1" s="3"/>
      <c r="TZT1" s="3"/>
      <c r="TZU1" s="3"/>
      <c r="TZV1" s="3"/>
      <c r="TZW1" s="3"/>
      <c r="TZX1" s="3"/>
      <c r="TZY1" s="3"/>
      <c r="TZZ1" s="3"/>
      <c r="UAA1" s="3"/>
      <c r="UAB1" s="3"/>
      <c r="UAC1" s="3"/>
      <c r="UAD1" s="3"/>
      <c r="UAE1" s="3"/>
      <c r="UAF1" s="3"/>
      <c r="UAG1" s="3"/>
      <c r="UAH1" s="3"/>
      <c r="UAI1" s="3"/>
      <c r="UAJ1" s="3"/>
      <c r="UAK1" s="3"/>
      <c r="UAL1" s="3"/>
      <c r="UAM1" s="3"/>
      <c r="UAN1" s="3"/>
      <c r="UAO1" s="3"/>
      <c r="UAP1" s="3"/>
      <c r="UAQ1" s="3"/>
      <c r="UAR1" s="3"/>
      <c r="UAS1" s="3"/>
      <c r="UAT1" s="3"/>
      <c r="UAU1" s="3"/>
      <c r="UAV1" s="3"/>
      <c r="UAW1" s="3"/>
      <c r="UAX1" s="3"/>
      <c r="UAY1" s="3"/>
      <c r="UAZ1" s="3"/>
      <c r="UBA1" s="3"/>
      <c r="UBB1" s="3"/>
      <c r="UBC1" s="3"/>
      <c r="UBD1" s="3"/>
      <c r="UBE1" s="3"/>
      <c r="UBF1" s="3"/>
      <c r="UBG1" s="3"/>
      <c r="UBH1" s="3"/>
      <c r="UBI1" s="3"/>
      <c r="UBJ1" s="3"/>
      <c r="UBK1" s="3"/>
      <c r="UBL1" s="3"/>
      <c r="UBM1" s="3"/>
      <c r="UBN1" s="3"/>
      <c r="UBO1" s="3"/>
      <c r="UBP1" s="3"/>
      <c r="UBQ1" s="3"/>
      <c r="UBR1" s="3"/>
      <c r="UBS1" s="3"/>
      <c r="UBT1" s="3"/>
      <c r="UBU1" s="3"/>
      <c r="UBV1" s="3"/>
      <c r="UBW1" s="3"/>
      <c r="UBX1" s="3"/>
      <c r="UBY1" s="3"/>
      <c r="UBZ1" s="3"/>
      <c r="UCA1" s="3"/>
      <c r="UCB1" s="3"/>
      <c r="UCC1" s="3"/>
      <c r="UCD1" s="3"/>
      <c r="UCE1" s="3"/>
      <c r="UCF1" s="3"/>
      <c r="UCG1" s="3"/>
      <c r="UCH1" s="3"/>
      <c r="UCI1" s="3"/>
      <c r="UCJ1" s="3"/>
      <c r="UCK1" s="3"/>
      <c r="UCL1" s="3"/>
      <c r="UCM1" s="3"/>
      <c r="UCN1" s="3"/>
      <c r="UCO1" s="3"/>
      <c r="UCP1" s="3"/>
      <c r="UCQ1" s="3"/>
      <c r="UCR1" s="3"/>
      <c r="UCS1" s="3"/>
      <c r="UCT1" s="3"/>
      <c r="UCU1" s="3"/>
      <c r="UCV1" s="3"/>
      <c r="UCW1" s="3"/>
      <c r="UCX1" s="3"/>
      <c r="UCY1" s="3"/>
      <c r="UCZ1" s="3"/>
      <c r="UDA1" s="3"/>
      <c r="UDB1" s="3"/>
      <c r="UDC1" s="3"/>
      <c r="UDD1" s="3"/>
      <c r="UDE1" s="3"/>
      <c r="UDF1" s="3"/>
      <c r="UDG1" s="3"/>
      <c r="UDH1" s="3"/>
      <c r="UDI1" s="3"/>
      <c r="UDJ1" s="3"/>
      <c r="UDK1" s="3"/>
      <c r="UDL1" s="3"/>
      <c r="UDM1" s="3"/>
      <c r="UDN1" s="3"/>
      <c r="UDO1" s="3"/>
      <c r="UDP1" s="3"/>
      <c r="UDQ1" s="3"/>
      <c r="UDR1" s="3"/>
      <c r="UDS1" s="3"/>
      <c r="UDT1" s="3"/>
      <c r="UDU1" s="3"/>
      <c r="UDV1" s="3"/>
      <c r="UDW1" s="3"/>
      <c r="UDX1" s="3"/>
      <c r="UDY1" s="3"/>
      <c r="UDZ1" s="3"/>
      <c r="UEA1" s="3"/>
      <c r="UEB1" s="3"/>
      <c r="UEC1" s="3"/>
      <c r="UED1" s="3"/>
      <c r="UEE1" s="3"/>
      <c r="UEF1" s="3"/>
      <c r="UEG1" s="3"/>
      <c r="UEH1" s="3"/>
      <c r="UEI1" s="3"/>
      <c r="UEJ1" s="3"/>
      <c r="UEK1" s="3"/>
      <c r="UEL1" s="3"/>
      <c r="UEM1" s="3"/>
      <c r="UEN1" s="3"/>
      <c r="UEO1" s="3"/>
      <c r="UEP1" s="3"/>
      <c r="UEQ1" s="3"/>
      <c r="UER1" s="3"/>
      <c r="UES1" s="3"/>
      <c r="UET1" s="3"/>
      <c r="UEU1" s="3"/>
      <c r="UEV1" s="3"/>
      <c r="UEW1" s="3"/>
      <c r="UEX1" s="3"/>
      <c r="UEY1" s="3"/>
      <c r="UEZ1" s="3"/>
      <c r="UFA1" s="3"/>
      <c r="UFB1" s="3"/>
      <c r="UFC1" s="3"/>
      <c r="UFD1" s="3"/>
      <c r="UFE1" s="3"/>
      <c r="UFF1" s="3"/>
      <c r="UFG1" s="3"/>
      <c r="UFH1" s="3"/>
      <c r="UFI1" s="3"/>
      <c r="UFJ1" s="3"/>
      <c r="UFK1" s="3"/>
      <c r="UFL1" s="3"/>
      <c r="UFM1" s="3"/>
      <c r="UFN1" s="3"/>
      <c r="UFO1" s="3"/>
      <c r="UFP1" s="3"/>
      <c r="UFQ1" s="3"/>
      <c r="UFR1" s="3"/>
      <c r="UFS1" s="3"/>
      <c r="UFT1" s="3"/>
      <c r="UFU1" s="3"/>
      <c r="UFV1" s="3"/>
      <c r="UFW1" s="3"/>
      <c r="UFX1" s="3"/>
      <c r="UFY1" s="3"/>
      <c r="UFZ1" s="3"/>
      <c r="UGA1" s="3"/>
      <c r="UGB1" s="3"/>
      <c r="UGC1" s="3"/>
      <c r="UGD1" s="3"/>
      <c r="UGE1" s="3"/>
      <c r="UGF1" s="3"/>
      <c r="UGG1" s="3"/>
      <c r="UGH1" s="3"/>
      <c r="UGI1" s="3"/>
      <c r="UGJ1" s="3"/>
      <c r="UGK1" s="3"/>
      <c r="UGL1" s="3"/>
      <c r="UGM1" s="3"/>
      <c r="UGN1" s="3"/>
      <c r="UGO1" s="3"/>
      <c r="UGP1" s="3"/>
      <c r="UGQ1" s="3"/>
      <c r="UGR1" s="3"/>
      <c r="UGS1" s="3"/>
      <c r="UGT1" s="3"/>
      <c r="UGU1" s="3"/>
      <c r="UGV1" s="3"/>
      <c r="UGW1" s="3"/>
      <c r="UGX1" s="3"/>
      <c r="UGY1" s="3"/>
      <c r="UGZ1" s="3"/>
      <c r="UHA1" s="3"/>
      <c r="UHB1" s="3"/>
      <c r="UHC1" s="3"/>
      <c r="UHD1" s="3"/>
      <c r="UHE1" s="3"/>
      <c r="UHF1" s="3"/>
      <c r="UHG1" s="3"/>
      <c r="UHH1" s="3"/>
      <c r="UHI1" s="3"/>
      <c r="UHJ1" s="3"/>
      <c r="UHK1" s="3"/>
      <c r="UHL1" s="3"/>
      <c r="UHM1" s="3"/>
      <c r="UHN1" s="3"/>
      <c r="UHO1" s="3"/>
      <c r="UHP1" s="3"/>
      <c r="UHQ1" s="3"/>
      <c r="UHR1" s="3"/>
      <c r="UHS1" s="3"/>
      <c r="UHT1" s="3"/>
      <c r="UHU1" s="3"/>
      <c r="UHV1" s="3"/>
      <c r="UHW1" s="3"/>
      <c r="UHX1" s="3"/>
      <c r="UHY1" s="3"/>
      <c r="UHZ1" s="3"/>
      <c r="UIA1" s="3"/>
      <c r="UIB1" s="3"/>
      <c r="UIC1" s="3"/>
      <c r="UID1" s="3"/>
      <c r="UIE1" s="3"/>
      <c r="UIF1" s="3"/>
      <c r="UIG1" s="3"/>
      <c r="UIH1" s="3"/>
      <c r="UII1" s="3"/>
      <c r="UIJ1" s="3"/>
      <c r="UIK1" s="3"/>
      <c r="UIL1" s="3"/>
      <c r="UIM1" s="3"/>
      <c r="UIN1" s="3"/>
      <c r="UIO1" s="3"/>
      <c r="UIP1" s="3"/>
      <c r="UIQ1" s="3"/>
      <c r="UIR1" s="3"/>
      <c r="UIS1" s="3"/>
      <c r="UIT1" s="3"/>
      <c r="UIU1" s="3"/>
      <c r="UIV1" s="3"/>
      <c r="UIW1" s="3"/>
      <c r="UIX1" s="3"/>
      <c r="UIY1" s="3"/>
      <c r="UIZ1" s="3"/>
      <c r="UJA1" s="3"/>
      <c r="UJB1" s="3"/>
      <c r="UJC1" s="3"/>
      <c r="UJD1" s="3"/>
      <c r="UJE1" s="3"/>
      <c r="UJF1" s="3"/>
      <c r="UJG1" s="3"/>
      <c r="UJH1" s="3"/>
      <c r="UJI1" s="3"/>
      <c r="UJJ1" s="3"/>
      <c r="UJK1" s="3"/>
      <c r="UJL1" s="3"/>
      <c r="UJM1" s="3"/>
      <c r="UJN1" s="3"/>
      <c r="UJO1" s="3"/>
      <c r="UJP1" s="3"/>
      <c r="UJQ1" s="3"/>
      <c r="UJR1" s="3"/>
      <c r="UJS1" s="3"/>
      <c r="UJT1" s="3"/>
      <c r="UJU1" s="3"/>
      <c r="UJV1" s="3"/>
      <c r="UJW1" s="3"/>
      <c r="UJX1" s="3"/>
      <c r="UJY1" s="3"/>
      <c r="UJZ1" s="3"/>
      <c r="UKA1" s="3"/>
      <c r="UKB1" s="3"/>
      <c r="UKC1" s="3"/>
      <c r="UKD1" s="3"/>
      <c r="UKE1" s="3"/>
      <c r="UKF1" s="3"/>
      <c r="UKG1" s="3"/>
      <c r="UKH1" s="3"/>
      <c r="UKI1" s="3"/>
      <c r="UKJ1" s="3"/>
      <c r="UKK1" s="3"/>
      <c r="UKL1" s="3"/>
      <c r="UKM1" s="3"/>
      <c r="UKN1" s="3"/>
      <c r="UKO1" s="3"/>
      <c r="UKP1" s="3"/>
      <c r="UKQ1" s="3"/>
      <c r="UKR1" s="3"/>
      <c r="UKS1" s="3"/>
      <c r="UKT1" s="3"/>
      <c r="UKU1" s="3"/>
      <c r="UKV1" s="3"/>
      <c r="UKW1" s="3"/>
      <c r="UKX1" s="3"/>
      <c r="UKY1" s="3"/>
      <c r="UKZ1" s="3"/>
      <c r="ULA1" s="3"/>
      <c r="ULB1" s="3"/>
      <c r="ULC1" s="3"/>
      <c r="ULD1" s="3"/>
      <c r="ULE1" s="3"/>
      <c r="ULF1" s="3"/>
      <c r="ULG1" s="3"/>
      <c r="ULH1" s="3"/>
      <c r="ULI1" s="3"/>
      <c r="ULJ1" s="3"/>
      <c r="ULK1" s="3"/>
      <c r="ULL1" s="3"/>
      <c r="ULM1" s="3"/>
      <c r="ULN1" s="3"/>
      <c r="ULO1" s="3"/>
      <c r="ULP1" s="3"/>
      <c r="ULQ1" s="3"/>
      <c r="ULR1" s="3"/>
      <c r="ULS1" s="3"/>
      <c r="ULT1" s="3"/>
      <c r="ULU1" s="3"/>
      <c r="ULV1" s="3"/>
      <c r="ULW1" s="3"/>
      <c r="ULX1" s="3"/>
      <c r="ULY1" s="3"/>
      <c r="ULZ1" s="3"/>
      <c r="UMA1" s="3"/>
      <c r="UMB1" s="3"/>
      <c r="UMC1" s="3"/>
      <c r="UMD1" s="3"/>
      <c r="UME1" s="3"/>
      <c r="UMF1" s="3"/>
      <c r="UMG1" s="3"/>
      <c r="UMH1" s="3"/>
      <c r="UMI1" s="3"/>
      <c r="UMJ1" s="3"/>
      <c r="UMK1" s="3"/>
      <c r="UML1" s="3"/>
      <c r="UMM1" s="3"/>
      <c r="UMN1" s="3"/>
      <c r="UMO1" s="3"/>
      <c r="UMP1" s="3"/>
      <c r="UMQ1" s="3"/>
      <c r="UMR1" s="3"/>
      <c r="UMS1" s="3"/>
      <c r="UMT1" s="3"/>
      <c r="UMU1" s="3"/>
      <c r="UMV1" s="3"/>
      <c r="UMW1" s="3"/>
      <c r="UMX1" s="3"/>
      <c r="UMY1" s="3"/>
      <c r="UMZ1" s="3"/>
      <c r="UNA1" s="3"/>
      <c r="UNB1" s="3"/>
      <c r="UNC1" s="3"/>
      <c r="UND1" s="3"/>
      <c r="UNE1" s="3"/>
      <c r="UNF1" s="3"/>
      <c r="UNG1" s="3"/>
      <c r="UNH1" s="3"/>
      <c r="UNI1" s="3"/>
      <c r="UNJ1" s="3"/>
      <c r="UNK1" s="3"/>
      <c r="UNL1" s="3"/>
      <c r="UNM1" s="3"/>
      <c r="UNN1" s="3"/>
      <c r="UNO1" s="3"/>
      <c r="UNP1" s="3"/>
      <c r="UNQ1" s="3"/>
      <c r="UNR1" s="3"/>
      <c r="UNS1" s="3"/>
      <c r="UNT1" s="3"/>
      <c r="UNU1" s="3"/>
      <c r="UNV1" s="3"/>
      <c r="UNW1" s="3"/>
      <c r="UNX1" s="3"/>
      <c r="UNY1" s="3"/>
      <c r="UNZ1" s="3"/>
      <c r="UOA1" s="3"/>
      <c r="UOB1" s="3"/>
      <c r="UOC1" s="3"/>
      <c r="UOD1" s="3"/>
      <c r="UOE1" s="3"/>
      <c r="UOF1" s="3"/>
      <c r="UOG1" s="3"/>
      <c r="UOH1" s="3"/>
      <c r="UOI1" s="3"/>
      <c r="UOJ1" s="3"/>
      <c r="UOK1" s="3"/>
      <c r="UOL1" s="3"/>
      <c r="UOM1" s="3"/>
      <c r="UON1" s="3"/>
      <c r="UOO1" s="3"/>
      <c r="UOP1" s="3"/>
      <c r="UOQ1" s="3"/>
      <c r="UOR1" s="3"/>
      <c r="UOS1" s="3"/>
      <c r="UOT1" s="3"/>
      <c r="UOU1" s="3"/>
      <c r="UOV1" s="3"/>
      <c r="UOW1" s="3"/>
      <c r="UOX1" s="3"/>
      <c r="UOY1" s="3"/>
      <c r="UOZ1" s="3"/>
      <c r="UPA1" s="3"/>
      <c r="UPB1" s="3"/>
      <c r="UPC1" s="3"/>
      <c r="UPD1" s="3"/>
      <c r="UPE1" s="3"/>
      <c r="UPF1" s="3"/>
      <c r="UPG1" s="3"/>
      <c r="UPH1" s="3"/>
      <c r="UPI1" s="3"/>
      <c r="UPJ1" s="3"/>
      <c r="UPK1" s="3"/>
      <c r="UPL1" s="3"/>
      <c r="UPM1" s="3"/>
      <c r="UPN1" s="3"/>
      <c r="UPO1" s="3"/>
      <c r="UPP1" s="3"/>
      <c r="UPQ1" s="3"/>
      <c r="UPR1" s="3"/>
      <c r="UPS1" s="3"/>
      <c r="UPT1" s="3"/>
      <c r="UPU1" s="3"/>
      <c r="UPV1" s="3"/>
      <c r="UPW1" s="3"/>
      <c r="UPX1" s="3"/>
      <c r="UPY1" s="3"/>
      <c r="UPZ1" s="3"/>
      <c r="UQA1" s="3"/>
      <c r="UQB1" s="3"/>
      <c r="UQC1" s="3"/>
      <c r="UQD1" s="3"/>
      <c r="UQE1" s="3"/>
      <c r="UQF1" s="3"/>
      <c r="UQG1" s="3"/>
      <c r="UQH1" s="3"/>
      <c r="UQI1" s="3"/>
      <c r="UQJ1" s="3"/>
      <c r="UQK1" s="3"/>
      <c r="UQL1" s="3"/>
      <c r="UQM1" s="3"/>
      <c r="UQN1" s="3"/>
      <c r="UQO1" s="3"/>
      <c r="UQP1" s="3"/>
      <c r="UQQ1" s="3"/>
      <c r="UQR1" s="3"/>
      <c r="UQS1" s="3"/>
      <c r="UQT1" s="3"/>
      <c r="UQU1" s="3"/>
      <c r="UQV1" s="3"/>
      <c r="UQW1" s="3"/>
      <c r="UQX1" s="3"/>
      <c r="UQY1" s="3"/>
      <c r="UQZ1" s="3"/>
      <c r="URA1" s="3"/>
      <c r="URB1" s="3"/>
      <c r="URC1" s="3"/>
      <c r="URD1" s="3"/>
      <c r="URE1" s="3"/>
      <c r="URF1" s="3"/>
      <c r="URG1" s="3"/>
      <c r="URH1" s="3"/>
      <c r="URI1" s="3"/>
      <c r="URJ1" s="3"/>
      <c r="URK1" s="3"/>
      <c r="URL1" s="3"/>
      <c r="URM1" s="3"/>
      <c r="URN1" s="3"/>
      <c r="URO1" s="3"/>
      <c r="URP1" s="3"/>
      <c r="URQ1" s="3"/>
      <c r="URR1" s="3"/>
      <c r="URS1" s="3"/>
      <c r="URT1" s="3"/>
      <c r="URU1" s="3"/>
      <c r="URV1" s="3"/>
      <c r="URW1" s="3"/>
      <c r="URX1" s="3"/>
      <c r="URY1" s="3"/>
      <c r="URZ1" s="3"/>
      <c r="USA1" s="3"/>
      <c r="USB1" s="3"/>
      <c r="USC1" s="3"/>
      <c r="USD1" s="3"/>
      <c r="USE1" s="3"/>
      <c r="USF1" s="3"/>
      <c r="USG1" s="3"/>
      <c r="USH1" s="3"/>
      <c r="USI1" s="3"/>
      <c r="USJ1" s="3"/>
      <c r="USK1" s="3"/>
      <c r="USL1" s="3"/>
      <c r="USM1" s="3"/>
      <c r="USN1" s="3"/>
      <c r="USO1" s="3"/>
      <c r="USP1" s="3"/>
      <c r="USQ1" s="3"/>
      <c r="USR1" s="3"/>
      <c r="USS1" s="3"/>
      <c r="UST1" s="3"/>
      <c r="USU1" s="3"/>
      <c r="USV1" s="3"/>
      <c r="USW1" s="3"/>
      <c r="USX1" s="3"/>
      <c r="USY1" s="3"/>
      <c r="USZ1" s="3"/>
      <c r="UTA1" s="3"/>
      <c r="UTB1" s="3"/>
      <c r="UTC1" s="3"/>
      <c r="UTD1" s="3"/>
      <c r="UTE1" s="3"/>
      <c r="UTF1" s="3"/>
      <c r="UTG1" s="3"/>
      <c r="UTH1" s="3"/>
      <c r="UTI1" s="3"/>
      <c r="UTJ1" s="3"/>
      <c r="UTK1" s="3"/>
      <c r="UTL1" s="3"/>
      <c r="UTM1" s="3"/>
      <c r="UTN1" s="3"/>
      <c r="UTO1" s="3"/>
      <c r="UTP1" s="3"/>
      <c r="UTQ1" s="3"/>
      <c r="UTR1" s="3"/>
      <c r="UTS1" s="3"/>
      <c r="UTT1" s="3"/>
      <c r="UTU1" s="3"/>
      <c r="UTV1" s="3"/>
      <c r="UTW1" s="3"/>
      <c r="UTX1" s="3"/>
      <c r="UTY1" s="3"/>
      <c r="UTZ1" s="3"/>
      <c r="UUA1" s="3"/>
      <c r="UUB1" s="3"/>
      <c r="UUC1" s="3"/>
      <c r="UUD1" s="3"/>
      <c r="UUE1" s="3"/>
      <c r="UUF1" s="3"/>
      <c r="UUG1" s="3"/>
      <c r="UUH1" s="3"/>
      <c r="UUI1" s="3"/>
      <c r="UUJ1" s="3"/>
      <c r="UUK1" s="3"/>
      <c r="UUL1" s="3"/>
      <c r="UUM1" s="3"/>
      <c r="UUN1" s="3"/>
      <c r="UUO1" s="3"/>
      <c r="UUP1" s="3"/>
      <c r="UUQ1" s="3"/>
      <c r="UUR1" s="3"/>
      <c r="UUS1" s="3"/>
      <c r="UUT1" s="3"/>
      <c r="UUU1" s="3"/>
      <c r="UUV1" s="3"/>
      <c r="UUW1" s="3"/>
      <c r="UUX1" s="3"/>
      <c r="UUY1" s="3"/>
      <c r="UUZ1" s="3"/>
      <c r="UVA1" s="3"/>
      <c r="UVB1" s="3"/>
      <c r="UVC1" s="3"/>
      <c r="UVD1" s="3"/>
      <c r="UVE1" s="3"/>
      <c r="UVF1" s="3"/>
      <c r="UVG1" s="3"/>
      <c r="UVH1" s="3"/>
      <c r="UVI1" s="3"/>
      <c r="UVJ1" s="3"/>
      <c r="UVK1" s="3"/>
      <c r="UVL1" s="3"/>
      <c r="UVM1" s="3"/>
      <c r="UVN1" s="3"/>
      <c r="UVO1" s="3"/>
      <c r="UVP1" s="3"/>
      <c r="UVQ1" s="3"/>
      <c r="UVR1" s="3"/>
      <c r="UVS1" s="3"/>
      <c r="UVT1" s="3"/>
      <c r="UVU1" s="3"/>
      <c r="UVV1" s="3"/>
      <c r="UVW1" s="3"/>
      <c r="UVX1" s="3"/>
      <c r="UVY1" s="3"/>
      <c r="UVZ1" s="3"/>
      <c r="UWA1" s="3"/>
      <c r="UWB1" s="3"/>
      <c r="UWC1" s="3"/>
      <c r="UWD1" s="3"/>
      <c r="UWE1" s="3"/>
      <c r="UWF1" s="3"/>
      <c r="UWG1" s="3"/>
      <c r="UWH1" s="3"/>
      <c r="UWI1" s="3"/>
      <c r="UWJ1" s="3"/>
      <c r="UWK1" s="3"/>
      <c r="UWL1" s="3"/>
      <c r="UWM1" s="3"/>
      <c r="UWN1" s="3"/>
      <c r="UWO1" s="3"/>
      <c r="UWP1" s="3"/>
      <c r="UWQ1" s="3"/>
      <c r="UWR1" s="3"/>
      <c r="UWS1" s="3"/>
      <c r="UWT1" s="3"/>
      <c r="UWU1" s="3"/>
      <c r="UWV1" s="3"/>
      <c r="UWW1" s="3"/>
      <c r="UWX1" s="3"/>
      <c r="UWY1" s="3"/>
      <c r="UWZ1" s="3"/>
      <c r="UXA1" s="3"/>
      <c r="UXB1" s="3"/>
      <c r="UXC1" s="3"/>
      <c r="UXD1" s="3"/>
      <c r="UXE1" s="3"/>
      <c r="UXF1" s="3"/>
      <c r="UXG1" s="3"/>
      <c r="UXH1" s="3"/>
      <c r="UXI1" s="3"/>
      <c r="UXJ1" s="3"/>
      <c r="UXK1" s="3"/>
      <c r="UXL1" s="3"/>
      <c r="UXM1" s="3"/>
      <c r="UXN1" s="3"/>
      <c r="UXO1" s="3"/>
      <c r="UXP1" s="3"/>
      <c r="UXQ1" s="3"/>
      <c r="UXR1" s="3"/>
      <c r="UXS1" s="3"/>
      <c r="UXT1" s="3"/>
      <c r="UXU1" s="3"/>
      <c r="UXV1" s="3"/>
      <c r="UXW1" s="3"/>
      <c r="UXX1" s="3"/>
      <c r="UXY1" s="3"/>
      <c r="UXZ1" s="3"/>
      <c r="UYA1" s="3"/>
      <c r="UYB1" s="3"/>
      <c r="UYC1" s="3"/>
      <c r="UYD1" s="3"/>
      <c r="UYE1" s="3"/>
      <c r="UYF1" s="3"/>
      <c r="UYG1" s="3"/>
      <c r="UYH1" s="3"/>
      <c r="UYI1" s="3"/>
      <c r="UYJ1" s="3"/>
      <c r="UYK1" s="3"/>
      <c r="UYL1" s="3"/>
      <c r="UYM1" s="3"/>
      <c r="UYN1" s="3"/>
      <c r="UYO1" s="3"/>
      <c r="UYP1" s="3"/>
      <c r="UYQ1" s="3"/>
      <c r="UYR1" s="3"/>
      <c r="UYS1" s="3"/>
      <c r="UYT1" s="3"/>
      <c r="UYU1" s="3"/>
      <c r="UYV1" s="3"/>
      <c r="UYW1" s="3"/>
      <c r="UYX1" s="3"/>
      <c r="UYY1" s="3"/>
      <c r="UYZ1" s="3"/>
      <c r="UZA1" s="3"/>
      <c r="UZB1" s="3"/>
      <c r="UZC1" s="3"/>
      <c r="UZD1" s="3"/>
      <c r="UZE1" s="3"/>
      <c r="UZF1" s="3"/>
      <c r="UZG1" s="3"/>
      <c r="UZH1" s="3"/>
      <c r="UZI1" s="3"/>
      <c r="UZJ1" s="3"/>
      <c r="UZK1" s="3"/>
      <c r="UZL1" s="3"/>
      <c r="UZM1" s="3"/>
      <c r="UZN1" s="3"/>
      <c r="UZO1" s="3"/>
      <c r="UZP1" s="3"/>
      <c r="UZQ1" s="3"/>
      <c r="UZR1" s="3"/>
      <c r="UZS1" s="3"/>
      <c r="UZT1" s="3"/>
      <c r="UZU1" s="3"/>
      <c r="UZV1" s="3"/>
      <c r="UZW1" s="3"/>
      <c r="UZX1" s="3"/>
      <c r="UZY1" s="3"/>
      <c r="UZZ1" s="3"/>
      <c r="VAA1" s="3"/>
      <c r="VAB1" s="3"/>
      <c r="VAC1" s="3"/>
      <c r="VAD1" s="3"/>
      <c r="VAE1" s="3"/>
      <c r="VAF1" s="3"/>
      <c r="VAG1" s="3"/>
      <c r="VAH1" s="3"/>
      <c r="VAI1" s="3"/>
      <c r="VAJ1" s="3"/>
      <c r="VAK1" s="3"/>
      <c r="VAL1" s="3"/>
      <c r="VAM1" s="3"/>
      <c r="VAN1" s="3"/>
      <c r="VAO1" s="3"/>
      <c r="VAP1" s="3"/>
      <c r="VAQ1" s="3"/>
      <c r="VAR1" s="3"/>
      <c r="VAS1" s="3"/>
      <c r="VAT1" s="3"/>
      <c r="VAU1" s="3"/>
      <c r="VAV1" s="3"/>
      <c r="VAW1" s="3"/>
      <c r="VAX1" s="3"/>
      <c r="VAY1" s="3"/>
      <c r="VAZ1" s="3"/>
      <c r="VBA1" s="3"/>
      <c r="VBB1" s="3"/>
      <c r="VBC1" s="3"/>
      <c r="VBD1" s="3"/>
      <c r="VBE1" s="3"/>
      <c r="VBF1" s="3"/>
      <c r="VBG1" s="3"/>
      <c r="VBH1" s="3"/>
      <c r="VBI1" s="3"/>
      <c r="VBJ1" s="3"/>
      <c r="VBK1" s="3"/>
      <c r="VBL1" s="3"/>
      <c r="VBM1" s="3"/>
      <c r="VBN1" s="3"/>
      <c r="VBO1" s="3"/>
      <c r="VBP1" s="3"/>
      <c r="VBQ1" s="3"/>
      <c r="VBR1" s="3"/>
      <c r="VBS1" s="3"/>
      <c r="VBT1" s="3"/>
      <c r="VBU1" s="3"/>
      <c r="VBV1" s="3"/>
      <c r="VBW1" s="3"/>
      <c r="VBX1" s="3"/>
      <c r="VBY1" s="3"/>
      <c r="VBZ1" s="3"/>
      <c r="VCA1" s="3"/>
      <c r="VCB1" s="3"/>
      <c r="VCC1" s="3"/>
      <c r="VCD1" s="3"/>
      <c r="VCE1" s="3"/>
      <c r="VCF1" s="3"/>
      <c r="VCG1" s="3"/>
      <c r="VCH1" s="3"/>
      <c r="VCI1" s="3"/>
      <c r="VCJ1" s="3"/>
      <c r="VCK1" s="3"/>
      <c r="VCL1" s="3"/>
      <c r="VCM1" s="3"/>
      <c r="VCN1" s="3"/>
      <c r="VCO1" s="3"/>
      <c r="VCP1" s="3"/>
      <c r="VCQ1" s="3"/>
      <c r="VCR1" s="3"/>
      <c r="VCS1" s="3"/>
      <c r="VCT1" s="3"/>
      <c r="VCU1" s="3"/>
      <c r="VCV1" s="3"/>
      <c r="VCW1" s="3"/>
      <c r="VCX1" s="3"/>
      <c r="VCY1" s="3"/>
      <c r="VCZ1" s="3"/>
      <c r="VDA1" s="3"/>
      <c r="VDB1" s="3"/>
      <c r="VDC1" s="3"/>
      <c r="VDD1" s="3"/>
      <c r="VDE1" s="3"/>
      <c r="VDF1" s="3"/>
      <c r="VDG1" s="3"/>
      <c r="VDH1" s="3"/>
      <c r="VDI1" s="3"/>
      <c r="VDJ1" s="3"/>
      <c r="VDK1" s="3"/>
      <c r="VDL1" s="3"/>
      <c r="VDM1" s="3"/>
      <c r="VDN1" s="3"/>
      <c r="VDO1" s="3"/>
      <c r="VDP1" s="3"/>
      <c r="VDQ1" s="3"/>
      <c r="VDR1" s="3"/>
      <c r="VDS1" s="3"/>
      <c r="VDT1" s="3"/>
      <c r="VDU1" s="3"/>
      <c r="VDV1" s="3"/>
      <c r="VDW1" s="3"/>
      <c r="VDX1" s="3"/>
      <c r="VDY1" s="3"/>
      <c r="VDZ1" s="3"/>
      <c r="VEA1" s="3"/>
      <c r="VEB1" s="3"/>
      <c r="VEC1" s="3"/>
      <c r="VED1" s="3"/>
      <c r="VEE1" s="3"/>
      <c r="VEF1" s="3"/>
      <c r="VEG1" s="3"/>
      <c r="VEH1" s="3"/>
      <c r="VEI1" s="3"/>
      <c r="VEJ1" s="3"/>
      <c r="VEK1" s="3"/>
      <c r="VEL1" s="3"/>
      <c r="VEM1" s="3"/>
      <c r="VEN1" s="3"/>
      <c r="VEO1" s="3"/>
      <c r="VEP1" s="3"/>
      <c r="VEQ1" s="3"/>
      <c r="VER1" s="3"/>
      <c r="VES1" s="3"/>
      <c r="VET1" s="3"/>
      <c r="VEU1" s="3"/>
      <c r="VEV1" s="3"/>
      <c r="VEW1" s="3"/>
      <c r="VEX1" s="3"/>
      <c r="VEY1" s="3"/>
      <c r="VEZ1" s="3"/>
      <c r="VFA1" s="3"/>
      <c r="VFB1" s="3"/>
      <c r="VFC1" s="3"/>
      <c r="VFD1" s="3"/>
      <c r="VFE1" s="3"/>
      <c r="VFF1" s="3"/>
      <c r="VFG1" s="3"/>
      <c r="VFH1" s="3"/>
      <c r="VFI1" s="3"/>
      <c r="VFJ1" s="3"/>
      <c r="VFK1" s="3"/>
      <c r="VFL1" s="3"/>
      <c r="VFM1" s="3"/>
      <c r="VFN1" s="3"/>
      <c r="VFO1" s="3"/>
      <c r="VFP1" s="3"/>
      <c r="VFQ1" s="3"/>
      <c r="VFR1" s="3"/>
      <c r="VFS1" s="3"/>
      <c r="VFT1" s="3"/>
      <c r="VFU1" s="3"/>
      <c r="VFV1" s="3"/>
      <c r="VFW1" s="3"/>
      <c r="VFX1" s="3"/>
      <c r="VFY1" s="3"/>
      <c r="VFZ1" s="3"/>
      <c r="VGA1" s="3"/>
      <c r="VGB1" s="3"/>
      <c r="VGC1" s="3"/>
      <c r="VGD1" s="3"/>
      <c r="VGE1" s="3"/>
      <c r="VGF1" s="3"/>
      <c r="VGG1" s="3"/>
      <c r="VGH1" s="3"/>
      <c r="VGI1" s="3"/>
      <c r="VGJ1" s="3"/>
      <c r="VGK1" s="3"/>
      <c r="VGL1" s="3"/>
      <c r="VGM1" s="3"/>
      <c r="VGN1" s="3"/>
      <c r="VGO1" s="3"/>
      <c r="VGP1" s="3"/>
      <c r="VGQ1" s="3"/>
      <c r="VGR1" s="3"/>
      <c r="VGS1" s="3"/>
      <c r="VGT1" s="3"/>
      <c r="VGU1" s="3"/>
      <c r="VGV1" s="3"/>
      <c r="VGW1" s="3"/>
      <c r="VGX1" s="3"/>
      <c r="VGY1" s="3"/>
      <c r="VGZ1" s="3"/>
      <c r="VHA1" s="3"/>
      <c r="VHB1" s="3"/>
      <c r="VHC1" s="3"/>
      <c r="VHD1" s="3"/>
      <c r="VHE1" s="3"/>
      <c r="VHF1" s="3"/>
      <c r="VHG1" s="3"/>
      <c r="VHH1" s="3"/>
      <c r="VHI1" s="3"/>
      <c r="VHJ1" s="3"/>
      <c r="VHK1" s="3"/>
      <c r="VHL1" s="3"/>
      <c r="VHM1" s="3"/>
      <c r="VHN1" s="3"/>
      <c r="VHO1" s="3"/>
      <c r="VHP1" s="3"/>
      <c r="VHQ1" s="3"/>
      <c r="VHR1" s="3"/>
      <c r="VHS1" s="3"/>
      <c r="VHT1" s="3"/>
      <c r="VHU1" s="3"/>
      <c r="VHV1" s="3"/>
      <c r="VHW1" s="3"/>
      <c r="VHX1" s="3"/>
      <c r="VHY1" s="3"/>
      <c r="VHZ1" s="3"/>
      <c r="VIA1" s="3"/>
      <c r="VIB1" s="3"/>
      <c r="VIC1" s="3"/>
      <c r="VID1" s="3"/>
      <c r="VIE1" s="3"/>
      <c r="VIF1" s="3"/>
      <c r="VIG1" s="3"/>
      <c r="VIH1" s="3"/>
      <c r="VII1" s="3"/>
      <c r="VIJ1" s="3"/>
      <c r="VIK1" s="3"/>
      <c r="VIL1" s="3"/>
      <c r="VIM1" s="3"/>
      <c r="VIN1" s="3"/>
      <c r="VIO1" s="3"/>
      <c r="VIP1" s="3"/>
      <c r="VIQ1" s="3"/>
      <c r="VIR1" s="3"/>
      <c r="VIS1" s="3"/>
      <c r="VIT1" s="3"/>
      <c r="VIU1" s="3"/>
      <c r="VIV1" s="3"/>
      <c r="VIW1" s="3"/>
      <c r="VIX1" s="3"/>
      <c r="VIY1" s="3"/>
      <c r="VIZ1" s="3"/>
      <c r="VJA1" s="3"/>
      <c r="VJB1" s="3"/>
      <c r="VJC1" s="3"/>
      <c r="VJD1" s="3"/>
      <c r="VJE1" s="3"/>
      <c r="VJF1" s="3"/>
      <c r="VJG1" s="3"/>
      <c r="VJH1" s="3"/>
      <c r="VJI1" s="3"/>
      <c r="VJJ1" s="3"/>
      <c r="VJK1" s="3"/>
      <c r="VJL1" s="3"/>
      <c r="VJM1" s="3"/>
      <c r="VJN1" s="3"/>
      <c r="VJO1" s="3"/>
      <c r="VJP1" s="3"/>
      <c r="VJQ1" s="3"/>
      <c r="VJR1" s="3"/>
      <c r="VJS1" s="3"/>
      <c r="VJT1" s="3"/>
      <c r="VJU1" s="3"/>
      <c r="VJV1" s="3"/>
      <c r="VJW1" s="3"/>
      <c r="VJX1" s="3"/>
      <c r="VJY1" s="3"/>
      <c r="VJZ1" s="3"/>
      <c r="VKA1" s="3"/>
      <c r="VKB1" s="3"/>
      <c r="VKC1" s="3"/>
      <c r="VKD1" s="3"/>
      <c r="VKE1" s="3"/>
      <c r="VKF1" s="3"/>
      <c r="VKG1" s="3"/>
      <c r="VKH1" s="3"/>
      <c r="VKI1" s="3"/>
      <c r="VKJ1" s="3"/>
      <c r="VKK1" s="3"/>
      <c r="VKL1" s="3"/>
      <c r="VKM1" s="3"/>
      <c r="VKN1" s="3"/>
      <c r="VKO1" s="3"/>
      <c r="VKP1" s="3"/>
      <c r="VKQ1" s="3"/>
      <c r="VKR1" s="3"/>
      <c r="VKS1" s="3"/>
      <c r="VKT1" s="3"/>
      <c r="VKU1" s="3"/>
      <c r="VKV1" s="3"/>
      <c r="VKW1" s="3"/>
      <c r="VKX1" s="3"/>
      <c r="VKY1" s="3"/>
      <c r="VKZ1" s="3"/>
      <c r="VLA1" s="3"/>
      <c r="VLB1" s="3"/>
      <c r="VLC1" s="3"/>
      <c r="VLD1" s="3"/>
      <c r="VLE1" s="3"/>
      <c r="VLF1" s="3"/>
      <c r="VLG1" s="3"/>
      <c r="VLH1" s="3"/>
      <c r="VLI1" s="3"/>
      <c r="VLJ1" s="3"/>
      <c r="VLK1" s="3"/>
      <c r="VLL1" s="3"/>
      <c r="VLM1" s="3"/>
      <c r="VLN1" s="3"/>
      <c r="VLO1" s="3"/>
      <c r="VLP1" s="3"/>
      <c r="VLQ1" s="3"/>
      <c r="VLR1" s="3"/>
      <c r="VLS1" s="3"/>
      <c r="VLT1" s="3"/>
      <c r="VLU1" s="3"/>
      <c r="VLV1" s="3"/>
      <c r="VLW1" s="3"/>
      <c r="VLX1" s="3"/>
      <c r="VLY1" s="3"/>
      <c r="VLZ1" s="3"/>
      <c r="VMA1" s="3"/>
      <c r="VMB1" s="3"/>
      <c r="VMC1" s="3"/>
      <c r="VMD1" s="3"/>
      <c r="VME1" s="3"/>
      <c r="VMF1" s="3"/>
      <c r="VMG1" s="3"/>
      <c r="VMH1" s="3"/>
      <c r="VMI1" s="3"/>
      <c r="VMJ1" s="3"/>
      <c r="VMK1" s="3"/>
      <c r="VML1" s="3"/>
      <c r="VMM1" s="3"/>
      <c r="VMN1" s="3"/>
      <c r="VMO1" s="3"/>
      <c r="VMP1" s="3"/>
      <c r="VMQ1" s="3"/>
      <c r="VMR1" s="3"/>
      <c r="VMS1" s="3"/>
      <c r="VMT1" s="3"/>
      <c r="VMU1" s="3"/>
      <c r="VMV1" s="3"/>
      <c r="VMW1" s="3"/>
      <c r="VMX1" s="3"/>
      <c r="VMY1" s="3"/>
      <c r="VMZ1" s="3"/>
      <c r="VNA1" s="3"/>
      <c r="VNB1" s="3"/>
      <c r="VNC1" s="3"/>
      <c r="VND1" s="3"/>
      <c r="VNE1" s="3"/>
      <c r="VNF1" s="3"/>
      <c r="VNG1" s="3"/>
      <c r="VNH1" s="3"/>
      <c r="VNI1" s="3"/>
      <c r="VNJ1" s="3"/>
      <c r="VNK1" s="3"/>
      <c r="VNL1" s="3"/>
      <c r="VNM1" s="3"/>
      <c r="VNN1" s="3"/>
      <c r="VNO1" s="3"/>
      <c r="VNP1" s="3"/>
      <c r="VNQ1" s="3"/>
      <c r="VNR1" s="3"/>
      <c r="VNS1" s="3"/>
      <c r="VNT1" s="3"/>
      <c r="VNU1" s="3"/>
      <c r="VNV1" s="3"/>
      <c r="VNW1" s="3"/>
      <c r="VNX1" s="3"/>
      <c r="VNY1" s="3"/>
      <c r="VNZ1" s="3"/>
      <c r="VOA1" s="3"/>
      <c r="VOB1" s="3"/>
      <c r="VOC1" s="3"/>
      <c r="VOD1" s="3"/>
      <c r="VOE1" s="3"/>
      <c r="VOF1" s="3"/>
      <c r="VOG1" s="3"/>
      <c r="VOH1" s="3"/>
      <c r="VOI1" s="3"/>
      <c r="VOJ1" s="3"/>
      <c r="VOK1" s="3"/>
      <c r="VOL1" s="3"/>
      <c r="VOM1" s="3"/>
      <c r="VON1" s="3"/>
      <c r="VOO1" s="3"/>
      <c r="VOP1" s="3"/>
      <c r="VOQ1" s="3"/>
      <c r="VOR1" s="3"/>
      <c r="VOS1" s="3"/>
      <c r="VOT1" s="3"/>
      <c r="VOU1" s="3"/>
      <c r="VOV1" s="3"/>
      <c r="VOW1" s="3"/>
      <c r="VOX1" s="3"/>
      <c r="VOY1" s="3"/>
      <c r="VOZ1" s="3"/>
      <c r="VPA1" s="3"/>
      <c r="VPB1" s="3"/>
      <c r="VPC1" s="3"/>
      <c r="VPD1" s="3"/>
      <c r="VPE1" s="3"/>
      <c r="VPF1" s="3"/>
      <c r="VPG1" s="3"/>
      <c r="VPH1" s="3"/>
      <c r="VPI1" s="3"/>
      <c r="VPJ1" s="3"/>
      <c r="VPK1" s="3"/>
      <c r="VPL1" s="3"/>
      <c r="VPM1" s="3"/>
      <c r="VPN1" s="3"/>
      <c r="VPO1" s="3"/>
      <c r="VPP1" s="3"/>
      <c r="VPQ1" s="3"/>
      <c r="VPR1" s="3"/>
      <c r="VPS1" s="3"/>
      <c r="VPT1" s="3"/>
      <c r="VPU1" s="3"/>
      <c r="VPV1" s="3"/>
      <c r="VPW1" s="3"/>
      <c r="VPX1" s="3"/>
      <c r="VPY1" s="3"/>
      <c r="VPZ1" s="3"/>
      <c r="VQA1" s="3"/>
      <c r="VQB1" s="3"/>
      <c r="VQC1" s="3"/>
      <c r="VQD1" s="3"/>
      <c r="VQE1" s="3"/>
      <c r="VQF1" s="3"/>
      <c r="VQG1" s="3"/>
      <c r="VQH1" s="3"/>
      <c r="VQI1" s="3"/>
      <c r="VQJ1" s="3"/>
      <c r="VQK1" s="3"/>
      <c r="VQL1" s="3"/>
      <c r="VQM1" s="3"/>
      <c r="VQN1" s="3"/>
      <c r="VQO1" s="3"/>
      <c r="VQP1" s="3"/>
      <c r="VQQ1" s="3"/>
      <c r="VQR1" s="3"/>
      <c r="VQS1" s="3"/>
      <c r="VQT1" s="3"/>
      <c r="VQU1" s="3"/>
      <c r="VQV1" s="3"/>
      <c r="VQW1" s="3"/>
      <c r="VQX1" s="3"/>
      <c r="VQY1" s="3"/>
      <c r="VQZ1" s="3"/>
      <c r="VRA1" s="3"/>
      <c r="VRB1" s="3"/>
      <c r="VRC1" s="3"/>
      <c r="VRD1" s="3"/>
      <c r="VRE1" s="3"/>
      <c r="VRF1" s="3"/>
      <c r="VRG1" s="3"/>
      <c r="VRH1" s="3"/>
      <c r="VRI1" s="3"/>
      <c r="VRJ1" s="3"/>
      <c r="VRK1" s="3"/>
      <c r="VRL1" s="3"/>
      <c r="VRM1" s="3"/>
      <c r="VRN1" s="3"/>
      <c r="VRO1" s="3"/>
      <c r="VRP1" s="3"/>
      <c r="VRQ1" s="3"/>
      <c r="VRR1" s="3"/>
      <c r="VRS1" s="3"/>
      <c r="VRT1" s="3"/>
      <c r="VRU1" s="3"/>
      <c r="VRV1" s="3"/>
      <c r="VRW1" s="3"/>
      <c r="VRX1" s="3"/>
      <c r="VRY1" s="3"/>
      <c r="VRZ1" s="3"/>
      <c r="VSA1" s="3"/>
      <c r="VSB1" s="3"/>
      <c r="VSC1" s="3"/>
      <c r="VSD1" s="3"/>
      <c r="VSE1" s="3"/>
      <c r="VSF1" s="3"/>
      <c r="VSG1" s="3"/>
      <c r="VSH1" s="3"/>
      <c r="VSI1" s="3"/>
      <c r="VSJ1" s="3"/>
      <c r="VSK1" s="3"/>
      <c r="VSL1" s="3"/>
      <c r="VSM1" s="3"/>
      <c r="VSN1" s="3"/>
      <c r="VSO1" s="3"/>
      <c r="VSP1" s="3"/>
      <c r="VSQ1" s="3"/>
      <c r="VSR1" s="3"/>
      <c r="VSS1" s="3"/>
      <c r="VST1" s="3"/>
      <c r="VSU1" s="3"/>
      <c r="VSV1" s="3"/>
      <c r="VSW1" s="3"/>
      <c r="VSX1" s="3"/>
      <c r="VSY1" s="3"/>
      <c r="VSZ1" s="3"/>
      <c r="VTA1" s="3"/>
      <c r="VTB1" s="3"/>
      <c r="VTC1" s="3"/>
      <c r="VTD1" s="3"/>
      <c r="VTE1" s="3"/>
      <c r="VTF1" s="3"/>
      <c r="VTG1" s="3"/>
      <c r="VTH1" s="3"/>
      <c r="VTI1" s="3"/>
      <c r="VTJ1" s="3"/>
      <c r="VTK1" s="3"/>
      <c r="VTL1" s="3"/>
      <c r="VTM1" s="3"/>
      <c r="VTN1" s="3"/>
      <c r="VTO1" s="3"/>
      <c r="VTP1" s="3"/>
      <c r="VTQ1" s="3"/>
      <c r="VTR1" s="3"/>
      <c r="VTS1" s="3"/>
      <c r="VTT1" s="3"/>
      <c r="VTU1" s="3"/>
      <c r="VTV1" s="3"/>
      <c r="VTW1" s="3"/>
      <c r="VTX1" s="3"/>
      <c r="VTY1" s="3"/>
      <c r="VTZ1" s="3"/>
      <c r="VUA1" s="3"/>
      <c r="VUB1" s="3"/>
      <c r="VUC1" s="3"/>
      <c r="VUD1" s="3"/>
      <c r="VUE1" s="3"/>
      <c r="VUF1" s="3"/>
      <c r="VUG1" s="3"/>
      <c r="VUH1" s="3"/>
      <c r="VUI1" s="3"/>
      <c r="VUJ1" s="3"/>
      <c r="VUK1" s="3"/>
      <c r="VUL1" s="3"/>
      <c r="VUM1" s="3"/>
      <c r="VUN1" s="3"/>
      <c r="VUO1" s="3"/>
      <c r="VUP1" s="3"/>
      <c r="VUQ1" s="3"/>
      <c r="VUR1" s="3"/>
      <c r="VUS1" s="3"/>
      <c r="VUT1" s="3"/>
      <c r="VUU1" s="3"/>
      <c r="VUV1" s="3"/>
      <c r="VUW1" s="3"/>
      <c r="VUX1" s="3"/>
      <c r="VUY1" s="3"/>
      <c r="VUZ1" s="3"/>
      <c r="VVA1" s="3"/>
      <c r="VVB1" s="3"/>
      <c r="VVC1" s="3"/>
      <c r="VVD1" s="3"/>
      <c r="VVE1" s="3"/>
      <c r="VVF1" s="3"/>
      <c r="VVG1" s="3"/>
      <c r="VVH1" s="3"/>
      <c r="VVI1" s="3"/>
      <c r="VVJ1" s="3"/>
      <c r="VVK1" s="3"/>
      <c r="VVL1" s="3"/>
      <c r="VVM1" s="3"/>
      <c r="VVN1" s="3"/>
      <c r="VVO1" s="3"/>
      <c r="VVP1" s="3"/>
      <c r="VVQ1" s="3"/>
      <c r="VVR1" s="3"/>
      <c r="VVS1" s="3"/>
      <c r="VVT1" s="3"/>
      <c r="VVU1" s="3"/>
      <c r="VVV1" s="3"/>
      <c r="VVW1" s="3"/>
      <c r="VVX1" s="3"/>
      <c r="VVY1" s="3"/>
      <c r="VVZ1" s="3"/>
      <c r="VWA1" s="3"/>
      <c r="VWB1" s="3"/>
      <c r="VWC1" s="3"/>
      <c r="VWD1" s="3"/>
      <c r="VWE1" s="3"/>
      <c r="VWF1" s="3"/>
      <c r="VWG1" s="3"/>
      <c r="VWH1" s="3"/>
      <c r="VWI1" s="3"/>
      <c r="VWJ1" s="3"/>
      <c r="VWK1" s="3"/>
      <c r="VWL1" s="3"/>
      <c r="VWM1" s="3"/>
      <c r="VWN1" s="3"/>
      <c r="VWO1" s="3"/>
      <c r="VWP1" s="3"/>
      <c r="VWQ1" s="3"/>
      <c r="VWR1" s="3"/>
      <c r="VWS1" s="3"/>
      <c r="VWT1" s="3"/>
      <c r="VWU1" s="3"/>
      <c r="VWV1" s="3"/>
      <c r="VWW1" s="3"/>
      <c r="VWX1" s="3"/>
      <c r="VWY1" s="3"/>
      <c r="VWZ1" s="3"/>
      <c r="VXA1" s="3"/>
      <c r="VXB1" s="3"/>
      <c r="VXC1" s="3"/>
      <c r="VXD1" s="3"/>
      <c r="VXE1" s="3"/>
      <c r="VXF1" s="3"/>
      <c r="VXG1" s="3"/>
      <c r="VXH1" s="3"/>
      <c r="VXI1" s="3"/>
      <c r="VXJ1" s="3"/>
      <c r="VXK1" s="3"/>
      <c r="VXL1" s="3"/>
      <c r="VXM1" s="3"/>
      <c r="VXN1" s="3"/>
      <c r="VXO1" s="3"/>
      <c r="VXP1" s="3"/>
      <c r="VXQ1" s="3"/>
      <c r="VXR1" s="3"/>
      <c r="VXS1" s="3"/>
      <c r="VXT1" s="3"/>
      <c r="VXU1" s="3"/>
      <c r="VXV1" s="3"/>
      <c r="VXW1" s="3"/>
      <c r="VXX1" s="3"/>
      <c r="VXY1" s="3"/>
      <c r="VXZ1" s="3"/>
      <c r="VYA1" s="3"/>
      <c r="VYB1" s="3"/>
      <c r="VYC1" s="3"/>
      <c r="VYD1" s="3"/>
      <c r="VYE1" s="3"/>
      <c r="VYF1" s="3"/>
      <c r="VYG1" s="3"/>
      <c r="VYH1" s="3"/>
      <c r="VYI1" s="3"/>
      <c r="VYJ1" s="3"/>
      <c r="VYK1" s="3"/>
      <c r="VYL1" s="3"/>
      <c r="VYM1" s="3"/>
      <c r="VYN1" s="3"/>
      <c r="VYO1" s="3"/>
      <c r="VYP1" s="3"/>
      <c r="VYQ1" s="3"/>
      <c r="VYR1" s="3"/>
      <c r="VYS1" s="3"/>
      <c r="VYT1" s="3"/>
      <c r="VYU1" s="3"/>
      <c r="VYV1" s="3"/>
      <c r="VYW1" s="3"/>
      <c r="VYX1" s="3"/>
      <c r="VYY1" s="3"/>
      <c r="VYZ1" s="3"/>
      <c r="VZA1" s="3"/>
      <c r="VZB1" s="3"/>
      <c r="VZC1" s="3"/>
      <c r="VZD1" s="3"/>
      <c r="VZE1" s="3"/>
      <c r="VZF1" s="3"/>
      <c r="VZG1" s="3"/>
      <c r="VZH1" s="3"/>
      <c r="VZI1" s="3"/>
      <c r="VZJ1" s="3"/>
      <c r="VZK1" s="3"/>
      <c r="VZL1" s="3"/>
      <c r="VZM1" s="3"/>
      <c r="VZN1" s="3"/>
      <c r="VZO1" s="3"/>
      <c r="VZP1" s="3"/>
      <c r="VZQ1" s="3"/>
      <c r="VZR1" s="3"/>
      <c r="VZS1" s="3"/>
      <c r="VZT1" s="3"/>
      <c r="VZU1" s="3"/>
      <c r="VZV1" s="3"/>
      <c r="VZW1" s="3"/>
      <c r="VZX1" s="3"/>
      <c r="VZY1" s="3"/>
      <c r="VZZ1" s="3"/>
      <c r="WAA1" s="3"/>
      <c r="WAB1" s="3"/>
      <c r="WAC1" s="3"/>
      <c r="WAD1" s="3"/>
      <c r="WAE1" s="3"/>
      <c r="WAF1" s="3"/>
      <c r="WAG1" s="3"/>
      <c r="WAH1" s="3"/>
      <c r="WAI1" s="3"/>
      <c r="WAJ1" s="3"/>
      <c r="WAK1" s="3"/>
      <c r="WAL1" s="3"/>
      <c r="WAM1" s="3"/>
      <c r="WAN1" s="3"/>
      <c r="WAO1" s="3"/>
      <c r="WAP1" s="3"/>
      <c r="WAQ1" s="3"/>
      <c r="WAR1" s="3"/>
      <c r="WAS1" s="3"/>
      <c r="WAT1" s="3"/>
      <c r="WAU1" s="3"/>
      <c r="WAV1" s="3"/>
      <c r="WAW1" s="3"/>
      <c r="WAX1" s="3"/>
      <c r="WAY1" s="3"/>
      <c r="WAZ1" s="3"/>
      <c r="WBA1" s="3"/>
      <c r="WBB1" s="3"/>
      <c r="WBC1" s="3"/>
      <c r="WBD1" s="3"/>
      <c r="WBE1" s="3"/>
      <c r="WBF1" s="3"/>
      <c r="WBG1" s="3"/>
      <c r="WBH1" s="3"/>
      <c r="WBI1" s="3"/>
      <c r="WBJ1" s="3"/>
      <c r="WBK1" s="3"/>
      <c r="WBL1" s="3"/>
      <c r="WBM1" s="3"/>
      <c r="WBN1" s="3"/>
      <c r="WBO1" s="3"/>
      <c r="WBP1" s="3"/>
      <c r="WBQ1" s="3"/>
      <c r="WBR1" s="3"/>
      <c r="WBS1" s="3"/>
      <c r="WBT1" s="3"/>
      <c r="WBU1" s="3"/>
      <c r="WBV1" s="3"/>
      <c r="WBW1" s="3"/>
      <c r="WBX1" s="3"/>
      <c r="WBY1" s="3"/>
      <c r="WBZ1" s="3"/>
      <c r="WCA1" s="3"/>
      <c r="WCB1" s="3"/>
      <c r="WCC1" s="3"/>
      <c r="WCD1" s="3"/>
      <c r="WCE1" s="3"/>
      <c r="WCF1" s="3"/>
      <c r="WCG1" s="3"/>
      <c r="WCH1" s="3"/>
      <c r="WCI1" s="3"/>
      <c r="WCJ1" s="3"/>
      <c r="WCK1" s="3"/>
      <c r="WCL1" s="3"/>
      <c r="WCM1" s="3"/>
      <c r="WCN1" s="3"/>
      <c r="WCO1" s="3"/>
      <c r="WCP1" s="3"/>
      <c r="WCQ1" s="3"/>
      <c r="WCR1" s="3"/>
      <c r="WCS1" s="3"/>
      <c r="WCT1" s="3"/>
      <c r="WCU1" s="3"/>
      <c r="WCV1" s="3"/>
      <c r="WCW1" s="3"/>
      <c r="WCX1" s="3"/>
      <c r="WCY1" s="3"/>
      <c r="WCZ1" s="3"/>
      <c r="WDA1" s="3"/>
      <c r="WDB1" s="3"/>
      <c r="WDC1" s="3"/>
      <c r="WDD1" s="3"/>
      <c r="WDE1" s="3"/>
      <c r="WDF1" s="3"/>
      <c r="WDG1" s="3"/>
      <c r="WDH1" s="3"/>
      <c r="WDI1" s="3"/>
      <c r="WDJ1" s="3"/>
      <c r="WDK1" s="3"/>
      <c r="WDL1" s="3"/>
      <c r="WDM1" s="3"/>
      <c r="WDN1" s="3"/>
      <c r="WDO1" s="3"/>
      <c r="WDP1" s="3"/>
      <c r="WDQ1" s="3"/>
      <c r="WDR1" s="3"/>
      <c r="WDS1" s="3"/>
      <c r="WDT1" s="3"/>
      <c r="WDU1" s="3"/>
      <c r="WDV1" s="3"/>
      <c r="WDW1" s="3"/>
      <c r="WDX1" s="3"/>
      <c r="WDY1" s="3"/>
      <c r="WDZ1" s="3"/>
      <c r="WEA1" s="3"/>
      <c r="WEB1" s="3"/>
      <c r="WEC1" s="3"/>
      <c r="WED1" s="3"/>
      <c r="WEE1" s="3"/>
      <c r="WEF1" s="3"/>
      <c r="WEG1" s="3"/>
      <c r="WEH1" s="3"/>
      <c r="WEI1" s="3"/>
      <c r="WEJ1" s="3"/>
      <c r="WEK1" s="3"/>
      <c r="WEL1" s="3"/>
      <c r="WEM1" s="3"/>
      <c r="WEN1" s="3"/>
      <c r="WEO1" s="3"/>
      <c r="WEP1" s="3"/>
      <c r="WEQ1" s="3"/>
      <c r="WER1" s="3"/>
      <c r="WES1" s="3"/>
      <c r="WET1" s="3"/>
      <c r="WEU1" s="3"/>
      <c r="WEV1" s="3"/>
      <c r="WEW1" s="3"/>
      <c r="WEX1" s="3"/>
      <c r="WEY1" s="3"/>
      <c r="WEZ1" s="3"/>
      <c r="WFA1" s="3"/>
      <c r="WFB1" s="3"/>
      <c r="WFC1" s="3"/>
      <c r="WFD1" s="3"/>
      <c r="WFE1" s="3"/>
      <c r="WFF1" s="3"/>
      <c r="WFG1" s="3"/>
      <c r="WFH1" s="3"/>
      <c r="WFI1" s="3"/>
      <c r="WFJ1" s="3"/>
      <c r="WFK1" s="3"/>
      <c r="WFL1" s="3"/>
      <c r="WFM1" s="3"/>
      <c r="WFN1" s="3"/>
      <c r="WFO1" s="3"/>
      <c r="WFP1" s="3"/>
      <c r="WFQ1" s="3"/>
      <c r="WFR1" s="3"/>
      <c r="WFS1" s="3"/>
      <c r="WFT1" s="3"/>
      <c r="WFU1" s="3"/>
      <c r="WFV1" s="3"/>
      <c r="WFW1" s="3"/>
      <c r="WFX1" s="3"/>
      <c r="WFY1" s="3"/>
      <c r="WFZ1" s="3"/>
      <c r="WGA1" s="3"/>
      <c r="WGB1" s="3"/>
      <c r="WGC1" s="3"/>
      <c r="WGD1" s="3"/>
      <c r="WGE1" s="3"/>
      <c r="WGF1" s="3"/>
      <c r="WGG1" s="3"/>
      <c r="WGH1" s="3"/>
      <c r="WGI1" s="3"/>
      <c r="WGJ1" s="3"/>
      <c r="WGK1" s="3"/>
      <c r="WGL1" s="3"/>
      <c r="WGM1" s="3"/>
      <c r="WGN1" s="3"/>
      <c r="WGO1" s="3"/>
      <c r="WGP1" s="3"/>
      <c r="WGQ1" s="3"/>
      <c r="WGR1" s="3"/>
      <c r="WGS1" s="3"/>
      <c r="WGT1" s="3"/>
      <c r="WGU1" s="3"/>
      <c r="WGV1" s="3"/>
      <c r="WGW1" s="3"/>
      <c r="WGX1" s="3"/>
      <c r="WGY1" s="3"/>
      <c r="WGZ1" s="3"/>
      <c r="WHA1" s="3"/>
      <c r="WHB1" s="3"/>
      <c r="WHC1" s="3"/>
      <c r="WHD1" s="3"/>
      <c r="WHE1" s="3"/>
      <c r="WHF1" s="3"/>
      <c r="WHG1" s="3"/>
      <c r="WHH1" s="3"/>
      <c r="WHI1" s="3"/>
      <c r="WHJ1" s="3"/>
      <c r="WHK1" s="3"/>
      <c r="WHL1" s="3"/>
      <c r="WHM1" s="3"/>
      <c r="WHN1" s="3"/>
      <c r="WHO1" s="3"/>
      <c r="WHP1" s="3"/>
      <c r="WHQ1" s="3"/>
      <c r="WHR1" s="3"/>
      <c r="WHS1" s="3"/>
      <c r="WHT1" s="3"/>
      <c r="WHU1" s="3"/>
      <c r="WHV1" s="3"/>
      <c r="WHW1" s="3"/>
      <c r="WHX1" s="3"/>
      <c r="WHY1" s="3"/>
      <c r="WHZ1" s="3"/>
      <c r="WIA1" s="3"/>
      <c r="WIB1" s="3"/>
      <c r="WIC1" s="3"/>
      <c r="WID1" s="3"/>
      <c r="WIE1" s="3"/>
      <c r="WIF1" s="3"/>
      <c r="WIG1" s="3"/>
      <c r="WIH1" s="3"/>
      <c r="WII1" s="3"/>
      <c r="WIJ1" s="3"/>
      <c r="WIK1" s="3"/>
      <c r="WIL1" s="3"/>
      <c r="WIM1" s="3"/>
      <c r="WIN1" s="3"/>
      <c r="WIO1" s="3"/>
      <c r="WIP1" s="3"/>
      <c r="WIQ1" s="3"/>
      <c r="WIR1" s="3"/>
      <c r="WIS1" s="3"/>
      <c r="WIT1" s="3"/>
      <c r="WIU1" s="3"/>
      <c r="WIV1" s="3"/>
      <c r="WIW1" s="3"/>
      <c r="WIX1" s="3"/>
      <c r="WIY1" s="3"/>
      <c r="WIZ1" s="3"/>
      <c r="WJA1" s="3"/>
      <c r="WJB1" s="3"/>
      <c r="WJC1" s="3"/>
      <c r="WJD1" s="3"/>
      <c r="WJE1" s="3"/>
      <c r="WJF1" s="3"/>
      <c r="WJG1" s="3"/>
      <c r="WJH1" s="3"/>
      <c r="WJI1" s="3"/>
      <c r="WJJ1" s="3"/>
      <c r="WJK1" s="3"/>
      <c r="WJL1" s="3"/>
      <c r="WJM1" s="3"/>
      <c r="WJN1" s="3"/>
      <c r="WJO1" s="3"/>
      <c r="WJP1" s="3"/>
      <c r="WJQ1" s="3"/>
      <c r="WJR1" s="3"/>
      <c r="WJS1" s="3"/>
      <c r="WJT1" s="3"/>
      <c r="WJU1" s="3"/>
      <c r="WJV1" s="3"/>
      <c r="WJW1" s="3"/>
      <c r="WJX1" s="3"/>
      <c r="WJY1" s="3"/>
      <c r="WJZ1" s="3"/>
      <c r="WKA1" s="3"/>
      <c r="WKB1" s="3"/>
      <c r="WKC1" s="3"/>
      <c r="WKD1" s="3"/>
      <c r="WKE1" s="3"/>
      <c r="WKF1" s="3"/>
      <c r="WKG1" s="3"/>
      <c r="WKH1" s="3"/>
      <c r="WKI1" s="3"/>
      <c r="WKJ1" s="3"/>
      <c r="WKK1" s="3"/>
      <c r="WKL1" s="3"/>
      <c r="WKM1" s="3"/>
      <c r="WKN1" s="3"/>
      <c r="WKO1" s="3"/>
      <c r="WKP1" s="3"/>
      <c r="WKQ1" s="3"/>
      <c r="WKR1" s="3"/>
      <c r="WKS1" s="3"/>
      <c r="WKT1" s="3"/>
      <c r="WKU1" s="3"/>
      <c r="WKV1" s="3"/>
      <c r="WKW1" s="3"/>
      <c r="WKX1" s="3"/>
      <c r="WKY1" s="3"/>
      <c r="WKZ1" s="3"/>
      <c r="WLA1" s="3"/>
      <c r="WLB1" s="3"/>
      <c r="WLC1" s="3"/>
      <c r="WLD1" s="3"/>
      <c r="WLE1" s="3"/>
      <c r="WLF1" s="3"/>
      <c r="WLG1" s="3"/>
      <c r="WLH1" s="3"/>
      <c r="WLI1" s="3"/>
      <c r="WLJ1" s="3"/>
      <c r="WLK1" s="3"/>
      <c r="WLL1" s="3"/>
      <c r="WLM1" s="3"/>
      <c r="WLN1" s="3"/>
      <c r="WLO1" s="3"/>
      <c r="WLP1" s="3"/>
      <c r="WLQ1" s="3"/>
      <c r="WLR1" s="3"/>
      <c r="WLS1" s="3"/>
      <c r="WLT1" s="3"/>
      <c r="WLU1" s="3"/>
      <c r="WLV1" s="3"/>
      <c r="WLW1" s="3"/>
      <c r="WLX1" s="3"/>
      <c r="WLY1" s="3"/>
      <c r="WLZ1" s="3"/>
      <c r="WMA1" s="3"/>
      <c r="WMB1" s="3"/>
      <c r="WMC1" s="3"/>
      <c r="WMD1" s="3"/>
      <c r="WME1" s="3"/>
      <c r="WMF1" s="3"/>
      <c r="WMG1" s="3"/>
      <c r="WMH1" s="3"/>
      <c r="WMI1" s="3"/>
      <c r="WMJ1" s="3"/>
      <c r="WMK1" s="3"/>
      <c r="WML1" s="3"/>
      <c r="WMM1" s="3"/>
      <c r="WMN1" s="3"/>
      <c r="WMO1" s="3"/>
      <c r="WMP1" s="3"/>
      <c r="WMQ1" s="3"/>
      <c r="WMR1" s="3"/>
      <c r="WMS1" s="3"/>
      <c r="WMT1" s="3"/>
      <c r="WMU1" s="3"/>
      <c r="WMV1" s="3"/>
      <c r="WMW1" s="3"/>
      <c r="WMX1" s="3"/>
      <c r="WMY1" s="3"/>
      <c r="WMZ1" s="3"/>
      <c r="WNA1" s="3"/>
      <c r="WNB1" s="3"/>
      <c r="WNC1" s="3"/>
      <c r="WND1" s="3"/>
      <c r="WNE1" s="3"/>
      <c r="WNF1" s="3"/>
      <c r="WNG1" s="3"/>
      <c r="WNH1" s="3"/>
      <c r="WNI1" s="3"/>
      <c r="WNJ1" s="3"/>
      <c r="WNK1" s="3"/>
      <c r="WNL1" s="3"/>
      <c r="WNM1" s="3"/>
      <c r="WNN1" s="3"/>
      <c r="WNO1" s="3"/>
      <c r="WNP1" s="3"/>
      <c r="WNQ1" s="3"/>
      <c r="WNR1" s="3"/>
      <c r="WNS1" s="3"/>
      <c r="WNT1" s="3"/>
      <c r="WNU1" s="3"/>
      <c r="WNV1" s="3"/>
      <c r="WNW1" s="3"/>
      <c r="WNX1" s="3"/>
      <c r="WNY1" s="3"/>
      <c r="WNZ1" s="3"/>
      <c r="WOA1" s="3"/>
      <c r="WOB1" s="3"/>
      <c r="WOC1" s="3"/>
      <c r="WOD1" s="3"/>
      <c r="WOE1" s="3"/>
      <c r="WOF1" s="3"/>
      <c r="WOG1" s="3"/>
      <c r="WOH1" s="3"/>
      <c r="WOI1" s="3"/>
      <c r="WOJ1" s="3"/>
      <c r="WOK1" s="3"/>
      <c r="WOL1" s="3"/>
      <c r="WOM1" s="3"/>
      <c r="WON1" s="3"/>
      <c r="WOO1" s="3"/>
      <c r="WOP1" s="3"/>
      <c r="WOQ1" s="3"/>
      <c r="WOR1" s="3"/>
      <c r="WOS1" s="3"/>
      <c r="WOT1" s="3"/>
      <c r="WOU1" s="3"/>
      <c r="WOV1" s="3"/>
      <c r="WOW1" s="3"/>
      <c r="WOX1" s="3"/>
      <c r="WOY1" s="3"/>
      <c r="WOZ1" s="3"/>
      <c r="WPA1" s="3"/>
      <c r="WPB1" s="3"/>
      <c r="WPC1" s="3"/>
      <c r="WPD1" s="3"/>
      <c r="WPE1" s="3"/>
      <c r="WPF1" s="3"/>
      <c r="WPG1" s="3"/>
      <c r="WPH1" s="3"/>
      <c r="WPI1" s="3"/>
      <c r="WPJ1" s="3"/>
      <c r="WPK1" s="3"/>
      <c r="WPL1" s="3"/>
      <c r="WPM1" s="3"/>
      <c r="WPN1" s="3"/>
      <c r="WPO1" s="3"/>
      <c r="WPP1" s="3"/>
      <c r="WPQ1" s="3"/>
      <c r="WPR1" s="3"/>
      <c r="WPS1" s="3"/>
      <c r="WPT1" s="3"/>
      <c r="WPU1" s="3"/>
      <c r="WPV1" s="3"/>
      <c r="WPW1" s="3"/>
      <c r="WPX1" s="3"/>
      <c r="WPY1" s="3"/>
      <c r="WPZ1" s="3"/>
      <c r="WQA1" s="3"/>
      <c r="WQB1" s="3"/>
      <c r="WQC1" s="3"/>
      <c r="WQD1" s="3"/>
      <c r="WQE1" s="3"/>
      <c r="WQF1" s="3"/>
      <c r="WQG1" s="3"/>
      <c r="WQH1" s="3"/>
      <c r="WQI1" s="3"/>
      <c r="WQJ1" s="3"/>
      <c r="WQK1" s="3"/>
      <c r="WQL1" s="3"/>
      <c r="WQM1" s="3"/>
      <c r="WQN1" s="3"/>
      <c r="WQO1" s="3"/>
      <c r="WQP1" s="3"/>
      <c r="WQQ1" s="3"/>
      <c r="WQR1" s="3"/>
      <c r="WQS1" s="3"/>
      <c r="WQT1" s="3"/>
      <c r="WQU1" s="3"/>
      <c r="WQV1" s="3"/>
      <c r="WQW1" s="3"/>
      <c r="WQX1" s="3"/>
      <c r="WQY1" s="3"/>
      <c r="WQZ1" s="3"/>
      <c r="WRA1" s="3"/>
      <c r="WRB1" s="3"/>
      <c r="WRC1" s="3"/>
      <c r="WRD1" s="3"/>
      <c r="WRE1" s="3"/>
      <c r="WRF1" s="3"/>
      <c r="WRG1" s="3"/>
      <c r="WRH1" s="3"/>
      <c r="WRI1" s="3"/>
      <c r="WRJ1" s="3"/>
      <c r="WRK1" s="3"/>
      <c r="WRL1" s="3"/>
      <c r="WRM1" s="3"/>
      <c r="WRN1" s="3"/>
      <c r="WRO1" s="3"/>
      <c r="WRP1" s="3"/>
      <c r="WRQ1" s="3"/>
      <c r="WRR1" s="3"/>
      <c r="WRS1" s="3"/>
      <c r="WRT1" s="3"/>
      <c r="WRU1" s="3"/>
      <c r="WRV1" s="3"/>
      <c r="WRW1" s="3"/>
      <c r="WRX1" s="3"/>
      <c r="WRY1" s="3"/>
      <c r="WRZ1" s="3"/>
      <c r="WSA1" s="3"/>
      <c r="WSB1" s="3"/>
      <c r="WSC1" s="3"/>
      <c r="WSD1" s="3"/>
      <c r="WSE1" s="3"/>
      <c r="WSF1" s="3"/>
      <c r="WSG1" s="3"/>
      <c r="WSH1" s="3"/>
      <c r="WSI1" s="3"/>
      <c r="WSJ1" s="3"/>
      <c r="WSK1" s="3"/>
      <c r="WSL1" s="3"/>
      <c r="WSM1" s="3"/>
      <c r="WSN1" s="3"/>
      <c r="WSO1" s="3"/>
      <c r="WSP1" s="3"/>
      <c r="WSQ1" s="3"/>
      <c r="WSR1" s="3"/>
      <c r="WSS1" s="3"/>
      <c r="WST1" s="3"/>
      <c r="WSU1" s="3"/>
      <c r="WSV1" s="3"/>
      <c r="WSW1" s="3"/>
      <c r="WSX1" s="3"/>
      <c r="WSY1" s="3"/>
      <c r="WSZ1" s="3"/>
      <c r="WTA1" s="3"/>
      <c r="WTB1" s="3"/>
      <c r="WTC1" s="3"/>
      <c r="WTD1" s="3"/>
      <c r="WTE1" s="3"/>
      <c r="WTF1" s="3"/>
      <c r="WTG1" s="3"/>
      <c r="WTH1" s="3"/>
      <c r="WTI1" s="3"/>
      <c r="WTJ1" s="3"/>
      <c r="WTK1" s="3"/>
      <c r="WTL1" s="3"/>
      <c r="WTM1" s="3"/>
      <c r="WTN1" s="3"/>
      <c r="WTO1" s="3"/>
      <c r="WTP1" s="3"/>
      <c r="WTQ1" s="3"/>
      <c r="WTR1" s="3"/>
      <c r="WTS1" s="3"/>
      <c r="WTT1" s="3"/>
      <c r="WTU1" s="3"/>
      <c r="WTV1" s="3"/>
      <c r="WTW1" s="3"/>
      <c r="WTX1" s="3"/>
      <c r="WTY1" s="3"/>
      <c r="WTZ1" s="3"/>
      <c r="WUA1" s="3"/>
      <c r="WUB1" s="3"/>
      <c r="WUC1" s="3"/>
      <c r="WUD1" s="3"/>
      <c r="WUE1" s="3"/>
      <c r="WUF1" s="3"/>
      <c r="WUG1" s="3"/>
      <c r="WUH1" s="3"/>
      <c r="WUI1" s="3"/>
      <c r="WUJ1" s="3"/>
      <c r="WUK1" s="3"/>
      <c r="WUL1" s="3"/>
      <c r="WUM1" s="3"/>
      <c r="WUN1" s="3"/>
      <c r="WUO1" s="3"/>
      <c r="WUP1" s="3"/>
      <c r="WUQ1" s="3"/>
      <c r="WUR1" s="3"/>
      <c r="WUS1" s="3"/>
      <c r="WUT1" s="3"/>
      <c r="WUU1" s="3"/>
      <c r="WUV1" s="3"/>
      <c r="WUW1" s="3"/>
      <c r="WUX1" s="3"/>
      <c r="WUY1" s="3"/>
      <c r="WUZ1" s="3"/>
      <c r="WVA1" s="3"/>
      <c r="WVB1" s="3"/>
      <c r="WVC1" s="3"/>
      <c r="WVD1" s="3"/>
      <c r="WVE1" s="3"/>
      <c r="WVF1" s="3"/>
      <c r="WVG1" s="3"/>
      <c r="WVH1" s="3"/>
      <c r="WVI1" s="3"/>
      <c r="WVJ1" s="3"/>
      <c r="WVK1" s="3"/>
      <c r="WVL1" s="3"/>
      <c r="WVM1" s="3"/>
      <c r="WVN1" s="3"/>
      <c r="WVO1" s="3"/>
      <c r="WVP1" s="3"/>
      <c r="WVQ1" s="3"/>
      <c r="WVR1" s="3"/>
      <c r="WVS1" s="3"/>
      <c r="WVT1" s="3"/>
      <c r="WVU1" s="3"/>
      <c r="WVV1" s="3"/>
      <c r="WVW1" s="3"/>
      <c r="WVX1" s="3"/>
      <c r="WVY1" s="3"/>
      <c r="WVZ1" s="3"/>
      <c r="WWA1" s="3"/>
      <c r="WWB1" s="3"/>
      <c r="WWC1" s="3"/>
      <c r="WWD1" s="3"/>
      <c r="WWE1" s="3"/>
      <c r="WWF1" s="3"/>
      <c r="WWG1" s="3"/>
      <c r="WWH1" s="3"/>
      <c r="WWI1" s="3"/>
      <c r="WWJ1" s="3"/>
      <c r="WWK1" s="3"/>
      <c r="WWL1" s="3"/>
      <c r="WWM1" s="3"/>
      <c r="WWN1" s="3"/>
      <c r="WWO1" s="3"/>
      <c r="WWP1" s="3"/>
      <c r="WWQ1" s="3"/>
      <c r="WWR1" s="3"/>
      <c r="WWS1" s="3"/>
      <c r="WWT1" s="3"/>
      <c r="WWU1" s="3"/>
      <c r="WWV1" s="3"/>
      <c r="WWW1" s="3"/>
      <c r="WWX1" s="3"/>
      <c r="WWY1" s="3"/>
      <c r="WWZ1" s="3"/>
      <c r="WXA1" s="3"/>
      <c r="WXB1" s="3"/>
      <c r="WXC1" s="3"/>
      <c r="WXD1" s="3"/>
      <c r="WXE1" s="3"/>
      <c r="WXF1" s="3"/>
      <c r="WXG1" s="3"/>
      <c r="WXH1" s="3"/>
      <c r="WXI1" s="3"/>
      <c r="WXJ1" s="3"/>
      <c r="WXK1" s="3"/>
      <c r="WXL1" s="3"/>
      <c r="WXM1" s="3"/>
      <c r="WXN1" s="3"/>
      <c r="WXO1" s="3"/>
      <c r="WXP1" s="3"/>
      <c r="WXQ1" s="3"/>
      <c r="WXR1" s="3"/>
      <c r="WXS1" s="3"/>
      <c r="WXT1" s="3"/>
      <c r="WXU1" s="3"/>
      <c r="WXV1" s="3"/>
      <c r="WXW1" s="3"/>
      <c r="WXX1" s="3"/>
      <c r="WXY1" s="3"/>
      <c r="WXZ1" s="3"/>
      <c r="WYA1" s="3"/>
      <c r="WYB1" s="3"/>
      <c r="WYC1" s="3"/>
      <c r="WYD1" s="3"/>
      <c r="WYE1" s="3"/>
      <c r="WYF1" s="3"/>
      <c r="WYG1" s="3"/>
      <c r="WYH1" s="3"/>
      <c r="WYI1" s="3"/>
      <c r="WYJ1" s="3"/>
      <c r="WYK1" s="3"/>
      <c r="WYL1" s="3"/>
      <c r="WYM1" s="3"/>
      <c r="WYN1" s="3"/>
      <c r="WYO1" s="3"/>
      <c r="WYP1" s="3"/>
      <c r="WYQ1" s="3"/>
      <c r="WYR1" s="3"/>
      <c r="WYS1" s="3"/>
      <c r="WYT1" s="3"/>
      <c r="WYU1" s="3"/>
      <c r="WYV1" s="3"/>
      <c r="WYW1" s="3"/>
      <c r="WYX1" s="3"/>
      <c r="WYY1" s="3"/>
      <c r="WYZ1" s="3"/>
      <c r="WZA1" s="3"/>
      <c r="WZB1" s="3"/>
      <c r="WZC1" s="3"/>
      <c r="WZD1" s="3"/>
      <c r="WZE1" s="3"/>
      <c r="WZF1" s="3"/>
      <c r="WZG1" s="3"/>
      <c r="WZH1" s="3"/>
      <c r="WZI1" s="3"/>
      <c r="WZJ1" s="3"/>
      <c r="WZK1" s="3"/>
      <c r="WZL1" s="3"/>
      <c r="WZM1" s="3"/>
      <c r="WZN1" s="3"/>
      <c r="WZO1" s="3"/>
      <c r="WZP1" s="3"/>
      <c r="WZQ1" s="3"/>
      <c r="WZR1" s="3"/>
      <c r="WZS1" s="3"/>
      <c r="WZT1" s="3"/>
      <c r="WZU1" s="3"/>
      <c r="WZV1" s="3"/>
      <c r="WZW1" s="3"/>
      <c r="WZX1" s="3"/>
      <c r="WZY1" s="3"/>
      <c r="WZZ1" s="3"/>
      <c r="XAA1" s="3"/>
      <c r="XAB1" s="3"/>
      <c r="XAC1" s="3"/>
      <c r="XAD1" s="3"/>
      <c r="XAE1" s="3"/>
      <c r="XAF1" s="3"/>
      <c r="XAG1" s="3"/>
      <c r="XAH1" s="3"/>
      <c r="XAI1" s="3"/>
      <c r="XAJ1" s="3"/>
      <c r="XAK1" s="3"/>
      <c r="XAL1" s="3"/>
      <c r="XAM1" s="3"/>
      <c r="XAN1" s="3"/>
      <c r="XAO1" s="3"/>
      <c r="XAP1" s="3"/>
      <c r="XAQ1" s="3"/>
      <c r="XAR1" s="3"/>
      <c r="XAS1" s="3"/>
      <c r="XAT1" s="3"/>
      <c r="XAU1" s="3"/>
      <c r="XAV1" s="3"/>
      <c r="XAW1" s="3"/>
      <c r="XAX1" s="3"/>
      <c r="XAY1" s="3"/>
      <c r="XAZ1" s="3"/>
      <c r="XBA1" s="3"/>
      <c r="XBB1" s="3"/>
      <c r="XBC1" s="3"/>
      <c r="XBD1" s="3"/>
      <c r="XBE1" s="3"/>
      <c r="XBF1" s="3"/>
      <c r="XBG1" s="3"/>
      <c r="XBH1" s="3"/>
      <c r="XBI1" s="3"/>
      <c r="XBJ1" s="3"/>
      <c r="XBK1" s="3"/>
      <c r="XBL1" s="3"/>
      <c r="XBM1" s="3"/>
      <c r="XBN1" s="3"/>
      <c r="XBO1" s="3"/>
      <c r="XBP1" s="3"/>
      <c r="XBQ1" s="3"/>
      <c r="XBR1" s="3"/>
      <c r="XBS1" s="3"/>
      <c r="XBT1" s="3"/>
      <c r="XBU1" s="3"/>
      <c r="XBV1" s="3"/>
      <c r="XBW1" s="3"/>
      <c r="XBX1" s="3"/>
      <c r="XBY1" s="3"/>
      <c r="XBZ1" s="3"/>
      <c r="XCA1" s="3"/>
      <c r="XCB1" s="3"/>
      <c r="XCC1" s="3"/>
      <c r="XCD1" s="3"/>
      <c r="XCE1" s="3"/>
      <c r="XCF1" s="3"/>
      <c r="XCG1" s="3"/>
      <c r="XCH1" s="3"/>
      <c r="XCI1" s="3"/>
      <c r="XCJ1" s="3"/>
      <c r="XCK1" s="3"/>
      <c r="XCL1" s="3"/>
      <c r="XCM1" s="3"/>
      <c r="XCN1" s="3"/>
      <c r="XCO1" s="3"/>
      <c r="XCP1" s="3"/>
      <c r="XCQ1" s="3"/>
      <c r="XCR1" s="3"/>
      <c r="XCS1" s="3"/>
      <c r="XCT1" s="3"/>
      <c r="XCU1" s="3"/>
      <c r="XCV1" s="3"/>
      <c r="XCW1" s="3"/>
      <c r="XCX1" s="3"/>
      <c r="XCY1" s="3"/>
      <c r="XCZ1" s="3"/>
      <c r="XDA1" s="3"/>
      <c r="XDB1" s="3"/>
      <c r="XDC1" s="3"/>
      <c r="XDD1" s="3"/>
      <c r="XDE1" s="3"/>
      <c r="XDF1" s="3"/>
      <c r="XDG1" s="3"/>
      <c r="XDH1" s="3"/>
      <c r="XDI1" s="3"/>
      <c r="XDJ1" s="3"/>
      <c r="XDK1" s="3"/>
      <c r="XDL1" s="3"/>
      <c r="XDM1" s="3"/>
      <c r="XDN1" s="3"/>
      <c r="XDO1" s="3"/>
      <c r="XDP1" s="3"/>
      <c r="XDQ1" s="3"/>
      <c r="XDR1" s="3"/>
      <c r="XDS1" s="3"/>
      <c r="XDT1" s="3"/>
      <c r="XDU1" s="3"/>
      <c r="XDV1" s="3"/>
      <c r="XDW1" s="3"/>
      <c r="XDX1" s="3"/>
    </row>
    <row r="2" spans="1:16352" ht="21" customHeight="1" x14ac:dyDescent="0.3">
      <c r="A2" s="151" t="s">
        <v>825</v>
      </c>
      <c r="B2" s="151"/>
      <c r="C2" s="151"/>
      <c r="D2" s="151"/>
      <c r="E2" s="151"/>
      <c r="F2" s="151"/>
      <c r="G2" s="90"/>
      <c r="H2" s="90"/>
      <c r="I2" s="90"/>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row>
    <row r="3" spans="1:16352" ht="15.6" customHeight="1" x14ac:dyDescent="0.3">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row>
    <row r="4" spans="1:16352" ht="15.6" customHeight="1" x14ac:dyDescent="0.3">
      <c r="A4" s="3"/>
      <c r="B4" s="3"/>
      <c r="C4" s="3"/>
      <c r="D4" s="3"/>
      <c r="E4" s="3"/>
      <c r="F4" s="3"/>
      <c r="G4" s="3"/>
      <c r="H4" s="3"/>
      <c r="I4" s="3"/>
      <c r="J4" s="3"/>
      <c r="K4" s="100"/>
      <c r="L4" s="3"/>
      <c r="M4" s="3"/>
      <c r="N4" s="3"/>
      <c r="O4" s="3"/>
      <c r="P4" s="3"/>
      <c r="Q4" s="3"/>
      <c r="R4" s="3"/>
      <c r="S4" s="3"/>
      <c r="T4" s="3"/>
      <c r="U4" s="107"/>
      <c r="V4" s="3"/>
      <c r="W4" s="131"/>
      <c r="X4" s="131"/>
      <c r="Y4" s="131"/>
      <c r="Z4" s="131"/>
      <c r="AA4" s="131"/>
      <c r="AB4" s="131"/>
      <c r="AC4" s="131"/>
      <c r="AD4" s="131"/>
      <c r="AE4" s="131"/>
      <c r="AF4" s="131"/>
      <c r="AG4" s="131"/>
      <c r="AH4" s="131"/>
      <c r="AI4" s="131"/>
      <c r="AJ4" s="131"/>
      <c r="AK4" s="107"/>
      <c r="AL4" s="3"/>
      <c r="AM4" s="235" t="s">
        <v>806</v>
      </c>
      <c r="AN4" s="235"/>
      <c r="AO4" s="235"/>
      <c r="AP4" s="235"/>
      <c r="AQ4" s="235"/>
      <c r="AR4" s="235"/>
      <c r="AS4" s="235"/>
      <c r="AT4" s="3"/>
    </row>
    <row r="5" spans="1:16352" ht="15.6" customHeight="1" x14ac:dyDescent="0.3">
      <c r="A5" s="3"/>
      <c r="B5" s="3"/>
      <c r="C5" s="3"/>
      <c r="D5" s="3"/>
      <c r="E5" s="3"/>
      <c r="F5" s="3"/>
      <c r="G5" s="3"/>
      <c r="H5" s="3"/>
      <c r="I5" s="3"/>
      <c r="J5" s="3"/>
      <c r="K5" s="100"/>
      <c r="L5" s="234" t="s">
        <v>772</v>
      </c>
      <c r="M5" s="234"/>
      <c r="N5" s="3"/>
      <c r="O5" s="236"/>
      <c r="P5" s="236"/>
      <c r="Q5" s="236"/>
      <c r="R5" s="119"/>
      <c r="S5" s="119"/>
      <c r="T5" s="119"/>
      <c r="U5" s="107"/>
      <c r="V5" s="3"/>
      <c r="W5" s="3"/>
      <c r="X5" s="3"/>
      <c r="Y5" s="3"/>
      <c r="Z5" s="3"/>
      <c r="AA5" s="3"/>
      <c r="AB5" s="3"/>
      <c r="AC5" s="3"/>
      <c r="AD5" s="3"/>
      <c r="AE5" s="3"/>
      <c r="AF5" s="3"/>
      <c r="AG5" s="3"/>
      <c r="AH5" s="3"/>
      <c r="AI5" s="3"/>
      <c r="AJ5" s="3"/>
      <c r="AK5" s="107"/>
      <c r="AL5" s="3"/>
      <c r="AM5" s="3"/>
      <c r="AN5" s="3"/>
      <c r="AO5" s="3"/>
      <c r="AP5" s="3"/>
      <c r="AQ5" s="3"/>
      <c r="AR5" s="3"/>
      <c r="AS5" s="3"/>
      <c r="AT5" s="3"/>
    </row>
    <row r="6" spans="1:16352" ht="15.6" customHeight="1" x14ac:dyDescent="0.3">
      <c r="A6" s="3"/>
      <c r="B6" s="3"/>
      <c r="C6" s="3"/>
      <c r="D6" s="3"/>
      <c r="E6" s="3"/>
      <c r="F6" s="3"/>
      <c r="G6" s="3"/>
      <c r="H6" s="3"/>
      <c r="I6" s="3"/>
      <c r="J6" s="3"/>
      <c r="K6" s="100"/>
      <c r="L6" s="3"/>
      <c r="M6" s="3"/>
      <c r="N6" s="3"/>
      <c r="O6" s="3"/>
      <c r="P6" s="3"/>
      <c r="Q6" s="3"/>
      <c r="R6" s="3"/>
      <c r="S6" s="3"/>
      <c r="T6" s="3"/>
      <c r="U6" s="107"/>
      <c r="V6" s="3"/>
      <c r="W6" s="3"/>
      <c r="X6" s="3"/>
      <c r="Y6" s="3"/>
      <c r="Z6" s="3"/>
      <c r="AA6" s="3"/>
      <c r="AB6" s="3"/>
      <c r="AC6" s="3"/>
      <c r="AD6" s="3"/>
      <c r="AE6" s="3"/>
      <c r="AF6" s="3"/>
      <c r="AG6" s="3"/>
      <c r="AH6" s="3"/>
      <c r="AI6" s="3"/>
      <c r="AJ6" s="3"/>
      <c r="AK6" s="107"/>
      <c r="AL6" s="3"/>
      <c r="AM6" s="118" t="s">
        <v>771</v>
      </c>
      <c r="AN6" s="118" t="s">
        <v>802</v>
      </c>
      <c r="AO6" s="118" t="s">
        <v>798</v>
      </c>
      <c r="AP6" s="118" t="s">
        <v>803</v>
      </c>
      <c r="AQ6" s="118" t="s">
        <v>804</v>
      </c>
      <c r="AR6" s="118" t="s">
        <v>805</v>
      </c>
      <c r="AS6" s="118"/>
      <c r="AT6" s="3"/>
    </row>
    <row r="7" spans="1:16352" x14ac:dyDescent="0.3">
      <c r="A7" s="3"/>
      <c r="B7" s="3"/>
      <c r="C7" s="3"/>
      <c r="D7" s="3"/>
      <c r="E7" s="3"/>
      <c r="F7" s="3"/>
      <c r="G7" s="3"/>
      <c r="H7" s="3"/>
      <c r="I7" s="3"/>
      <c r="J7" s="3"/>
      <c r="K7" s="100"/>
      <c r="L7" s="234" t="s">
        <v>773</v>
      </c>
      <c r="M7" s="234"/>
      <c r="N7" s="3"/>
      <c r="O7" s="3"/>
      <c r="P7" s="3"/>
      <c r="Q7" s="3"/>
      <c r="R7" s="3"/>
      <c r="S7" s="3"/>
      <c r="T7" s="3"/>
      <c r="U7" s="107"/>
      <c r="V7" s="3"/>
      <c r="W7" s="3"/>
      <c r="X7" s="3"/>
      <c r="Y7" s="3"/>
      <c r="Z7" s="3"/>
      <c r="AA7" s="3"/>
      <c r="AB7" s="3"/>
      <c r="AC7" s="3"/>
      <c r="AD7" s="3"/>
      <c r="AE7" s="3"/>
      <c r="AF7" s="3"/>
      <c r="AG7" s="3"/>
      <c r="AH7" s="3"/>
      <c r="AI7" s="3"/>
      <c r="AJ7" s="3"/>
      <c r="AK7" s="107"/>
      <c r="AL7" s="3"/>
      <c r="AM7" s="126">
        <v>291678</v>
      </c>
      <c r="AN7" s="126">
        <v>650427.57464081096</v>
      </c>
      <c r="AO7" s="126">
        <f>AM7-AN7</f>
        <v>-358749.57464081096</v>
      </c>
      <c r="AP7" s="126">
        <f>AO8-AO7</f>
        <v>105582</v>
      </c>
      <c r="AQ7" s="126">
        <f>AP7^2</f>
        <v>11147558724</v>
      </c>
      <c r="AR7" s="126">
        <f>AO7^2</f>
        <v>128701257304.96278</v>
      </c>
      <c r="AS7" s="3"/>
      <c r="AT7" s="3"/>
    </row>
    <row r="8" spans="1:16352" ht="15.6" customHeight="1" x14ac:dyDescent="0.3">
      <c r="A8" s="3"/>
      <c r="B8" s="3"/>
      <c r="C8" s="3"/>
      <c r="D8" s="3"/>
      <c r="E8" s="3"/>
      <c r="F8" s="3"/>
      <c r="G8" s="3"/>
      <c r="H8" s="3"/>
      <c r="I8" s="3"/>
      <c r="J8" s="3"/>
      <c r="K8" s="100"/>
      <c r="L8" s="97" t="s">
        <v>774</v>
      </c>
      <c r="M8" s="3">
        <v>0.57576270590322565</v>
      </c>
      <c r="N8" s="3"/>
      <c r="O8" s="3"/>
      <c r="P8" s="3"/>
      <c r="Q8" s="3"/>
      <c r="R8" s="3"/>
      <c r="S8" s="3"/>
      <c r="T8" s="3"/>
      <c r="U8" s="107"/>
      <c r="V8" s="3"/>
      <c r="W8" s="3"/>
      <c r="X8" s="3"/>
      <c r="Y8" s="3"/>
      <c r="Z8" s="3"/>
      <c r="AA8" s="3"/>
      <c r="AB8" s="3"/>
      <c r="AC8" s="3"/>
      <c r="AD8" s="3"/>
      <c r="AE8" s="3"/>
      <c r="AF8" s="3"/>
      <c r="AG8" s="3"/>
      <c r="AH8" s="3"/>
      <c r="AI8" s="3"/>
      <c r="AJ8" s="3"/>
      <c r="AK8" s="107"/>
      <c r="AL8" s="3"/>
      <c r="AM8" s="126">
        <v>397260</v>
      </c>
      <c r="AN8" s="126">
        <v>650427.57464081096</v>
      </c>
      <c r="AO8" s="126">
        <f t="shared" ref="AO8:AO18" si="0">AM8-AN8</f>
        <v>-253167.57464081096</v>
      </c>
      <c r="AP8" s="126">
        <f t="shared" ref="AP8:AP18" si="1">AO9-AO8</f>
        <v>38855</v>
      </c>
      <c r="AQ8" s="126">
        <f t="shared" ref="AQ8:AQ18" si="2">AP8^2</f>
        <v>1509711025</v>
      </c>
      <c r="AR8" s="126">
        <f t="shared" ref="AR8:AR18" si="3">AO8^2</f>
        <v>64093820849.51059</v>
      </c>
      <c r="AS8" s="3"/>
      <c r="AT8" s="3"/>
    </row>
    <row r="9" spans="1:16352" ht="15.6" customHeight="1" x14ac:dyDescent="0.3">
      <c r="A9" s="3"/>
      <c r="B9" s="3"/>
      <c r="C9" s="3"/>
      <c r="D9" s="3"/>
      <c r="E9" s="3"/>
      <c r="F9" s="3"/>
      <c r="G9" s="3"/>
      <c r="H9" s="3"/>
      <c r="I9" s="3"/>
      <c r="J9" s="3"/>
      <c r="K9" s="100"/>
      <c r="L9" s="97" t="s">
        <v>775</v>
      </c>
      <c r="M9" s="3">
        <v>0.33150269350900435</v>
      </c>
      <c r="N9" s="120"/>
      <c r="O9" s="3"/>
      <c r="P9" s="3"/>
      <c r="Q9" s="3"/>
      <c r="R9" s="3"/>
      <c r="S9" s="3"/>
      <c r="T9" s="3"/>
      <c r="U9" s="107"/>
      <c r="V9" s="3"/>
      <c r="W9" s="3"/>
      <c r="X9" s="3"/>
      <c r="Y9" s="3"/>
      <c r="Z9" s="3"/>
      <c r="AA9" s="3"/>
      <c r="AB9" s="3"/>
      <c r="AC9" s="3"/>
      <c r="AD9" s="3"/>
      <c r="AE9" s="3"/>
      <c r="AF9" s="3"/>
      <c r="AG9" s="3"/>
      <c r="AH9" s="3"/>
      <c r="AI9" s="3"/>
      <c r="AJ9" s="3"/>
      <c r="AK9" s="107"/>
      <c r="AL9" s="3"/>
      <c r="AM9" s="126">
        <v>436115</v>
      </c>
      <c r="AN9" s="126">
        <v>650427.57464081096</v>
      </c>
      <c r="AO9" s="126">
        <f t="shared" si="0"/>
        <v>-214312.57464081096</v>
      </c>
      <c r="AP9" s="126">
        <f t="shared" si="1"/>
        <v>691719</v>
      </c>
      <c r="AQ9" s="126">
        <f t="shared" si="2"/>
        <v>478475174961</v>
      </c>
      <c r="AR9" s="126">
        <f t="shared" si="3"/>
        <v>45929879649.173164</v>
      </c>
      <c r="AS9" s="3"/>
      <c r="AT9" s="3"/>
    </row>
    <row r="10" spans="1:16352" ht="15.6" customHeight="1" x14ac:dyDescent="0.3">
      <c r="A10" s="3"/>
      <c r="B10" s="3"/>
      <c r="C10" s="3"/>
      <c r="D10" s="3"/>
      <c r="E10" s="3"/>
      <c r="F10" s="3"/>
      <c r="G10" s="3"/>
      <c r="H10" s="3"/>
      <c r="I10" s="3"/>
      <c r="J10" s="3"/>
      <c r="K10" s="100"/>
      <c r="L10" s="97" t="s">
        <v>776</v>
      </c>
      <c r="M10" s="3">
        <v>0.26465296285990481</v>
      </c>
      <c r="N10" s="3"/>
      <c r="O10" s="3"/>
      <c r="P10" s="3"/>
      <c r="Q10" s="3"/>
      <c r="R10" s="3"/>
      <c r="S10" s="3"/>
      <c r="T10" s="3"/>
      <c r="U10" s="107"/>
      <c r="V10" s="3"/>
      <c r="W10" s="3"/>
      <c r="X10" s="3"/>
      <c r="Y10" s="3"/>
      <c r="Z10" s="3"/>
      <c r="AA10" s="3"/>
      <c r="AB10" s="3"/>
      <c r="AC10" s="3"/>
      <c r="AD10" s="3"/>
      <c r="AE10" s="3"/>
      <c r="AF10" s="3"/>
      <c r="AG10" s="3"/>
      <c r="AH10" s="3"/>
      <c r="AI10" s="3"/>
      <c r="AJ10" s="3"/>
      <c r="AK10" s="107"/>
      <c r="AL10" s="3"/>
      <c r="AM10" s="126">
        <v>1127834</v>
      </c>
      <c r="AN10" s="126">
        <v>650427.57464081096</v>
      </c>
      <c r="AO10" s="126">
        <f t="shared" si="0"/>
        <v>477406.42535918904</v>
      </c>
      <c r="AP10" s="126">
        <f t="shared" si="1"/>
        <v>-288830.51944717678</v>
      </c>
      <c r="AQ10" s="126">
        <f t="shared" si="2"/>
        <v>83423068964.125961</v>
      </c>
      <c r="AR10" s="126">
        <f t="shared" si="3"/>
        <v>227916894974.23895</v>
      </c>
      <c r="AS10" s="3"/>
      <c r="AT10" s="3"/>
    </row>
    <row r="11" spans="1:16352" ht="15.6" customHeight="1" x14ac:dyDescent="0.3">
      <c r="A11" s="3"/>
      <c r="B11" s="3"/>
      <c r="C11" s="3"/>
      <c r="D11" s="3"/>
      <c r="E11" s="3"/>
      <c r="F11" s="3"/>
      <c r="G11" s="3"/>
      <c r="H11" s="118" t="s">
        <v>770</v>
      </c>
      <c r="I11" s="65" t="s">
        <v>771</v>
      </c>
      <c r="J11" s="3"/>
      <c r="K11" s="100"/>
      <c r="L11" s="97" t="s">
        <v>777</v>
      </c>
      <c r="M11" s="3">
        <v>287812.76234519837</v>
      </c>
      <c r="N11" s="3"/>
      <c r="O11" s="3"/>
      <c r="P11" s="3"/>
      <c r="Q11" s="3"/>
      <c r="R11" s="3"/>
      <c r="S11" s="3"/>
      <c r="T11" s="3"/>
      <c r="U11" s="107"/>
      <c r="V11" s="3"/>
      <c r="W11" s="3"/>
      <c r="X11" s="3"/>
      <c r="Y11" s="3"/>
      <c r="Z11" s="3"/>
      <c r="AA11" s="3"/>
      <c r="AB11" s="3"/>
      <c r="AC11" s="3"/>
      <c r="AD11" s="3"/>
      <c r="AE11" s="3"/>
      <c r="AF11" s="3"/>
      <c r="AG11" s="3"/>
      <c r="AH11" s="3"/>
      <c r="AI11" s="3"/>
      <c r="AJ11" s="3"/>
      <c r="AK11" s="107"/>
      <c r="AL11" s="3"/>
      <c r="AM11" s="126">
        <v>579705</v>
      </c>
      <c r="AN11" s="126">
        <v>391129.09408798773</v>
      </c>
      <c r="AO11" s="126">
        <f t="shared" si="0"/>
        <v>188575.90591201227</v>
      </c>
      <c r="AP11" s="126">
        <f t="shared" si="1"/>
        <v>-258611</v>
      </c>
      <c r="AQ11" s="126">
        <f t="shared" si="2"/>
        <v>66879649321</v>
      </c>
      <c r="AR11" s="126">
        <f t="shared" si="3"/>
        <v>35560872290.536102</v>
      </c>
      <c r="AS11" s="3"/>
      <c r="AT11" s="3"/>
    </row>
    <row r="12" spans="1:16352" ht="15.6" customHeight="1" thickBot="1" x14ac:dyDescent="0.35">
      <c r="A12" s="3"/>
      <c r="B12" s="3"/>
      <c r="C12" s="3"/>
      <c r="D12" s="3"/>
      <c r="E12" s="3"/>
      <c r="F12" s="3"/>
      <c r="G12" s="3"/>
      <c r="H12" s="51">
        <v>50506.344999999987</v>
      </c>
      <c r="I12" s="51">
        <v>291678</v>
      </c>
      <c r="J12" s="3"/>
      <c r="K12" s="100"/>
      <c r="L12" s="121" t="s">
        <v>778</v>
      </c>
      <c r="M12" s="122">
        <v>12</v>
      </c>
      <c r="N12" s="3"/>
      <c r="O12" s="3"/>
      <c r="P12" s="3"/>
      <c r="Q12" s="3"/>
      <c r="R12" s="3"/>
      <c r="S12" s="3"/>
      <c r="T12" s="3"/>
      <c r="U12" s="107"/>
      <c r="V12" s="3"/>
      <c r="W12" s="3"/>
      <c r="X12" s="3"/>
      <c r="Y12" s="3"/>
      <c r="Z12" s="3"/>
      <c r="AA12" s="3"/>
      <c r="AB12" s="3"/>
      <c r="AC12" s="3"/>
      <c r="AD12" s="3"/>
      <c r="AE12" s="3"/>
      <c r="AF12" s="3"/>
      <c r="AG12" s="3"/>
      <c r="AH12" s="3"/>
      <c r="AI12" s="3"/>
      <c r="AJ12" s="3"/>
      <c r="AK12" s="107"/>
      <c r="AL12" s="3"/>
      <c r="AM12" s="126">
        <v>321094</v>
      </c>
      <c r="AN12" s="126">
        <v>391129.09408798773</v>
      </c>
      <c r="AO12" s="126">
        <f t="shared" si="0"/>
        <v>-70035.094087987731</v>
      </c>
      <c r="AP12" s="126">
        <f t="shared" si="1"/>
        <v>-99636.474366427457</v>
      </c>
      <c r="AQ12" s="126">
        <f t="shared" si="2"/>
        <v>9927427024.1717567</v>
      </c>
      <c r="AR12" s="126">
        <f t="shared" si="3"/>
        <v>4904914403.9132938</v>
      </c>
      <c r="AS12" s="3"/>
      <c r="AT12" s="3"/>
    </row>
    <row r="13" spans="1:16352" ht="15.6" customHeight="1" x14ac:dyDescent="0.3">
      <c r="A13" s="3"/>
      <c r="B13" s="3"/>
      <c r="C13" s="3"/>
      <c r="D13" s="3"/>
      <c r="E13" s="3"/>
      <c r="F13" s="3"/>
      <c r="G13" s="3"/>
      <c r="H13" s="51">
        <v>50506.344999999987</v>
      </c>
      <c r="I13" s="51">
        <v>397260</v>
      </c>
      <c r="J13" s="3"/>
      <c r="K13" s="100"/>
      <c r="L13" s="3"/>
      <c r="M13" s="3"/>
      <c r="N13" s="3"/>
      <c r="O13" s="3"/>
      <c r="P13" s="3"/>
      <c r="Q13" s="3"/>
      <c r="R13" s="3"/>
      <c r="S13" s="3"/>
      <c r="T13" s="3"/>
      <c r="U13" s="107"/>
      <c r="V13" s="3"/>
      <c r="W13" s="3"/>
      <c r="X13" s="3"/>
      <c r="Y13" s="3"/>
      <c r="Z13" s="3"/>
      <c r="AA13" s="3"/>
      <c r="AB13" s="3"/>
      <c r="AC13" s="3"/>
      <c r="AD13" s="3"/>
      <c r="AE13" s="3"/>
      <c r="AF13" s="3"/>
      <c r="AG13" s="3"/>
      <c r="AH13" s="3"/>
      <c r="AI13" s="3"/>
      <c r="AJ13" s="3"/>
      <c r="AK13" s="107"/>
      <c r="AL13" s="3"/>
      <c r="AM13" s="126">
        <v>712020</v>
      </c>
      <c r="AN13" s="126">
        <v>881691.56845441519</v>
      </c>
      <c r="AO13" s="126">
        <f t="shared" si="0"/>
        <v>-169671.56845441519</v>
      </c>
      <c r="AP13" s="126">
        <f t="shared" si="1"/>
        <v>523722</v>
      </c>
      <c r="AQ13" s="126">
        <f t="shared" si="2"/>
        <v>274284733284</v>
      </c>
      <c r="AR13" s="126">
        <f t="shared" si="3"/>
        <v>28788441141.7813</v>
      </c>
      <c r="AS13" s="3"/>
      <c r="AT13" s="3"/>
    </row>
    <row r="14" spans="1:16352" ht="15.6" customHeight="1" thickBot="1" x14ac:dyDescent="0.35">
      <c r="A14" s="3"/>
      <c r="B14" s="3"/>
      <c r="C14" s="3"/>
      <c r="D14" s="3"/>
      <c r="E14" s="3"/>
      <c r="F14" s="3"/>
      <c r="G14" s="3"/>
      <c r="H14" s="51">
        <v>50506.344999999987</v>
      </c>
      <c r="I14" s="51">
        <v>436115</v>
      </c>
      <c r="J14" s="3"/>
      <c r="K14" s="100"/>
      <c r="L14" s="237" t="s">
        <v>779</v>
      </c>
      <c r="M14" s="237"/>
      <c r="N14" s="3"/>
      <c r="O14" s="3"/>
      <c r="P14" s="3"/>
      <c r="Q14" s="3"/>
      <c r="R14" s="3"/>
      <c r="S14" s="3"/>
      <c r="T14" s="3"/>
      <c r="U14" s="107"/>
      <c r="V14" s="3"/>
      <c r="W14" s="3"/>
      <c r="X14" s="3"/>
      <c r="Y14" s="3"/>
      <c r="Z14" s="3"/>
      <c r="AA14" s="3"/>
      <c r="AB14" s="3"/>
      <c r="AC14" s="3"/>
      <c r="AD14" s="3"/>
      <c r="AE14" s="3"/>
      <c r="AF14" s="3"/>
      <c r="AG14" s="3"/>
      <c r="AH14" s="3"/>
      <c r="AI14" s="3"/>
      <c r="AJ14" s="3"/>
      <c r="AK14" s="107"/>
      <c r="AL14" s="3"/>
      <c r="AM14" s="126">
        <v>1235742</v>
      </c>
      <c r="AN14" s="126">
        <v>881691.56845441519</v>
      </c>
      <c r="AO14" s="126">
        <f t="shared" si="0"/>
        <v>354050.43154558481</v>
      </c>
      <c r="AP14" s="126">
        <f t="shared" si="1"/>
        <v>-117883.52563357254</v>
      </c>
      <c r="AQ14" s="126">
        <f t="shared" si="2"/>
        <v>13896525615.801155</v>
      </c>
      <c r="AR14" s="126">
        <f t="shared" si="3"/>
        <v>125351708077.61484</v>
      </c>
      <c r="AS14" s="3"/>
      <c r="AT14" s="3"/>
    </row>
    <row r="15" spans="1:16352" ht="15.6" customHeight="1" x14ac:dyDescent="0.3">
      <c r="A15" s="3"/>
      <c r="B15" s="3"/>
      <c r="C15" s="3"/>
      <c r="D15" s="3"/>
      <c r="E15" s="3"/>
      <c r="F15" s="3"/>
      <c r="G15" s="3"/>
      <c r="H15" s="51">
        <v>50506.344999999987</v>
      </c>
      <c r="I15" s="51">
        <v>1127834</v>
      </c>
      <c r="J15" s="3"/>
      <c r="K15" s="100"/>
      <c r="L15" s="123"/>
      <c r="M15" s="123" t="s">
        <v>784</v>
      </c>
      <c r="N15" s="123" t="s">
        <v>785</v>
      </c>
      <c r="O15" s="123" t="s">
        <v>786</v>
      </c>
      <c r="P15" s="123" t="s">
        <v>787</v>
      </c>
      <c r="Q15" s="123" t="s">
        <v>788</v>
      </c>
      <c r="R15" s="3"/>
      <c r="S15" s="3"/>
      <c r="T15" s="3"/>
      <c r="U15" s="107"/>
      <c r="V15" s="3"/>
      <c r="W15" s="3"/>
      <c r="X15" s="3"/>
      <c r="Y15" s="3"/>
      <c r="Z15" s="3"/>
      <c r="AA15" s="3"/>
      <c r="AB15" s="3"/>
      <c r="AC15" s="3"/>
      <c r="AD15" s="3"/>
      <c r="AE15" s="3"/>
      <c r="AF15" s="3"/>
      <c r="AG15" s="3"/>
      <c r="AH15" s="3"/>
      <c r="AI15" s="3"/>
      <c r="AJ15" s="3"/>
      <c r="AK15" s="107"/>
      <c r="AL15" s="3"/>
      <c r="AM15" s="126">
        <v>627296</v>
      </c>
      <c r="AN15" s="126">
        <v>391129.09408798773</v>
      </c>
      <c r="AO15" s="126">
        <f t="shared" si="0"/>
        <v>236166.90591201227</v>
      </c>
      <c r="AP15" s="126">
        <f t="shared" si="1"/>
        <v>-351793</v>
      </c>
      <c r="AQ15" s="126">
        <f t="shared" si="2"/>
        <v>123758314849</v>
      </c>
      <c r="AR15" s="126">
        <f t="shared" si="3"/>
        <v>55774807448.053253</v>
      </c>
      <c r="AS15" s="3"/>
      <c r="AT15" s="3"/>
    </row>
    <row r="16" spans="1:16352" ht="15.6" customHeight="1" x14ac:dyDescent="0.3">
      <c r="A16" s="3"/>
      <c r="B16" s="3"/>
      <c r="C16" s="3"/>
      <c r="D16" s="3"/>
      <c r="E16" s="3"/>
      <c r="F16" s="3"/>
      <c r="G16" s="3"/>
      <c r="H16" s="51">
        <v>20315.925000000007</v>
      </c>
      <c r="I16" s="51">
        <v>579705</v>
      </c>
      <c r="J16" s="3"/>
      <c r="K16" s="100"/>
      <c r="L16" s="97" t="s">
        <v>780</v>
      </c>
      <c r="M16" s="3">
        <v>1</v>
      </c>
      <c r="N16" s="3">
        <v>410778301846.93018</v>
      </c>
      <c r="O16" s="3">
        <v>410778301846.93018</v>
      </c>
      <c r="P16" s="3">
        <v>4.9589233986460286</v>
      </c>
      <c r="Q16" s="3">
        <v>5.0108179691103844E-2</v>
      </c>
      <c r="R16" s="3"/>
      <c r="S16" s="3"/>
      <c r="T16" s="3"/>
      <c r="U16" s="107"/>
      <c r="V16" s="3"/>
      <c r="W16" s="3"/>
      <c r="X16" s="3"/>
      <c r="Y16" s="3"/>
      <c r="Z16" s="3"/>
      <c r="AA16" s="3"/>
      <c r="AB16" s="3"/>
      <c r="AC16" s="3"/>
      <c r="AD16" s="3"/>
      <c r="AE16" s="3"/>
      <c r="AF16" s="3"/>
      <c r="AG16" s="3"/>
      <c r="AH16" s="3"/>
      <c r="AI16" s="3"/>
      <c r="AJ16" s="3"/>
      <c r="AK16" s="107"/>
      <c r="AL16" s="3"/>
      <c r="AM16" s="126">
        <v>275503</v>
      </c>
      <c r="AN16" s="126">
        <v>391129.09408798773</v>
      </c>
      <c r="AO16" s="126">
        <f t="shared" si="0"/>
        <v>-115626.09408798773</v>
      </c>
      <c r="AP16" s="126">
        <f t="shared" si="1"/>
        <v>296464</v>
      </c>
      <c r="AQ16" s="126">
        <f t="shared" si="2"/>
        <v>87890903296</v>
      </c>
      <c r="AR16" s="126">
        <f t="shared" si="3"/>
        <v>13369393634.044191</v>
      </c>
      <c r="AS16" s="3"/>
      <c r="AT16" s="3"/>
    </row>
    <row r="17" spans="1:46" ht="15.6" customHeight="1" x14ac:dyDescent="0.3">
      <c r="A17" s="3"/>
      <c r="B17" s="3"/>
      <c r="C17" s="3"/>
      <c r="D17" s="3"/>
      <c r="E17" s="3"/>
      <c r="F17" s="3"/>
      <c r="G17" s="3"/>
      <c r="H17" s="51">
        <v>20315.925000000007</v>
      </c>
      <c r="I17" s="51">
        <v>321094</v>
      </c>
      <c r="J17" s="3"/>
      <c r="K17" s="100"/>
      <c r="L17" s="97" t="s">
        <v>781</v>
      </c>
      <c r="M17" s="3">
        <v>10</v>
      </c>
      <c r="N17" s="3">
        <v>828361861687.73657</v>
      </c>
      <c r="O17" s="3">
        <v>82836186168.773651</v>
      </c>
      <c r="P17" s="3"/>
      <c r="Q17" s="3"/>
      <c r="R17" s="3"/>
      <c r="S17" s="3"/>
      <c r="T17" s="3"/>
      <c r="U17" s="107"/>
      <c r="V17" s="3"/>
      <c r="W17" s="3"/>
      <c r="X17" s="3"/>
      <c r="Y17" s="3"/>
      <c r="Z17" s="3"/>
      <c r="AA17" s="3"/>
      <c r="AB17" s="3"/>
      <c r="AC17" s="3"/>
      <c r="AD17" s="3"/>
      <c r="AE17" s="3"/>
      <c r="AF17" s="3"/>
      <c r="AG17" s="3"/>
      <c r="AH17" s="3"/>
      <c r="AI17" s="3"/>
      <c r="AJ17" s="3"/>
      <c r="AK17" s="107"/>
      <c r="AL17" s="3"/>
      <c r="AM17" s="126">
        <v>571967</v>
      </c>
      <c r="AN17" s="126">
        <v>391129.09408798773</v>
      </c>
      <c r="AO17" s="126">
        <f t="shared" si="0"/>
        <v>180837.90591201227</v>
      </c>
      <c r="AP17" s="126">
        <f t="shared" si="1"/>
        <v>-436313</v>
      </c>
      <c r="AQ17" s="126">
        <f t="shared" si="2"/>
        <v>190369033969</v>
      </c>
      <c r="AR17" s="126">
        <f t="shared" si="3"/>
        <v>32702348214.641804</v>
      </c>
      <c r="AS17" s="3"/>
      <c r="AT17" s="3"/>
    </row>
    <row r="18" spans="1:46" ht="15.6" customHeight="1" thickBot="1" x14ac:dyDescent="0.35">
      <c r="A18" s="3"/>
      <c r="B18" s="3"/>
      <c r="C18" s="3"/>
      <c r="D18" s="3"/>
      <c r="E18" s="3"/>
      <c r="F18" s="3"/>
      <c r="G18" s="3"/>
      <c r="H18" s="51">
        <v>77432.677499999991</v>
      </c>
      <c r="I18" s="51">
        <v>712020</v>
      </c>
      <c r="J18" s="3"/>
      <c r="K18" s="100"/>
      <c r="L18" s="124" t="s">
        <v>782</v>
      </c>
      <c r="M18" s="122">
        <v>11</v>
      </c>
      <c r="N18" s="122">
        <v>1239140163534.6667</v>
      </c>
      <c r="O18" s="122"/>
      <c r="P18" s="122"/>
      <c r="Q18" s="122"/>
      <c r="R18" s="3"/>
      <c r="S18" s="3"/>
      <c r="T18" s="3"/>
      <c r="U18" s="107"/>
      <c r="V18" s="3"/>
      <c r="W18" s="3"/>
      <c r="X18" s="3"/>
      <c r="Y18" s="3"/>
      <c r="Z18" s="3"/>
      <c r="AA18" s="3"/>
      <c r="AB18" s="3"/>
      <c r="AC18" s="3"/>
      <c r="AD18" s="3"/>
      <c r="AE18" s="3"/>
      <c r="AF18" s="3"/>
      <c r="AG18" s="3"/>
      <c r="AH18" s="3"/>
      <c r="AI18" s="3"/>
      <c r="AJ18" s="3"/>
      <c r="AK18" s="107"/>
      <c r="AL18" s="3"/>
      <c r="AM18" s="129">
        <v>135654</v>
      </c>
      <c r="AN18" s="129">
        <v>391129.09408798773</v>
      </c>
      <c r="AO18" s="129">
        <f t="shared" si="0"/>
        <v>-255475.09408798773</v>
      </c>
      <c r="AP18" s="129">
        <f t="shared" si="1"/>
        <v>255475.09408798773</v>
      </c>
      <c r="AQ18" s="129">
        <f t="shared" si="2"/>
        <v>65267523699.266182</v>
      </c>
      <c r="AR18" s="129">
        <f t="shared" si="3"/>
        <v>65267523699.266182</v>
      </c>
      <c r="AS18" s="90"/>
      <c r="AT18" s="3"/>
    </row>
    <row r="19" spans="1:46" ht="15.6" customHeight="1" thickBot="1" x14ac:dyDescent="0.35">
      <c r="A19" s="3"/>
      <c r="B19" s="3"/>
      <c r="C19" s="3"/>
      <c r="D19" s="3"/>
      <c r="E19" s="3"/>
      <c r="F19" s="3"/>
      <c r="G19" s="3"/>
      <c r="H19" s="51">
        <v>77432.677499999991</v>
      </c>
      <c r="I19" s="51">
        <v>1235742</v>
      </c>
      <c r="J19" s="3"/>
      <c r="K19" s="100"/>
      <c r="L19" s="3"/>
      <c r="M19" s="3"/>
      <c r="N19" s="3"/>
      <c r="O19" s="3"/>
      <c r="P19" s="3"/>
      <c r="Q19" s="3"/>
      <c r="R19" s="3"/>
      <c r="S19" s="3"/>
      <c r="T19" s="3"/>
      <c r="U19" s="107"/>
      <c r="V19" s="3"/>
      <c r="W19" s="3"/>
      <c r="X19" s="3"/>
      <c r="Y19" s="3"/>
      <c r="Z19" s="3"/>
      <c r="AA19" s="3"/>
      <c r="AB19" s="3"/>
      <c r="AC19" s="3"/>
      <c r="AD19" s="3"/>
      <c r="AE19" s="3"/>
      <c r="AF19" s="3"/>
      <c r="AG19" s="3"/>
      <c r="AH19" s="3"/>
      <c r="AI19" s="3"/>
      <c r="AJ19" s="3"/>
      <c r="AK19" s="107"/>
      <c r="AL19" s="3"/>
      <c r="AM19" s="3"/>
      <c r="AN19" s="3"/>
      <c r="AO19" s="3"/>
      <c r="AP19" s="3"/>
      <c r="AQ19" s="3"/>
      <c r="AR19" s="3"/>
      <c r="AS19" s="3"/>
      <c r="AT19" s="3"/>
    </row>
    <row r="20" spans="1:46" ht="15.6" customHeight="1" x14ac:dyDescent="0.3">
      <c r="A20" s="3"/>
      <c r="B20" s="3"/>
      <c r="C20" s="3"/>
      <c r="D20" s="3"/>
      <c r="E20" s="3"/>
      <c r="F20" s="3"/>
      <c r="G20" s="3"/>
      <c r="H20" s="51">
        <v>20315.925000000007</v>
      </c>
      <c r="I20" s="51">
        <v>627296</v>
      </c>
      <c r="J20" s="3"/>
      <c r="K20" s="100"/>
      <c r="L20" s="123"/>
      <c r="M20" s="123" t="s">
        <v>789</v>
      </c>
      <c r="N20" s="123" t="s">
        <v>777</v>
      </c>
      <c r="O20" s="123" t="s">
        <v>790</v>
      </c>
      <c r="P20" s="123" t="s">
        <v>791</v>
      </c>
      <c r="Q20" s="123" t="s">
        <v>792</v>
      </c>
      <c r="R20" s="123" t="s">
        <v>793</v>
      </c>
      <c r="S20" s="123" t="s">
        <v>794</v>
      </c>
      <c r="T20" s="123" t="s">
        <v>795</v>
      </c>
      <c r="U20" s="107"/>
      <c r="V20" s="3"/>
      <c r="W20" s="3"/>
      <c r="X20" s="3"/>
      <c r="Y20" s="3"/>
      <c r="Z20" s="3"/>
      <c r="AA20" s="3"/>
      <c r="AB20" s="3"/>
      <c r="AC20" s="3"/>
      <c r="AD20" s="3"/>
      <c r="AE20" s="3"/>
      <c r="AF20" s="3"/>
      <c r="AG20" s="3"/>
      <c r="AH20" s="3"/>
      <c r="AI20" s="3"/>
      <c r="AJ20" s="3"/>
      <c r="AK20" s="107"/>
      <c r="AL20" s="3"/>
      <c r="AM20" s="3"/>
      <c r="AN20" s="3"/>
      <c r="AO20" s="3"/>
      <c r="AP20" s="3"/>
      <c r="AQ20" s="148" t="s">
        <v>823</v>
      </c>
      <c r="AR20" s="146">
        <f>SUM(AQ7:AQ18)</f>
        <v>1406829624732.365</v>
      </c>
      <c r="AS20" s="3"/>
      <c r="AT20" s="3"/>
    </row>
    <row r="21" spans="1:46" ht="21.6" customHeight="1" x14ac:dyDescent="0.3">
      <c r="A21" s="3"/>
      <c r="B21" s="3"/>
      <c r="C21" s="3"/>
      <c r="D21" s="3"/>
      <c r="E21" s="3"/>
      <c r="F21" s="3"/>
      <c r="G21" s="3"/>
      <c r="H21" s="51">
        <v>20315.925000000007</v>
      </c>
      <c r="I21" s="51">
        <v>275503</v>
      </c>
      <c r="J21" s="3"/>
      <c r="K21" s="100"/>
      <c r="L21" s="97" t="s">
        <v>783</v>
      </c>
      <c r="M21" s="3">
        <v>216640.34952845122</v>
      </c>
      <c r="N21" s="3">
        <v>174882.09950289974</v>
      </c>
      <c r="O21" s="3">
        <v>1.2387794413736386</v>
      </c>
      <c r="P21" s="3">
        <v>0.24371632347188404</v>
      </c>
      <c r="Q21" s="3">
        <v>-173021.25089088921</v>
      </c>
      <c r="R21" s="3">
        <v>606301.94994779164</v>
      </c>
      <c r="S21" s="3">
        <v>-173021.25089088921</v>
      </c>
      <c r="T21" s="3">
        <v>606301.94994779164</v>
      </c>
      <c r="U21" s="107"/>
      <c r="V21" s="3"/>
      <c r="W21" s="3"/>
      <c r="X21" s="3"/>
      <c r="Y21" s="3"/>
      <c r="Z21" s="3"/>
      <c r="AA21" s="3"/>
      <c r="AB21" s="3"/>
      <c r="AC21" s="3"/>
      <c r="AD21" s="3"/>
      <c r="AE21" s="3"/>
      <c r="AF21" s="3"/>
      <c r="AG21" s="3"/>
      <c r="AH21" s="3"/>
      <c r="AI21" s="3"/>
      <c r="AJ21" s="3"/>
      <c r="AK21" s="107"/>
      <c r="AL21" s="3"/>
      <c r="AM21" s="3"/>
      <c r="AN21" s="3"/>
      <c r="AO21" s="3"/>
      <c r="AP21" s="3"/>
      <c r="AQ21" s="149" t="s">
        <v>824</v>
      </c>
      <c r="AR21" s="147">
        <f>SUM(AR7:AR18)</f>
        <v>828361861687.73657</v>
      </c>
      <c r="AS21" s="3"/>
      <c r="AT21" s="3"/>
    </row>
    <row r="22" spans="1:46" ht="16.2" customHeight="1" thickBot="1" x14ac:dyDescent="0.35">
      <c r="A22" s="3"/>
      <c r="B22" s="3"/>
      <c r="C22" s="3"/>
      <c r="D22" s="3"/>
      <c r="E22" s="51"/>
      <c r="F22" s="51"/>
      <c r="G22" s="3"/>
      <c r="H22" s="51">
        <v>20315.925000000007</v>
      </c>
      <c r="I22" s="51">
        <v>571967</v>
      </c>
      <c r="J22" s="3"/>
      <c r="K22" s="100"/>
      <c r="L22" s="121" t="s">
        <v>770</v>
      </c>
      <c r="M22" s="122">
        <v>8.5887669185398376</v>
      </c>
      <c r="N22" s="122">
        <v>3.8568887956458142</v>
      </c>
      <c r="O22" s="122">
        <v>2.2268640278755294</v>
      </c>
      <c r="P22" s="122">
        <v>5.0108179691103913E-2</v>
      </c>
      <c r="Q22" s="122">
        <v>-4.9168548291511627E-3</v>
      </c>
      <c r="R22" s="122">
        <v>17.182450691908826</v>
      </c>
      <c r="S22" s="122">
        <v>-4.9168548291511627E-3</v>
      </c>
      <c r="T22" s="122">
        <v>17.182450691908826</v>
      </c>
      <c r="U22" s="107"/>
      <c r="V22" s="3"/>
      <c r="W22" s="3"/>
      <c r="X22" s="3"/>
      <c r="Y22" s="3"/>
      <c r="Z22" s="3"/>
      <c r="AA22" s="3"/>
      <c r="AB22" s="3"/>
      <c r="AC22" s="3"/>
      <c r="AD22" s="3"/>
      <c r="AE22" s="3"/>
      <c r="AF22" s="3"/>
      <c r="AG22" s="3"/>
      <c r="AH22" s="3"/>
      <c r="AI22" s="3"/>
      <c r="AJ22" s="3"/>
      <c r="AK22" s="107"/>
      <c r="AL22" s="3"/>
      <c r="AM22" s="3"/>
      <c r="AN22" s="3"/>
      <c r="AO22" s="3"/>
      <c r="AP22" s="3"/>
      <c r="AQ22" s="3"/>
      <c r="AR22" s="62"/>
      <c r="AS22" s="3"/>
      <c r="AT22" s="3"/>
    </row>
    <row r="23" spans="1:46" ht="15.6" customHeight="1" x14ac:dyDescent="0.3">
      <c r="A23" s="3"/>
      <c r="B23" s="3"/>
      <c r="C23" s="3"/>
      <c r="D23" s="3"/>
      <c r="E23" s="51"/>
      <c r="F23" s="51"/>
      <c r="G23" s="3"/>
      <c r="H23" s="117">
        <v>20315.925000000007</v>
      </c>
      <c r="I23" s="117">
        <v>135654</v>
      </c>
      <c r="J23" s="3"/>
      <c r="K23" s="100"/>
      <c r="U23" s="107"/>
      <c r="V23" s="3"/>
      <c r="W23" s="3"/>
      <c r="X23" s="3"/>
      <c r="Y23" s="3"/>
      <c r="Z23" s="3"/>
      <c r="AA23" s="3"/>
      <c r="AB23" s="3"/>
      <c r="AC23" s="3"/>
      <c r="AD23" s="3"/>
      <c r="AE23" s="3"/>
      <c r="AF23" s="3"/>
      <c r="AG23" s="3"/>
      <c r="AH23" s="3"/>
      <c r="AI23" s="3"/>
      <c r="AJ23" s="3"/>
      <c r="AK23" s="107"/>
      <c r="AL23" s="3"/>
      <c r="AM23" s="3"/>
      <c r="AN23" s="3"/>
      <c r="AO23" s="3"/>
      <c r="AP23" s="3"/>
      <c r="AQ23" s="65" t="s">
        <v>821</v>
      </c>
      <c r="AR23" s="133">
        <f>AR20/AR21</f>
        <v>1.6983273733366187</v>
      </c>
      <c r="AS23" s="3"/>
      <c r="AT23" s="3"/>
    </row>
    <row r="24" spans="1:46" ht="15.6" customHeight="1" x14ac:dyDescent="0.3">
      <c r="A24" s="3"/>
      <c r="B24" s="3"/>
      <c r="C24" s="3"/>
      <c r="D24" s="3"/>
      <c r="E24" s="51"/>
      <c r="F24" s="51"/>
      <c r="G24" s="3"/>
      <c r="H24" s="3"/>
      <c r="I24" s="3"/>
      <c r="J24" s="3"/>
      <c r="K24" s="100"/>
      <c r="U24" s="107"/>
      <c r="V24" s="3"/>
      <c r="W24" s="3"/>
      <c r="X24" s="3"/>
      <c r="Y24" s="3"/>
      <c r="Z24" s="3"/>
      <c r="AA24" s="3"/>
      <c r="AB24" s="3"/>
      <c r="AC24" s="3"/>
      <c r="AD24" s="3"/>
      <c r="AE24" s="3"/>
      <c r="AF24" s="3"/>
      <c r="AG24" s="3"/>
      <c r="AH24" s="3"/>
      <c r="AI24" s="3"/>
      <c r="AJ24" s="3"/>
      <c r="AK24" s="107"/>
      <c r="AL24" s="3"/>
      <c r="AM24" s="3"/>
      <c r="AN24" s="3"/>
      <c r="AO24" s="3"/>
      <c r="AP24" s="3"/>
      <c r="AQ24" s="3"/>
      <c r="AR24" s="3"/>
      <c r="AS24" s="3"/>
      <c r="AT24" s="3"/>
    </row>
    <row r="25" spans="1:46" ht="20.399999999999999" customHeight="1" x14ac:dyDescent="0.3">
      <c r="A25" s="3"/>
      <c r="B25" s="3"/>
      <c r="C25" s="3"/>
      <c r="D25" s="3"/>
      <c r="E25" s="51"/>
      <c r="F25" s="51"/>
      <c r="G25" s="3"/>
      <c r="H25" s="104"/>
      <c r="I25" s="104"/>
      <c r="J25" s="107"/>
      <c r="K25" s="238" t="s">
        <v>763</v>
      </c>
      <c r="L25" s="238"/>
      <c r="M25" s="238"/>
      <c r="N25" s="238"/>
      <c r="O25" s="130"/>
      <c r="P25" s="144"/>
      <c r="Q25" s="144"/>
      <c r="R25" s="144"/>
      <c r="S25" s="144"/>
      <c r="T25" s="144"/>
      <c r="U25" s="132"/>
      <c r="V25" s="3"/>
      <c r="W25" s="3"/>
      <c r="X25" s="3"/>
      <c r="Y25" s="3"/>
      <c r="Z25" s="3"/>
      <c r="AA25" s="3"/>
      <c r="AB25" s="3"/>
      <c r="AC25" s="3"/>
      <c r="AD25" s="3"/>
      <c r="AE25" s="3"/>
      <c r="AF25" s="3"/>
      <c r="AG25" s="3"/>
      <c r="AH25" s="3"/>
      <c r="AI25" s="3"/>
      <c r="AJ25" s="3"/>
      <c r="AK25" s="107"/>
      <c r="AL25" s="238" t="s">
        <v>763</v>
      </c>
      <c r="AM25" s="238"/>
      <c r="AN25" s="238"/>
      <c r="AO25" s="238"/>
      <c r="AP25" s="130"/>
      <c r="AQ25" s="130"/>
      <c r="AR25" s="130"/>
      <c r="AS25" s="130"/>
      <c r="AT25" s="3"/>
    </row>
    <row r="26" spans="1:46" ht="15.6" customHeight="1" x14ac:dyDescent="0.3">
      <c r="A26" s="3"/>
      <c r="B26" s="3"/>
      <c r="C26" s="3"/>
      <c r="D26" s="3"/>
      <c r="E26" s="51"/>
      <c r="F26" s="51"/>
      <c r="G26" s="3"/>
      <c r="H26" s="3"/>
      <c r="I26" s="3"/>
      <c r="J26" s="3"/>
      <c r="K26" s="100"/>
      <c r="L26" s="3"/>
      <c r="M26" s="3"/>
      <c r="N26" s="3"/>
      <c r="O26" s="3"/>
      <c r="P26" s="3"/>
      <c r="Q26" s="3"/>
      <c r="R26" s="3"/>
      <c r="U26" s="107"/>
      <c r="V26" s="3"/>
      <c r="W26" s="3"/>
      <c r="X26" s="3"/>
      <c r="Y26" s="3"/>
      <c r="Z26" s="3"/>
      <c r="AA26" s="3"/>
      <c r="AB26" s="3"/>
      <c r="AC26" s="3"/>
      <c r="AD26" s="3"/>
      <c r="AE26" s="3"/>
      <c r="AF26" s="3"/>
      <c r="AG26" s="3"/>
      <c r="AH26" s="3"/>
      <c r="AI26" s="3"/>
      <c r="AJ26" s="3"/>
      <c r="AK26" s="107"/>
      <c r="AL26" s="3"/>
      <c r="AM26" s="3"/>
      <c r="AN26" s="3"/>
      <c r="AO26" s="3"/>
      <c r="AP26" s="3"/>
      <c r="AQ26" s="3"/>
      <c r="AR26" s="3"/>
      <c r="AS26" s="3"/>
      <c r="AT26" s="3"/>
    </row>
    <row r="27" spans="1:46" ht="18" customHeight="1" x14ac:dyDescent="0.3">
      <c r="A27" s="3"/>
      <c r="B27" s="3"/>
      <c r="C27" s="3"/>
      <c r="D27" s="3"/>
      <c r="E27" s="51"/>
      <c r="F27" s="51"/>
      <c r="G27" s="3"/>
      <c r="H27" s="3"/>
      <c r="I27" s="3"/>
      <c r="J27" s="3"/>
      <c r="K27" s="100"/>
      <c r="L27" s="143" t="s">
        <v>816</v>
      </c>
      <c r="M27" s="3"/>
      <c r="N27" s="3"/>
      <c r="O27" s="3"/>
      <c r="P27" s="3"/>
      <c r="Q27" s="3"/>
      <c r="R27" s="3"/>
      <c r="U27" s="107"/>
      <c r="V27" s="3"/>
      <c r="W27" s="3"/>
      <c r="X27" s="3"/>
      <c r="Y27" s="3"/>
      <c r="Z27" s="3"/>
      <c r="AA27" s="3"/>
      <c r="AB27" s="3"/>
      <c r="AC27" s="3"/>
      <c r="AD27" s="3"/>
      <c r="AE27" s="3"/>
      <c r="AF27" s="3"/>
      <c r="AG27" s="3"/>
      <c r="AH27" s="3"/>
      <c r="AI27" s="3"/>
      <c r="AJ27" s="3"/>
      <c r="AK27" s="107"/>
      <c r="AL27" s="3"/>
      <c r="AM27" s="145" t="s">
        <v>822</v>
      </c>
      <c r="AN27" s="3"/>
      <c r="AO27" s="3"/>
      <c r="AP27" s="3"/>
      <c r="AQ27" s="3"/>
      <c r="AR27" s="3"/>
      <c r="AS27" s="3"/>
      <c r="AT27" s="3"/>
    </row>
    <row r="28" spans="1:46" ht="15.6" customHeight="1" x14ac:dyDescent="0.3">
      <c r="A28" s="3"/>
      <c r="B28" s="3"/>
      <c r="C28" s="3"/>
      <c r="D28" s="3"/>
      <c r="E28" s="51"/>
      <c r="F28" s="51"/>
      <c r="G28" s="3"/>
      <c r="H28" s="3"/>
      <c r="I28" s="3"/>
      <c r="J28" s="3"/>
      <c r="K28" s="100"/>
      <c r="L28" s="142" t="s">
        <v>815</v>
      </c>
      <c r="M28" s="3"/>
      <c r="N28" s="3"/>
      <c r="O28" s="3"/>
      <c r="P28" s="3"/>
      <c r="Q28" s="3"/>
      <c r="R28" s="3"/>
      <c r="U28" s="107"/>
      <c r="V28" s="3"/>
      <c r="W28" s="3"/>
      <c r="X28" s="3"/>
      <c r="Y28" s="3"/>
      <c r="Z28" s="3"/>
      <c r="AA28" s="3"/>
      <c r="AB28" s="3"/>
      <c r="AC28" s="3"/>
      <c r="AD28" s="3"/>
      <c r="AE28" s="3"/>
      <c r="AF28" s="3"/>
      <c r="AG28" s="3"/>
      <c r="AH28" s="3"/>
      <c r="AI28" s="3"/>
      <c r="AJ28" s="3"/>
      <c r="AK28" s="107"/>
      <c r="AL28" s="3"/>
      <c r="AM28" s="3"/>
      <c r="AN28" s="3"/>
      <c r="AO28" s="3"/>
      <c r="AP28" s="3"/>
      <c r="AQ28" s="3"/>
      <c r="AR28" s="3"/>
      <c r="AS28" s="3"/>
      <c r="AT28" s="3"/>
    </row>
    <row r="29" spans="1:46" ht="15.6" customHeight="1" x14ac:dyDescent="0.3">
      <c r="A29" s="3"/>
      <c r="B29" s="3"/>
      <c r="C29" s="1" t="s">
        <v>770</v>
      </c>
      <c r="D29" s="1" t="s">
        <v>802</v>
      </c>
      <c r="E29" s="155"/>
      <c r="F29" s="51"/>
      <c r="G29" s="3"/>
      <c r="H29" s="134" t="s">
        <v>807</v>
      </c>
      <c r="I29" s="157">
        <f>CORREL(H12:H23,I12:I23)</f>
        <v>0.57576270590322565</v>
      </c>
      <c r="J29" s="3"/>
      <c r="K29" s="100"/>
      <c r="L29" s="97"/>
      <c r="M29" s="3"/>
      <c r="N29" s="3"/>
      <c r="O29" s="3"/>
      <c r="P29" s="3"/>
      <c r="Q29" s="3"/>
      <c r="R29" s="3"/>
      <c r="U29" s="107"/>
      <c r="V29" s="3"/>
      <c r="W29" s="3"/>
      <c r="X29" s="3"/>
      <c r="Y29" s="3"/>
      <c r="Z29" s="3"/>
      <c r="AA29" s="3"/>
      <c r="AB29" s="3"/>
      <c r="AC29" s="3"/>
      <c r="AD29" s="3"/>
      <c r="AE29" s="3"/>
      <c r="AF29" s="3"/>
      <c r="AG29" s="3"/>
      <c r="AH29" s="3"/>
      <c r="AI29" s="3"/>
      <c r="AJ29" s="3"/>
      <c r="AK29" s="107"/>
      <c r="AL29" s="3"/>
      <c r="AM29" s="3"/>
      <c r="AN29" s="3"/>
      <c r="AO29" s="3"/>
      <c r="AP29" s="3"/>
      <c r="AQ29" s="3"/>
      <c r="AR29" s="3"/>
      <c r="AS29" s="3"/>
      <c r="AT29" s="3"/>
    </row>
    <row r="30" spans="1:46" ht="15.6" customHeight="1" x14ac:dyDescent="0.3">
      <c r="A30" s="3"/>
      <c r="B30" s="3"/>
      <c r="C30" s="154">
        <v>40000</v>
      </c>
      <c r="D30" s="159">
        <f>8.5888*C30+216640</f>
        <v>560192</v>
      </c>
      <c r="E30" s="158"/>
      <c r="G30" s="3"/>
      <c r="H30" s="3"/>
      <c r="I30" s="156"/>
      <c r="J30" s="3"/>
      <c r="K30" s="100"/>
      <c r="L30" s="143" t="s">
        <v>817</v>
      </c>
      <c r="M30" s="3"/>
      <c r="N30" s="3"/>
      <c r="O30" s="3"/>
      <c r="P30" s="3"/>
      <c r="Q30" s="3"/>
      <c r="R30" s="3"/>
      <c r="U30" s="107"/>
      <c r="V30" s="3"/>
      <c r="W30" s="3"/>
      <c r="X30" s="3"/>
      <c r="Y30" s="3"/>
      <c r="Z30" s="3"/>
      <c r="AA30" s="3"/>
      <c r="AB30" s="3"/>
      <c r="AC30" s="3"/>
      <c r="AD30" s="3"/>
      <c r="AE30" s="3"/>
      <c r="AF30" s="3"/>
      <c r="AG30" s="3"/>
      <c r="AH30" s="3"/>
      <c r="AI30" s="3"/>
      <c r="AJ30" s="3"/>
      <c r="AK30" s="107"/>
      <c r="AL30" s="3"/>
      <c r="AM30" s="3"/>
      <c r="AN30" s="3"/>
      <c r="AO30" s="3"/>
      <c r="AP30" s="3"/>
      <c r="AQ30" s="3"/>
      <c r="AR30" s="3"/>
      <c r="AS30" s="3"/>
      <c r="AT30" s="3"/>
    </row>
    <row r="31" spans="1:46" ht="18.600000000000001" customHeight="1" x14ac:dyDescent="0.3">
      <c r="A31" s="3"/>
      <c r="B31" s="3"/>
      <c r="C31" s="154">
        <v>50000</v>
      </c>
      <c r="D31" s="159">
        <f t="shared" ref="D31:D36" si="4">8.5888*C31+216640</f>
        <v>646080</v>
      </c>
      <c r="E31" s="107"/>
      <c r="H31" s="239" t="s">
        <v>810</v>
      </c>
      <c r="I31" s="240"/>
      <c r="J31" s="3"/>
      <c r="K31" s="100"/>
      <c r="L31" s="142" t="s">
        <v>818</v>
      </c>
      <c r="M31" s="3"/>
      <c r="N31" s="3"/>
      <c r="O31" s="3"/>
      <c r="P31" s="3"/>
      <c r="Q31" s="3"/>
      <c r="R31" s="3"/>
      <c r="U31" s="107"/>
      <c r="V31" s="3"/>
      <c r="W31" s="3"/>
      <c r="X31" s="3"/>
      <c r="Y31" s="3"/>
      <c r="Z31" s="3"/>
      <c r="AA31" s="3"/>
      <c r="AB31" s="3"/>
      <c r="AC31" s="3"/>
      <c r="AD31" s="3"/>
      <c r="AE31" s="3"/>
      <c r="AF31" s="3"/>
      <c r="AG31" s="3"/>
      <c r="AH31" s="3"/>
      <c r="AI31" s="3"/>
      <c r="AJ31" s="3"/>
      <c r="AK31" s="107"/>
      <c r="AL31" s="3"/>
      <c r="AM31" s="3"/>
      <c r="AN31" s="3"/>
      <c r="AO31" s="3"/>
      <c r="AP31" s="3"/>
      <c r="AQ31" s="3"/>
      <c r="AR31" s="3"/>
      <c r="AS31" s="3"/>
      <c r="AT31" s="3"/>
    </row>
    <row r="32" spans="1:46" ht="16.8" customHeight="1" x14ac:dyDescent="0.3">
      <c r="A32" s="3"/>
      <c r="B32" s="3"/>
      <c r="C32" s="154">
        <v>60000</v>
      </c>
      <c r="D32" s="159">
        <f t="shared" si="4"/>
        <v>731968</v>
      </c>
      <c r="E32" s="107"/>
      <c r="G32" s="3"/>
      <c r="H32" s="241" t="s">
        <v>808</v>
      </c>
      <c r="I32" s="242"/>
      <c r="J32" s="3"/>
      <c r="K32" s="100"/>
      <c r="L32" s="97" t="s">
        <v>814</v>
      </c>
      <c r="M32" s="3"/>
      <c r="N32" s="3"/>
      <c r="O32" s="3"/>
      <c r="P32" s="3"/>
      <c r="Q32" s="3"/>
      <c r="R32" s="3"/>
      <c r="U32" s="107"/>
      <c r="V32" s="3"/>
      <c r="W32" s="3"/>
      <c r="X32" s="3"/>
      <c r="Y32" s="3"/>
      <c r="Z32" s="3"/>
      <c r="AA32" s="3"/>
      <c r="AB32" s="3"/>
      <c r="AC32" s="3"/>
      <c r="AD32" s="3"/>
      <c r="AE32" s="3"/>
      <c r="AF32" s="3"/>
      <c r="AG32" s="3"/>
      <c r="AH32" s="3"/>
      <c r="AI32" s="3"/>
      <c r="AJ32" s="3"/>
      <c r="AK32" s="107"/>
      <c r="AL32" s="3"/>
      <c r="AM32" s="3"/>
      <c r="AN32" s="3"/>
      <c r="AO32" s="3"/>
      <c r="AP32" s="3"/>
      <c r="AQ32" s="3"/>
      <c r="AR32" s="3"/>
      <c r="AS32" s="3"/>
      <c r="AT32" s="3"/>
    </row>
    <row r="33" spans="1:138" ht="15.6" customHeight="1" x14ac:dyDescent="0.3">
      <c r="A33" s="3"/>
      <c r="B33" s="3"/>
      <c r="C33" s="154">
        <v>70000</v>
      </c>
      <c r="D33" s="159">
        <f t="shared" si="4"/>
        <v>817856.00000000012</v>
      </c>
      <c r="E33" s="107"/>
      <c r="F33" s="3"/>
      <c r="G33" s="3"/>
      <c r="H33" s="232" t="s">
        <v>809</v>
      </c>
      <c r="I33" s="233"/>
      <c r="J33" s="3"/>
      <c r="K33" s="100"/>
      <c r="L33" s="97"/>
      <c r="M33" s="3"/>
      <c r="N33" s="3"/>
      <c r="O33" s="3"/>
      <c r="P33" s="3"/>
      <c r="Q33" s="3"/>
      <c r="R33" s="3"/>
      <c r="U33" s="107"/>
      <c r="V33" s="3"/>
      <c r="W33" s="3"/>
      <c r="X33" s="3"/>
      <c r="Y33" s="3"/>
      <c r="Z33" s="3"/>
      <c r="AA33" s="3"/>
      <c r="AB33" s="3"/>
      <c r="AC33" s="3"/>
      <c r="AD33" s="3"/>
      <c r="AE33" s="3"/>
      <c r="AF33" s="3"/>
      <c r="AG33" s="3"/>
      <c r="AH33" s="3"/>
      <c r="AI33" s="3"/>
      <c r="AJ33" s="3"/>
      <c r="AK33" s="107"/>
      <c r="AL33" s="3"/>
      <c r="AM33" s="3"/>
      <c r="AN33" s="3"/>
      <c r="AO33" s="3"/>
      <c r="AP33" s="3"/>
      <c r="AQ33" s="3"/>
      <c r="AR33" s="3"/>
      <c r="AS33" s="3"/>
      <c r="AT33" s="3"/>
    </row>
    <row r="34" spans="1:138" ht="15.6" customHeight="1" x14ac:dyDescent="0.3">
      <c r="A34" s="3"/>
      <c r="B34" s="3"/>
      <c r="C34" s="154">
        <v>80000</v>
      </c>
      <c r="D34" s="159">
        <f t="shared" si="4"/>
        <v>903744.00000000012</v>
      </c>
      <c r="E34" s="107"/>
      <c r="F34" s="3"/>
      <c r="G34" s="3"/>
      <c r="H34" s="3"/>
      <c r="I34" s="3"/>
      <c r="J34" s="3"/>
      <c r="K34" s="100"/>
      <c r="L34" s="143" t="s">
        <v>820</v>
      </c>
      <c r="M34" s="3"/>
      <c r="N34" s="3"/>
      <c r="O34" s="3"/>
      <c r="P34" s="3"/>
      <c r="Q34" s="3"/>
      <c r="R34" s="3"/>
      <c r="U34" s="107"/>
      <c r="V34" s="3"/>
      <c r="W34" s="3"/>
      <c r="X34" s="3"/>
      <c r="Y34" s="3"/>
      <c r="Z34" s="3"/>
      <c r="AA34" s="3"/>
      <c r="AB34" s="3"/>
      <c r="AC34" s="3"/>
      <c r="AD34" s="3"/>
      <c r="AE34" s="3"/>
      <c r="AF34" s="3"/>
      <c r="AG34" s="3"/>
      <c r="AH34" s="3"/>
      <c r="AI34" s="3"/>
      <c r="AJ34" s="3"/>
      <c r="AK34" s="107"/>
      <c r="AL34" s="3"/>
      <c r="AM34" s="3"/>
      <c r="AN34" s="3"/>
      <c r="AO34" s="3"/>
      <c r="AP34" s="3"/>
      <c r="AQ34" s="3"/>
      <c r="AR34" s="3"/>
      <c r="AS34" s="3"/>
      <c r="AT34" s="3"/>
    </row>
    <row r="35" spans="1:138" ht="15.6" customHeight="1" x14ac:dyDescent="0.3">
      <c r="A35" s="3"/>
      <c r="B35" s="3"/>
      <c r="C35" s="154">
        <v>90000</v>
      </c>
      <c r="D35" s="159">
        <f t="shared" si="4"/>
        <v>989632.00000000012</v>
      </c>
      <c r="E35" s="107"/>
      <c r="F35" s="3"/>
      <c r="G35" s="3"/>
      <c r="H35" s="137" t="s">
        <v>811</v>
      </c>
      <c r="I35" s="138">
        <v>216640</v>
      </c>
      <c r="J35" s="3"/>
      <c r="K35" s="100"/>
      <c r="L35" s="142" t="s">
        <v>819</v>
      </c>
      <c r="M35" s="3"/>
      <c r="N35" s="3"/>
      <c r="O35" s="3"/>
      <c r="P35" s="3"/>
      <c r="Q35" s="3"/>
      <c r="R35" s="3"/>
      <c r="U35" s="107"/>
      <c r="V35" s="3"/>
      <c r="W35" s="90"/>
      <c r="X35" s="90"/>
      <c r="Y35" s="90"/>
      <c r="Z35" s="90"/>
      <c r="AA35" s="90"/>
      <c r="AB35" s="90"/>
      <c r="AC35" s="90"/>
      <c r="AD35" s="90"/>
      <c r="AE35" s="90"/>
      <c r="AF35" s="90"/>
      <c r="AG35" s="90"/>
      <c r="AH35" s="90"/>
      <c r="AI35" s="90"/>
      <c r="AJ35" s="90"/>
      <c r="AK35" s="107"/>
      <c r="AL35" s="3"/>
      <c r="AM35" s="3"/>
      <c r="AN35" s="3"/>
      <c r="AO35" s="3"/>
      <c r="AP35" s="3"/>
      <c r="AQ35" s="3"/>
      <c r="AR35" s="3"/>
      <c r="AS35" s="3"/>
      <c r="AT35" s="3"/>
    </row>
    <row r="36" spans="1:138" ht="15.6" customHeight="1" x14ac:dyDescent="0.3">
      <c r="A36" s="3"/>
      <c r="B36" s="3"/>
      <c r="C36" s="154">
        <v>100000</v>
      </c>
      <c r="D36" s="159">
        <f t="shared" si="4"/>
        <v>1075520</v>
      </c>
      <c r="E36" s="107"/>
      <c r="F36" s="3"/>
      <c r="G36" s="3"/>
      <c r="H36" s="135" t="s">
        <v>812</v>
      </c>
      <c r="I36" s="139">
        <v>10000</v>
      </c>
      <c r="J36" s="3"/>
      <c r="K36" s="100"/>
      <c r="L36" s="3"/>
      <c r="M36" s="3"/>
      <c r="N36" s="3"/>
      <c r="O36" s="3"/>
      <c r="P36" s="3"/>
      <c r="Q36" s="3"/>
      <c r="R36" s="3"/>
      <c r="U36" s="107"/>
      <c r="V36" s="3"/>
      <c r="W36" s="3"/>
      <c r="X36" s="3"/>
      <c r="Y36" s="3"/>
      <c r="Z36" s="3"/>
      <c r="AA36" s="3"/>
      <c r="AB36" s="3"/>
      <c r="AC36" s="3"/>
      <c r="AD36" s="3"/>
      <c r="AE36" s="3"/>
      <c r="AF36" s="3"/>
      <c r="AG36" s="3"/>
      <c r="AH36" s="3"/>
      <c r="AI36" s="3"/>
      <c r="AJ36" s="3"/>
      <c r="AK36" s="107"/>
      <c r="AL36" s="3"/>
      <c r="AM36" s="3"/>
      <c r="AN36" s="3"/>
      <c r="AO36" s="3"/>
      <c r="AP36" s="3"/>
      <c r="AQ36" s="3"/>
      <c r="AR36" s="3"/>
      <c r="AS36" s="3"/>
      <c r="AT36" s="3"/>
    </row>
    <row r="37" spans="1:138" ht="15.6" customHeight="1" x14ac:dyDescent="0.3">
      <c r="A37" s="3"/>
      <c r="B37" s="3"/>
      <c r="C37" s="90"/>
      <c r="D37" s="90"/>
      <c r="E37" s="107"/>
      <c r="F37" s="3"/>
      <c r="G37" s="3"/>
      <c r="H37" s="136" t="s">
        <v>813</v>
      </c>
      <c r="I37" s="140">
        <f>IFERROR(IF(I36="","Enter marketing spend as x",8.5888*I36+I35),"")</f>
        <v>302528</v>
      </c>
      <c r="J37" s="3"/>
      <c r="K37" s="100"/>
      <c r="L37" s="3"/>
      <c r="M37" s="3"/>
      <c r="N37" s="3"/>
      <c r="O37" s="3"/>
      <c r="P37" s="3"/>
      <c r="Q37" s="3"/>
      <c r="R37" s="3"/>
      <c r="U37" s="107"/>
      <c r="V37" s="3"/>
      <c r="W37" s="3"/>
      <c r="X37" s="3"/>
      <c r="Y37" s="3"/>
      <c r="Z37" s="3"/>
      <c r="AA37" s="3"/>
      <c r="AB37" s="3"/>
      <c r="AC37" s="3"/>
      <c r="AD37" s="3"/>
      <c r="AE37" s="3"/>
      <c r="AF37" s="3"/>
      <c r="AG37" s="3"/>
      <c r="AH37" s="3"/>
      <c r="AI37" s="3"/>
      <c r="AJ37" s="3"/>
      <c r="AK37" s="107"/>
      <c r="AL37" s="3"/>
      <c r="AM37" s="3"/>
      <c r="AN37" s="3"/>
      <c r="AO37" s="3"/>
      <c r="AP37" s="3"/>
      <c r="AQ37" s="3"/>
      <c r="AR37" s="3"/>
      <c r="AS37" s="3"/>
      <c r="AT37" s="3"/>
    </row>
    <row r="38" spans="1:138" ht="21" customHeight="1" x14ac:dyDescent="0.3">
      <c r="A38" s="3"/>
      <c r="B38" s="3"/>
      <c r="C38" s="3"/>
      <c r="D38" s="3"/>
      <c r="E38" s="3"/>
      <c r="F38" s="3"/>
      <c r="G38" s="3"/>
      <c r="H38" s="152"/>
      <c r="I38" s="153"/>
      <c r="J38" s="3"/>
      <c r="K38" s="100"/>
      <c r="L38" s="3"/>
      <c r="M38" s="3"/>
      <c r="N38" s="3"/>
      <c r="O38" s="3"/>
      <c r="P38" s="3"/>
      <c r="Q38" s="3"/>
      <c r="R38" s="3"/>
      <c r="U38" s="107"/>
      <c r="V38" s="3"/>
      <c r="W38" s="3"/>
      <c r="X38" s="3"/>
      <c r="Y38" s="3"/>
      <c r="Z38" s="3"/>
      <c r="AA38" s="3"/>
      <c r="AB38" s="3"/>
      <c r="AC38" s="3"/>
      <c r="AD38" s="3"/>
      <c r="AE38" s="3"/>
      <c r="AF38" s="3"/>
      <c r="AG38" s="3"/>
      <c r="AH38" s="3"/>
      <c r="AI38" s="3"/>
      <c r="AJ38" s="3"/>
      <c r="AK38" s="107"/>
      <c r="AL38" s="3"/>
      <c r="AM38" s="3"/>
      <c r="AN38" s="3"/>
      <c r="AO38" s="3"/>
      <c r="AP38" s="3"/>
      <c r="AQ38" s="3"/>
      <c r="AR38" s="3"/>
      <c r="AS38" s="3"/>
      <c r="AT38" s="3"/>
    </row>
    <row r="39" spans="1:138" ht="15.6" customHeight="1" x14ac:dyDescent="0.3">
      <c r="A39" s="116"/>
      <c r="B39" s="116"/>
      <c r="C39" s="116"/>
      <c r="D39" s="116"/>
      <c r="E39" s="116"/>
      <c r="F39" s="116"/>
      <c r="G39" s="116"/>
      <c r="H39" s="116"/>
      <c r="I39" s="116"/>
      <c r="J39" s="116"/>
      <c r="K39" s="116"/>
      <c r="L39" s="116"/>
      <c r="M39" s="116"/>
      <c r="N39" s="116"/>
      <c r="O39" s="116"/>
      <c r="P39" s="116"/>
      <c r="Q39" s="116"/>
      <c r="R39" s="116"/>
      <c r="S39" s="116"/>
      <c r="T39" s="116"/>
      <c r="U39" s="116"/>
      <c r="V39" s="116"/>
      <c r="W39" s="116"/>
      <c r="X39" s="116"/>
      <c r="Y39" s="116"/>
      <c r="Z39" s="116"/>
      <c r="AA39" s="116"/>
      <c r="AB39" s="116"/>
      <c r="AC39" s="116"/>
      <c r="AD39" s="116"/>
      <c r="AE39" s="116"/>
      <c r="AF39" s="116"/>
      <c r="AG39" s="116"/>
      <c r="AH39" s="116"/>
      <c r="AI39" s="116"/>
      <c r="AJ39" s="116"/>
      <c r="AK39" s="116"/>
      <c r="AL39" s="116"/>
      <c r="AM39" s="116"/>
      <c r="AN39" s="116"/>
      <c r="AO39" s="116"/>
      <c r="AP39" s="116"/>
      <c r="AQ39" s="116"/>
      <c r="AR39" s="116"/>
      <c r="AS39" s="116"/>
      <c r="AT39" s="116"/>
      <c r="AU39" s="116"/>
      <c r="AV39" s="116"/>
      <c r="AW39" s="116"/>
      <c r="AX39" s="116"/>
      <c r="AY39" s="116"/>
      <c r="AZ39" s="116"/>
      <c r="BA39" s="116"/>
      <c r="BB39" s="116"/>
      <c r="BC39" s="116"/>
      <c r="BD39" s="116"/>
      <c r="BE39" s="116"/>
      <c r="BF39" s="116"/>
      <c r="BG39" s="116"/>
      <c r="BH39" s="116"/>
      <c r="BI39" s="116"/>
      <c r="BJ39" s="116"/>
      <c r="BK39" s="116"/>
      <c r="BL39" s="116"/>
      <c r="BM39" s="116"/>
      <c r="BN39" s="116"/>
      <c r="BO39" s="116"/>
      <c r="BP39" s="116"/>
      <c r="BQ39" s="116"/>
      <c r="BR39" s="116"/>
      <c r="BS39" s="116"/>
      <c r="BT39" s="116"/>
      <c r="BU39" s="116"/>
      <c r="BV39" s="116"/>
      <c r="BW39" s="116"/>
      <c r="BX39" s="116"/>
      <c r="BY39" s="116"/>
      <c r="BZ39" s="116"/>
      <c r="CA39" s="116"/>
      <c r="CB39" s="116"/>
      <c r="CC39" s="116"/>
      <c r="CD39" s="116"/>
      <c r="CE39" s="116"/>
      <c r="CF39" s="116"/>
      <c r="CG39" s="116"/>
      <c r="CH39" s="116"/>
      <c r="CI39" s="116"/>
      <c r="CJ39" s="116"/>
      <c r="CK39" s="116"/>
      <c r="CL39" s="116"/>
      <c r="CM39" s="116"/>
      <c r="CN39" s="116"/>
      <c r="CO39" s="116"/>
      <c r="CP39" s="116"/>
      <c r="CQ39" s="116"/>
      <c r="CR39" s="116"/>
      <c r="CS39" s="116"/>
      <c r="CT39" s="116"/>
      <c r="CU39" s="116"/>
      <c r="CV39" s="116"/>
      <c r="CW39" s="116"/>
      <c r="CX39" s="116"/>
      <c r="CY39" s="116"/>
      <c r="CZ39" s="116"/>
      <c r="DA39" s="116"/>
      <c r="DB39" s="116"/>
      <c r="DC39" s="116"/>
      <c r="DD39" s="116"/>
      <c r="DE39" s="116"/>
      <c r="DF39" s="116"/>
      <c r="DG39" s="116"/>
      <c r="DH39" s="116"/>
      <c r="DI39" s="116"/>
      <c r="DJ39" s="116"/>
      <c r="DK39" s="116"/>
      <c r="DL39" s="116"/>
      <c r="DM39" s="116"/>
      <c r="DN39" s="116"/>
      <c r="DO39" s="116"/>
      <c r="DP39" s="116"/>
      <c r="DQ39" s="116"/>
      <c r="DR39" s="116"/>
      <c r="DS39" s="116"/>
      <c r="DT39" s="116"/>
      <c r="DU39" s="116"/>
      <c r="DV39" s="116"/>
      <c r="DW39" s="116"/>
      <c r="DX39" s="116"/>
      <c r="DY39" s="116"/>
      <c r="DZ39" s="116"/>
      <c r="EA39" s="116"/>
      <c r="EB39" s="116"/>
      <c r="EC39" s="116"/>
      <c r="ED39" s="116"/>
      <c r="EE39" s="116"/>
      <c r="EF39" s="116"/>
      <c r="EG39" s="116"/>
      <c r="EH39" s="116"/>
    </row>
    <row r="40" spans="1:138" ht="15.6" customHeight="1" x14ac:dyDescent="0.3">
      <c r="A40" s="3"/>
      <c r="B40" s="3"/>
      <c r="C40" s="3"/>
      <c r="D40" s="3"/>
      <c r="E40" s="3"/>
      <c r="F40" s="3"/>
      <c r="G40" s="3"/>
      <c r="H40" s="3"/>
      <c r="I40" s="3"/>
      <c r="J40" s="3"/>
      <c r="K40" s="3"/>
      <c r="L40" s="141"/>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row>
    <row r="41" spans="1:138" ht="15.6" customHeight="1" x14ac:dyDescent="0.3">
      <c r="A41" s="3"/>
      <c r="B41" s="3"/>
      <c r="C41" s="3"/>
      <c r="D41" s="3"/>
      <c r="E41" s="3"/>
      <c r="F41" s="3"/>
      <c r="G41" s="3"/>
      <c r="H41" s="3"/>
      <c r="I41" s="3"/>
      <c r="J41" s="3"/>
      <c r="K41" s="3"/>
      <c r="L41" s="97"/>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234" t="s">
        <v>796</v>
      </c>
      <c r="AN41" s="234"/>
      <c r="AO41" s="234"/>
      <c r="AP41" s="234"/>
      <c r="AQ41" s="3"/>
      <c r="AR41" s="234" t="s">
        <v>800</v>
      </c>
      <c r="AS41" s="234"/>
      <c r="AT41" s="3"/>
    </row>
    <row r="42" spans="1:138" ht="15.6" customHeight="1" x14ac:dyDescent="0.3">
      <c r="A42" s="3"/>
      <c r="B42" s="3"/>
      <c r="C42" s="3"/>
      <c r="D42" s="3"/>
      <c r="E42" s="3"/>
      <c r="F42" s="3"/>
      <c r="G42" s="3"/>
      <c r="H42" s="3"/>
      <c r="I42" s="3"/>
      <c r="J42" s="3"/>
      <c r="K42" s="3"/>
      <c r="L42" s="142"/>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row>
    <row r="43" spans="1:138" ht="15.6" customHeight="1" x14ac:dyDescent="0.3">
      <c r="A43" s="3"/>
      <c r="B43" s="3"/>
      <c r="K43" s="3"/>
      <c r="L43" s="97"/>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125" t="s">
        <v>797</v>
      </c>
      <c r="AN43" s="127" t="s">
        <v>802</v>
      </c>
      <c r="AO43" s="125" t="s">
        <v>798</v>
      </c>
      <c r="AP43" s="127" t="s">
        <v>799</v>
      </c>
      <c r="AQ43" s="3"/>
      <c r="AR43" s="127" t="s">
        <v>801</v>
      </c>
      <c r="AS43" s="128" t="s">
        <v>771</v>
      </c>
      <c r="AT43" s="3"/>
    </row>
    <row r="44" spans="1:138" ht="15.6" customHeight="1" x14ac:dyDescent="0.3">
      <c r="A44" s="3"/>
      <c r="B44" s="3"/>
      <c r="K44" s="3"/>
      <c r="L44" s="97"/>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v>1</v>
      </c>
      <c r="AN44" s="126">
        <v>650427.57464081096</v>
      </c>
      <c r="AO44" s="126">
        <v>-358749.57464081096</v>
      </c>
      <c r="AP44" s="126">
        <v>-1.3073073101229624</v>
      </c>
      <c r="AQ44" s="3"/>
      <c r="AR44" s="126">
        <v>4.166666666666667</v>
      </c>
      <c r="AS44" s="126">
        <v>135654</v>
      </c>
      <c r="AT44" s="3"/>
    </row>
    <row r="45" spans="1:138" ht="15.6" customHeight="1" x14ac:dyDescent="0.3">
      <c r="A45" s="3"/>
      <c r="B45" s="3"/>
      <c r="K45" s="3"/>
      <c r="L45" s="97"/>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v>2</v>
      </c>
      <c r="AN45" s="126">
        <v>650427.57464081096</v>
      </c>
      <c r="AO45" s="126">
        <v>-253167.57464081096</v>
      </c>
      <c r="AP45" s="126">
        <v>-0.92255947995312926</v>
      </c>
      <c r="AQ45" s="3"/>
      <c r="AR45" s="126">
        <v>12.5</v>
      </c>
      <c r="AS45" s="126">
        <v>275503</v>
      </c>
      <c r="AT45" s="3"/>
    </row>
    <row r="46" spans="1:138" ht="15.6" customHeight="1" x14ac:dyDescent="0.3">
      <c r="A46" s="3"/>
      <c r="B46" s="3"/>
      <c r="K46" s="3"/>
      <c r="L46" s="141"/>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v>3</v>
      </c>
      <c r="AN46" s="126">
        <v>650427.57464081096</v>
      </c>
      <c r="AO46" s="126">
        <v>-214312.57464081096</v>
      </c>
      <c r="AP46" s="126">
        <v>-0.78096927573982711</v>
      </c>
      <c r="AQ46" s="3"/>
      <c r="AR46" s="126">
        <v>20.833333333333336</v>
      </c>
      <c r="AS46" s="126">
        <v>291678</v>
      </c>
      <c r="AT46" s="3"/>
    </row>
    <row r="47" spans="1:138" ht="15.6" customHeight="1" x14ac:dyDescent="0.3">
      <c r="A47" s="3"/>
      <c r="B47" s="3"/>
      <c r="K47" s="3"/>
      <c r="L47" s="97"/>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v>4</v>
      </c>
      <c r="AN47" s="126">
        <v>650427.57464081096</v>
      </c>
      <c r="AO47" s="126">
        <v>477406.42535918904</v>
      </c>
      <c r="AP47" s="126">
        <v>1.7397007659078669</v>
      </c>
      <c r="AQ47" s="3"/>
      <c r="AR47" s="126">
        <v>29.166666666666668</v>
      </c>
      <c r="AS47" s="126">
        <v>321094</v>
      </c>
      <c r="AT47" s="3"/>
    </row>
    <row r="48" spans="1:138" ht="15.6" customHeight="1" x14ac:dyDescent="0.3">
      <c r="A48" s="3"/>
      <c r="B48" s="3"/>
      <c r="K48" s="3"/>
      <c r="L48" s="142"/>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v>5</v>
      </c>
      <c r="AN48" s="126">
        <v>391129.09408798773</v>
      </c>
      <c r="AO48" s="126">
        <v>188575.90591201227</v>
      </c>
      <c r="AP48" s="126">
        <v>0.68718314316793905</v>
      </c>
      <c r="AQ48" s="3"/>
      <c r="AR48" s="126">
        <v>37.5</v>
      </c>
      <c r="AS48" s="126">
        <v>397260</v>
      </c>
      <c r="AT48" s="3"/>
    </row>
    <row r="49" spans="1:46" ht="15.6" customHeight="1" x14ac:dyDescent="0.3">
      <c r="A49" s="3"/>
      <c r="B49" s="3"/>
      <c r="K49" s="3"/>
      <c r="L49" s="97"/>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v>6</v>
      </c>
      <c r="AN49" s="126">
        <v>391129.09408798773</v>
      </c>
      <c r="AO49" s="126">
        <v>-70035.094087987731</v>
      </c>
      <c r="AP49" s="126">
        <v>-0.25521254083170797</v>
      </c>
      <c r="AQ49" s="3"/>
      <c r="AR49" s="126">
        <v>45.833333333333336</v>
      </c>
      <c r="AS49" s="126">
        <v>436115</v>
      </c>
      <c r="AT49" s="3"/>
    </row>
    <row r="50" spans="1:46" ht="15.6" customHeight="1" x14ac:dyDescent="0.3">
      <c r="A50" s="3"/>
      <c r="B50" s="3"/>
      <c r="K50" s="3"/>
      <c r="L50" s="97"/>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v>7</v>
      </c>
      <c r="AN50" s="126">
        <v>881691.56845441519</v>
      </c>
      <c r="AO50" s="126">
        <v>-169671.56845441519</v>
      </c>
      <c r="AP50" s="126">
        <v>-0.61829448016090394</v>
      </c>
      <c r="AQ50" s="3"/>
      <c r="AR50" s="126">
        <v>54.166666666666664</v>
      </c>
      <c r="AS50" s="126">
        <v>571967</v>
      </c>
      <c r="AT50" s="3"/>
    </row>
    <row r="51" spans="1:46" ht="15.6" customHeight="1" x14ac:dyDescent="0.3">
      <c r="A51" s="3"/>
      <c r="B51" s="3"/>
      <c r="K51" s="3"/>
      <c r="L51" s="97"/>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v>8</v>
      </c>
      <c r="AN51" s="126">
        <v>881691.56845441519</v>
      </c>
      <c r="AO51" s="126">
        <v>354050.43154558481</v>
      </c>
      <c r="AP51" s="126">
        <v>1.2901833201479116</v>
      </c>
      <c r="AQ51" s="3"/>
      <c r="AR51" s="126">
        <v>62.5</v>
      </c>
      <c r="AS51" s="126">
        <v>579705</v>
      </c>
      <c r="AT51" s="3"/>
    </row>
    <row r="52" spans="1:46" ht="15.6" customHeight="1" x14ac:dyDescent="0.3">
      <c r="A52" s="3"/>
      <c r="B52" s="3"/>
      <c r="K52" s="3"/>
      <c r="L52" s="141"/>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v>9</v>
      </c>
      <c r="AN52" s="126">
        <v>391129.09408798773</v>
      </c>
      <c r="AO52" s="126">
        <v>236166.90591201227</v>
      </c>
      <c r="AP52" s="126">
        <v>0.86060791240523826</v>
      </c>
      <c r="AQ52" s="3"/>
      <c r="AR52" s="126">
        <v>70.833333333333343</v>
      </c>
      <c r="AS52" s="126">
        <v>627296</v>
      </c>
      <c r="AT52" s="3"/>
    </row>
    <row r="53" spans="1:46" ht="15.6" customHeight="1" x14ac:dyDescent="0.3">
      <c r="A53" s="3"/>
      <c r="B53" s="3"/>
      <c r="K53" s="3"/>
      <c r="L53" s="97"/>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v>10</v>
      </c>
      <c r="AN53" s="126">
        <v>391129.09408798773</v>
      </c>
      <c r="AO53" s="126">
        <v>-115626.09408798773</v>
      </c>
      <c r="AP53" s="126">
        <v>-0.42134917705069286</v>
      </c>
      <c r="AQ53" s="3"/>
      <c r="AR53" s="126">
        <v>79.166666666666671</v>
      </c>
      <c r="AS53" s="126">
        <v>712020</v>
      </c>
      <c r="AT53" s="3"/>
    </row>
    <row r="54" spans="1:46" ht="15.6" customHeight="1" x14ac:dyDescent="0.3">
      <c r="A54" s="3"/>
      <c r="B54" s="3"/>
      <c r="K54" s="3"/>
      <c r="L54" s="142"/>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v>11</v>
      </c>
      <c r="AN54" s="126">
        <v>391129.09408798773</v>
      </c>
      <c r="AO54" s="126">
        <v>180837.90591201227</v>
      </c>
      <c r="AP54" s="126">
        <v>0.65898535652008072</v>
      </c>
      <c r="AQ54" s="3"/>
      <c r="AR54" s="126">
        <v>87.500000000000014</v>
      </c>
      <c r="AS54" s="126">
        <v>1127834</v>
      </c>
      <c r="AT54" s="3"/>
    </row>
    <row r="55" spans="1:46" ht="15.6" customHeight="1" x14ac:dyDescent="0.3">
      <c r="A55" s="3"/>
      <c r="B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90">
        <v>12</v>
      </c>
      <c r="AN55" s="129">
        <v>391129.09408798773</v>
      </c>
      <c r="AO55" s="129">
        <v>-255475.09408798773</v>
      </c>
      <c r="AP55" s="129">
        <v>-0.93096823428981501</v>
      </c>
      <c r="AQ55" s="3"/>
      <c r="AR55" s="129">
        <v>95.833333333333343</v>
      </c>
      <c r="AS55" s="129">
        <v>1235742</v>
      </c>
      <c r="AT55" s="3"/>
    </row>
    <row r="56" spans="1:46" ht="15.6" customHeight="1" x14ac:dyDescent="0.3">
      <c r="A56" s="3"/>
      <c r="B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row>
  </sheetData>
  <mergeCells count="17">
    <mergeCell ref="H32:I32"/>
    <mergeCell ref="H33:I33"/>
    <mergeCell ref="AU1:AZ1"/>
    <mergeCell ref="AM41:AP41"/>
    <mergeCell ref="AR41:AS41"/>
    <mergeCell ref="A1:J1"/>
    <mergeCell ref="K1:AB1"/>
    <mergeCell ref="AC1:AK1"/>
    <mergeCell ref="AL1:AT1"/>
    <mergeCell ref="AM4:AS4"/>
    <mergeCell ref="L5:M5"/>
    <mergeCell ref="O5:Q5"/>
    <mergeCell ref="L7:M7"/>
    <mergeCell ref="L14:M14"/>
    <mergeCell ref="K25:N25"/>
    <mergeCell ref="AL25:AO25"/>
    <mergeCell ref="H31:I3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7757A-2446-4C2E-A6EE-119E205300B0}">
  <sheetPr>
    <tabColor rgb="FF002060"/>
  </sheetPr>
  <dimension ref="A1:F41"/>
  <sheetViews>
    <sheetView showGridLines="0" zoomScaleNormal="100" workbookViewId="0">
      <selection activeCell="F55" sqref="F55"/>
    </sheetView>
  </sheetViews>
  <sheetFormatPr defaultRowHeight="14.4" x14ac:dyDescent="0.3"/>
  <cols>
    <col min="1" max="1" width="7.21875" style="161" customWidth="1"/>
    <col min="2" max="2" width="8.88671875" style="161"/>
    <col min="3" max="3" width="52.44140625" style="161" customWidth="1"/>
    <col min="4" max="4" width="33.88671875" style="161" customWidth="1"/>
    <col min="5" max="5" width="5" style="161" customWidth="1"/>
    <col min="6" max="6" width="69.77734375" style="161" customWidth="1"/>
    <col min="7" max="16384" width="8.88671875" style="161"/>
  </cols>
  <sheetData>
    <row r="1" spans="1:6" s="218" customFormat="1" ht="9" customHeight="1" x14ac:dyDescent="0.3"/>
    <row r="2" spans="1:6" ht="14.4" customHeight="1" x14ac:dyDescent="0.3">
      <c r="A2" s="225" t="s">
        <v>863</v>
      </c>
      <c r="B2" s="223"/>
      <c r="C2" s="223"/>
    </row>
    <row r="3" spans="1:6" ht="14.4" customHeight="1" x14ac:dyDescent="0.3"/>
    <row r="4" spans="1:6" ht="14.4" customHeight="1" x14ac:dyDescent="0.3"/>
    <row r="5" spans="1:6" ht="14.4" customHeight="1" thickBot="1" x14ac:dyDescent="0.35"/>
    <row r="6" spans="1:6" ht="15.6" x14ac:dyDescent="0.3">
      <c r="C6" s="219" t="s">
        <v>849</v>
      </c>
      <c r="D6" s="220" t="s">
        <v>850</v>
      </c>
      <c r="E6" s="221"/>
      <c r="F6" s="222" t="s">
        <v>861</v>
      </c>
    </row>
    <row r="7" spans="1:6" x14ac:dyDescent="0.3">
      <c r="C7" s="214"/>
      <c r="D7" s="214"/>
      <c r="E7" s="208"/>
      <c r="F7" s="210"/>
    </row>
    <row r="8" spans="1:6" x14ac:dyDescent="0.3">
      <c r="C8" s="248" t="s">
        <v>857</v>
      </c>
      <c r="D8" s="248" t="s">
        <v>851</v>
      </c>
      <c r="E8" s="209" t="s">
        <v>859</v>
      </c>
      <c r="F8" s="211" t="s">
        <v>852</v>
      </c>
    </row>
    <row r="9" spans="1:6" x14ac:dyDescent="0.3">
      <c r="C9" s="248"/>
      <c r="D9" s="248"/>
      <c r="E9" s="209"/>
      <c r="F9" s="211"/>
    </row>
    <row r="10" spans="1:6" x14ac:dyDescent="0.3">
      <c r="C10" s="248"/>
      <c r="D10" s="248"/>
      <c r="E10" s="209" t="s">
        <v>860</v>
      </c>
      <c r="F10" s="211" t="s">
        <v>853</v>
      </c>
    </row>
    <row r="11" spans="1:6" ht="15" thickBot="1" x14ac:dyDescent="0.35">
      <c r="C11" s="249"/>
      <c r="D11" s="249"/>
      <c r="E11" s="216"/>
      <c r="F11" s="212"/>
    </row>
    <row r="12" spans="1:6" x14ac:dyDescent="0.3">
      <c r="C12" s="215"/>
      <c r="D12" s="215"/>
      <c r="E12" s="209"/>
      <c r="F12" s="211"/>
    </row>
    <row r="13" spans="1:6" x14ac:dyDescent="0.3">
      <c r="C13" s="243" t="s">
        <v>858</v>
      </c>
      <c r="D13" s="215" t="s">
        <v>827</v>
      </c>
      <c r="E13" s="209" t="s">
        <v>859</v>
      </c>
      <c r="F13" s="211" t="s">
        <v>862</v>
      </c>
    </row>
    <row r="14" spans="1:6" ht="15" thickBot="1" x14ac:dyDescent="0.35">
      <c r="C14" s="243"/>
      <c r="D14" s="217"/>
      <c r="E14" s="213"/>
      <c r="F14" s="212"/>
    </row>
    <row r="15" spans="1:6" x14ac:dyDescent="0.3">
      <c r="C15" s="243"/>
      <c r="D15" s="245" t="s">
        <v>854</v>
      </c>
      <c r="E15" s="208"/>
      <c r="F15" s="211"/>
    </row>
    <row r="16" spans="1:6" x14ac:dyDescent="0.3">
      <c r="C16" s="243"/>
      <c r="D16" s="246"/>
      <c r="E16" s="209" t="s">
        <v>859</v>
      </c>
      <c r="F16" s="211" t="s">
        <v>855</v>
      </c>
    </row>
    <row r="17" spans="3:6" x14ac:dyDescent="0.3">
      <c r="C17" s="243"/>
      <c r="D17" s="246"/>
      <c r="E17" s="209"/>
      <c r="F17" s="211"/>
    </row>
    <row r="18" spans="3:6" x14ac:dyDescent="0.3">
      <c r="C18" s="243"/>
      <c r="D18" s="246"/>
      <c r="E18" s="209" t="s">
        <v>860</v>
      </c>
      <c r="F18" s="211" t="s">
        <v>856</v>
      </c>
    </row>
    <row r="19" spans="3:6" ht="15" thickBot="1" x14ac:dyDescent="0.35">
      <c r="C19" s="244"/>
      <c r="D19" s="247"/>
      <c r="E19" s="213"/>
      <c r="F19" s="212"/>
    </row>
    <row r="20" spans="3:6" ht="15" thickBot="1" x14ac:dyDescent="0.35">
      <c r="C20" s="224"/>
      <c r="D20" s="224"/>
      <c r="E20" s="224"/>
      <c r="F20" s="224"/>
    </row>
    <row r="31" spans="3:6" ht="14.4" customHeight="1" x14ac:dyDescent="0.3"/>
    <row r="32" spans="3:6" ht="14.4" customHeight="1" x14ac:dyDescent="0.3"/>
    <row r="33" ht="14.4" customHeight="1" x14ac:dyDescent="0.3"/>
    <row r="34" ht="14.4" customHeight="1" x14ac:dyDescent="0.3"/>
    <row r="35" ht="14.4" customHeight="1" x14ac:dyDescent="0.3"/>
    <row r="36" ht="19.8" customHeight="1" x14ac:dyDescent="0.3"/>
    <row r="37" s="218" customFormat="1" ht="14.4" customHeight="1" x14ac:dyDescent="0.3"/>
    <row r="38" ht="14.4" customHeight="1" x14ac:dyDescent="0.3"/>
    <row r="39" ht="14.4" customHeight="1" x14ac:dyDescent="0.3"/>
    <row r="40" ht="14.4" customHeight="1" x14ac:dyDescent="0.3"/>
    <row r="41" ht="14.4" customHeight="1" x14ac:dyDescent="0.3"/>
  </sheetData>
  <mergeCells count="4">
    <mergeCell ref="C13:C19"/>
    <mergeCell ref="D15:D19"/>
    <mergeCell ref="C8:C11"/>
    <mergeCell ref="D8:D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6172C-6124-4272-9E10-D36E7454E108}">
  <sheetPr>
    <tabColor rgb="FF0070C0"/>
  </sheetPr>
  <dimension ref="A1:JM636"/>
  <sheetViews>
    <sheetView zoomScaleNormal="100" workbookViewId="0">
      <selection activeCell="GQ45" sqref="GQ45"/>
    </sheetView>
  </sheetViews>
  <sheetFormatPr defaultColWidth="8.88671875" defaultRowHeight="14.4" x14ac:dyDescent="0.3"/>
  <cols>
    <col min="1" max="1" width="8.88671875" customWidth="1"/>
    <col min="2" max="2" width="12.5546875" customWidth="1"/>
    <col min="3" max="3" width="11.6640625" bestFit="1" customWidth="1"/>
    <col min="4" max="5" width="10.33203125" customWidth="1"/>
    <col min="6" max="6" width="10.88671875" customWidth="1"/>
    <col min="7" max="12" width="10.33203125" customWidth="1"/>
    <col min="13" max="13" width="8.88671875" style="60" customWidth="1"/>
    <col min="14" max="15" width="8.88671875" customWidth="1"/>
    <col min="16" max="16" width="12.5546875" bestFit="1" customWidth="1"/>
    <col min="17" max="17" width="23" customWidth="1"/>
    <col min="18" max="18" width="23.77734375" customWidth="1"/>
    <col min="19" max="24" width="10.33203125" customWidth="1"/>
    <col min="25" max="25" width="13.77734375" customWidth="1"/>
    <col min="26" max="26" width="23" customWidth="1"/>
    <col min="27" max="27" width="23.77734375" customWidth="1"/>
    <col min="28" max="34" width="8.88671875" customWidth="1"/>
    <col min="35" max="35" width="8.88671875" style="60" customWidth="1"/>
    <col min="36" max="36" width="8.88671875" customWidth="1"/>
    <col min="37" max="37" width="19.6640625" bestFit="1" customWidth="1"/>
    <col min="38" max="38" width="11" customWidth="1"/>
    <col min="39" max="39" width="13.109375" customWidth="1"/>
    <col min="40" max="40" width="21" customWidth="1"/>
    <col min="41" max="41" width="11" customWidth="1"/>
    <col min="42" max="42" width="9.5546875" customWidth="1"/>
    <col min="43" max="43" width="13.77734375" customWidth="1"/>
    <col min="44" max="44" width="11" customWidth="1"/>
    <col min="45" max="46" width="41.5546875" customWidth="1"/>
    <col min="47" max="47" width="8.88671875" customWidth="1"/>
    <col min="48" max="48" width="23" style="5" customWidth="1"/>
    <col min="49" max="49" width="2.88671875" style="5" customWidth="1"/>
    <col min="50" max="50" width="15.77734375" style="5" customWidth="1"/>
    <col min="51" max="52" width="7.21875" style="5" customWidth="1"/>
    <col min="53" max="53" width="2.88671875" style="5" customWidth="1"/>
    <col min="54" max="54" width="15.77734375" style="5" customWidth="1"/>
    <col min="55" max="57" width="15.88671875" style="5" customWidth="1"/>
    <col min="58" max="58" width="31.33203125" style="5" customWidth="1"/>
    <col min="59" max="59" width="23" style="5" bestFit="1" customWidth="1"/>
    <col min="60" max="60" width="11.6640625" style="5" bestFit="1" customWidth="1"/>
    <col min="61" max="61" width="23" style="5" customWidth="1"/>
    <col min="62" max="68" width="8.88671875" style="5" customWidth="1"/>
    <col min="69" max="69" width="8.88671875" style="72" customWidth="1"/>
    <col min="70" max="70" width="8.88671875" style="5" customWidth="1"/>
    <col min="71" max="71" width="12.5546875" style="5" customWidth="1"/>
    <col min="72" max="72" width="11.6640625" style="5" customWidth="1"/>
    <col min="73" max="73" width="13.5546875" style="5" customWidth="1"/>
    <col min="74" max="74" width="15.109375" style="5" customWidth="1"/>
    <col min="75" max="75" width="11.21875" style="5" customWidth="1"/>
    <col min="76" max="77" width="8.88671875" style="5" customWidth="1"/>
    <col min="78" max="78" width="12.6640625" style="5" customWidth="1"/>
    <col min="79" max="86" width="8.88671875" style="5" customWidth="1"/>
    <col min="87" max="87" width="22.33203125" style="5" customWidth="1"/>
    <col min="88" max="88" width="11.6640625" style="5" customWidth="1"/>
    <col min="89" max="89" width="0.5546875" style="5" customWidth="1"/>
    <col min="90" max="90" width="5" style="5" customWidth="1"/>
    <col min="91" max="91" width="8.109375" style="5" customWidth="1"/>
    <col min="92" max="92" width="24.77734375" style="5" customWidth="1"/>
    <col min="93" max="93" width="8.88671875" style="5" customWidth="1"/>
    <col min="94" max="94" width="22.33203125" style="5" customWidth="1"/>
    <col min="95" max="99" width="8.88671875" style="5" customWidth="1"/>
    <col min="100" max="100" width="12.5546875" style="5" customWidth="1"/>
    <col min="101" max="102" width="11.6640625" style="5" customWidth="1"/>
    <col min="103" max="103" width="10.21875" style="5" customWidth="1"/>
    <col min="104" max="104" width="14.109375" style="5" customWidth="1"/>
    <col min="105" max="105" width="22.33203125" style="5" customWidth="1"/>
    <col min="106" max="108" width="10.21875" style="5" customWidth="1"/>
    <col min="109" max="109" width="8.6640625" style="5" customWidth="1"/>
    <col min="110" max="112" width="10.21875" style="5" customWidth="1"/>
    <col min="113" max="113" width="10.109375" style="5" customWidth="1"/>
    <col min="114" max="114" width="12.5546875" style="5" customWidth="1"/>
    <col min="115" max="115" width="11.6640625" style="5" customWidth="1"/>
    <col min="116" max="116" width="11.21875" style="5" customWidth="1"/>
    <col min="117" max="124" width="10.21875" style="5" customWidth="1"/>
    <col min="125" max="125" width="13.77734375" style="5" customWidth="1"/>
    <col min="126" max="126" width="11.6640625" style="5" customWidth="1"/>
    <col min="127" max="130" width="10.21875" style="5" customWidth="1"/>
    <col min="131" max="132" width="11.21875" style="5" customWidth="1"/>
    <col min="133" max="135" width="8.88671875" style="5" customWidth="1"/>
    <col min="136" max="136" width="19.6640625" style="5" customWidth="1"/>
    <col min="137" max="137" width="11.6640625" style="5" customWidth="1"/>
    <col min="138" max="138" width="9.33203125" style="5" customWidth="1"/>
    <col min="139" max="139" width="11" style="5" customWidth="1"/>
    <col min="140" max="149" width="8.88671875" style="5" customWidth="1"/>
    <col min="150" max="150" width="12.5546875" style="5" customWidth="1"/>
    <col min="151" max="151" width="11.6640625" style="5" customWidth="1"/>
    <col min="152" max="152" width="9.33203125" style="5" customWidth="1"/>
    <col min="153" max="163" width="8.88671875" style="5" customWidth="1"/>
    <col min="164" max="164" width="8.88671875" style="72" customWidth="1"/>
    <col min="165" max="165" width="8.88671875" style="5" customWidth="1"/>
    <col min="166" max="166" width="12.5546875" style="5" customWidth="1"/>
    <col min="167" max="167" width="15.33203125" style="5" customWidth="1"/>
    <col min="168" max="168" width="11.88671875" style="5" customWidth="1"/>
    <col min="169" max="180" width="8.88671875" style="5" customWidth="1"/>
    <col min="181" max="181" width="12.5546875" style="5" customWidth="1"/>
    <col min="182" max="182" width="23" style="5" customWidth="1"/>
    <col min="183" max="183" width="11.5546875" style="5" customWidth="1"/>
    <col min="184" max="184" width="8" style="5" customWidth="1"/>
    <col min="185" max="195" width="8.88671875" style="5" customWidth="1"/>
    <col min="196" max="196" width="13.77734375" style="5" customWidth="1"/>
    <col min="197" max="197" width="23" style="5" customWidth="1"/>
    <col min="198" max="198" width="19.6640625" style="5" customWidth="1"/>
    <col min="199" max="199" width="28.6640625" style="5" customWidth="1"/>
    <col min="200" max="201" width="5" style="5" customWidth="1"/>
    <col min="202" max="202" width="22.109375" style="5" customWidth="1"/>
    <col min="203" max="204" width="6" style="5" customWidth="1"/>
    <col min="205" max="205" width="33.44140625" style="5" customWidth="1"/>
    <col min="206" max="206" width="26.88671875" style="5" customWidth="1"/>
    <col min="207" max="208" width="6.5546875" style="5" customWidth="1"/>
    <col min="209" max="209" width="10.5546875" style="5" customWidth="1"/>
    <col min="210" max="210" width="21" style="5" customWidth="1"/>
    <col min="211" max="211" width="23" style="5" customWidth="1"/>
    <col min="212" max="212" width="23" style="165" customWidth="1"/>
    <col min="213" max="214" width="14.6640625" style="165" customWidth="1"/>
    <col min="215" max="215" width="19.6640625" style="5" customWidth="1"/>
    <col min="216" max="219" width="14.6640625" style="5" customWidth="1"/>
    <col min="220" max="220" width="14.6640625" style="72" customWidth="1"/>
    <col min="221" max="223" width="14.6640625" style="5" customWidth="1"/>
    <col min="224" max="224" width="23" style="5" customWidth="1"/>
    <col min="225" max="225" width="19.6640625" style="5" customWidth="1"/>
    <col min="226" max="228" width="14.77734375" style="5" customWidth="1"/>
    <col min="229" max="231" width="7.88671875" style="5" customWidth="1"/>
    <col min="232" max="232" width="5" style="5" customWidth="1"/>
    <col min="233" max="233" width="7" style="5" customWidth="1"/>
    <col min="234" max="234" width="17.77734375" style="5" customWidth="1"/>
    <col min="235" max="235" width="19.6640625" style="5" customWidth="1"/>
    <col min="236" max="237" width="14.77734375" style="5" customWidth="1"/>
    <col min="238" max="238" width="14.88671875" style="5" customWidth="1"/>
    <col min="239" max="241" width="7.88671875" style="5" customWidth="1"/>
    <col min="242" max="242" width="21" style="5" customWidth="1"/>
    <col min="243" max="243" width="13.44140625" style="5" customWidth="1"/>
    <col min="244" max="244" width="17.33203125" style="5" customWidth="1"/>
    <col min="245" max="246" width="19.88671875" style="5" customWidth="1"/>
    <col min="247" max="248" width="14.77734375" style="5" customWidth="1"/>
    <col min="249" max="249" width="19.88671875" style="5" customWidth="1"/>
    <col min="250" max="250" width="13.109375" style="5" customWidth="1"/>
    <col min="251" max="251" width="7.88671875" style="5" customWidth="1"/>
    <col min="252" max="252" width="13.88671875" style="5" customWidth="1"/>
    <col min="253" max="254" width="10.77734375" style="5" customWidth="1"/>
    <col min="255" max="255" width="17.5546875" style="5" customWidth="1"/>
    <col min="256" max="256" width="16.109375" style="5" customWidth="1"/>
    <col min="257" max="257" width="25.33203125" style="5" bestFit="1" customWidth="1"/>
    <col min="258" max="258" width="27.21875" style="5" bestFit="1" customWidth="1"/>
    <col min="259" max="259" width="11.109375" style="5" bestFit="1" customWidth="1"/>
    <col min="260" max="260" width="14.21875" style="5" bestFit="1" customWidth="1"/>
    <col min="261" max="261" width="18.33203125" style="5" bestFit="1" customWidth="1"/>
    <col min="262" max="262" width="12" style="5" bestFit="1" customWidth="1"/>
    <col min="263" max="263" width="12.88671875" style="5" bestFit="1" customWidth="1"/>
    <col min="264" max="264" width="13.44140625" style="5" bestFit="1" customWidth="1"/>
    <col min="265" max="265" width="14.5546875" style="5" bestFit="1" customWidth="1"/>
    <col min="266" max="266" width="7.109375" style="5" bestFit="1" customWidth="1"/>
    <col min="267" max="267" width="11.77734375" style="5" bestFit="1" customWidth="1"/>
    <col min="268" max="268" width="14.21875" style="5" bestFit="1" customWidth="1"/>
    <col min="269" max="269" width="19" style="5" bestFit="1" customWidth="1"/>
    <col min="270" max="270" width="10.77734375" style="5" bestFit="1" customWidth="1"/>
    <col min="271" max="271" width="11" style="5" bestFit="1" customWidth="1"/>
    <col min="272" max="272" width="11.6640625" style="5" bestFit="1" customWidth="1"/>
    <col min="273" max="273" width="11.21875" style="5" bestFit="1" customWidth="1"/>
    <col min="274" max="16384" width="8.88671875" style="5"/>
  </cols>
  <sheetData>
    <row r="1" spans="1:273" ht="15.6" x14ac:dyDescent="0.3">
      <c r="A1" s="264" t="s">
        <v>687</v>
      </c>
      <c r="B1" s="264"/>
      <c r="C1" s="264"/>
      <c r="D1" s="264"/>
      <c r="E1" s="264"/>
      <c r="F1" s="264"/>
      <c r="G1" s="264"/>
      <c r="H1" s="264"/>
      <c r="I1" s="264"/>
      <c r="J1" s="264"/>
      <c r="K1" s="264"/>
      <c r="L1" s="264"/>
      <c r="M1" s="265"/>
      <c r="N1" s="266" t="s">
        <v>688</v>
      </c>
      <c r="O1" s="262"/>
      <c r="P1" s="262"/>
      <c r="Q1" s="262"/>
      <c r="R1" s="262"/>
      <c r="S1" s="262"/>
      <c r="T1" s="262"/>
      <c r="U1" s="262"/>
      <c r="V1" s="262"/>
      <c r="W1" s="262"/>
      <c r="X1" s="262"/>
      <c r="Y1" s="262"/>
      <c r="Z1" s="262"/>
      <c r="AA1" s="262"/>
      <c r="AB1" s="262"/>
      <c r="AC1" s="262"/>
      <c r="AD1" s="262"/>
      <c r="AE1" s="262"/>
      <c r="AF1" s="262"/>
      <c r="AG1" s="262"/>
      <c r="AH1" s="262"/>
      <c r="AI1" s="267"/>
      <c r="AJ1" s="266" t="s">
        <v>689</v>
      </c>
      <c r="AK1" s="262"/>
      <c r="AL1" s="262"/>
      <c r="AM1" s="262"/>
      <c r="AN1" s="262"/>
      <c r="AO1" s="262"/>
      <c r="AP1" s="262"/>
      <c r="AQ1" s="262"/>
      <c r="AR1" s="262"/>
      <c r="AS1" s="262"/>
      <c r="AT1" s="262"/>
      <c r="BF1" s="5" t="s">
        <v>670</v>
      </c>
      <c r="HD1" s="5"/>
      <c r="HE1" s="5"/>
      <c r="HF1" s="5"/>
      <c r="HH1" s="165"/>
      <c r="HI1" s="165"/>
      <c r="HJ1" s="165"/>
      <c r="HL1" s="5"/>
      <c r="HP1" s="72"/>
    </row>
    <row r="2" spans="1:273" x14ac:dyDescent="0.3">
      <c r="F2" s="261" t="s">
        <v>680</v>
      </c>
      <c r="G2" s="261"/>
      <c r="H2" s="261"/>
      <c r="S2" s="261" t="s">
        <v>681</v>
      </c>
      <c r="T2" s="261"/>
      <c r="U2" s="261"/>
      <c r="AC2" s="261" t="s">
        <v>682</v>
      </c>
      <c r="AD2" s="261"/>
      <c r="AE2" s="261"/>
      <c r="AN2" s="261" t="s">
        <v>684</v>
      </c>
      <c r="AO2" s="261"/>
      <c r="AP2" s="66"/>
      <c r="AS2" s="261" t="s">
        <v>685</v>
      </c>
      <c r="AT2" s="261"/>
      <c r="BF2" s="5" t="s">
        <v>671</v>
      </c>
      <c r="BH2" s="5">
        <v>206</v>
      </c>
      <c r="HD2" s="5"/>
      <c r="HE2" s="5"/>
      <c r="HF2" s="5"/>
      <c r="HH2" s="165"/>
      <c r="HI2" s="165"/>
      <c r="HJ2" s="165"/>
      <c r="HL2" s="5"/>
      <c r="HP2" s="72"/>
    </row>
    <row r="3" spans="1:273" x14ac:dyDescent="0.3">
      <c r="BF3" s="5" t="s">
        <v>672</v>
      </c>
      <c r="BH3" s="67">
        <v>478786.28500000032</v>
      </c>
      <c r="HD3" s="5"/>
      <c r="HE3" s="5"/>
      <c r="HF3" s="5"/>
      <c r="HH3" s="165"/>
      <c r="HI3" s="165"/>
      <c r="HJ3" s="165"/>
      <c r="HL3" s="5"/>
      <c r="HP3" s="72"/>
    </row>
    <row r="4" spans="1:273" x14ac:dyDescent="0.3">
      <c r="B4" s="56" t="s">
        <v>632</v>
      </c>
      <c r="C4" t="s">
        <v>631</v>
      </c>
      <c r="P4" s="56" t="s">
        <v>632</v>
      </c>
      <c r="Q4" t="s">
        <v>679</v>
      </c>
      <c r="Y4" s="56" t="s">
        <v>632</v>
      </c>
      <c r="Z4" t="s">
        <v>679</v>
      </c>
      <c r="AK4" s="56" t="s">
        <v>632</v>
      </c>
      <c r="AL4" t="s">
        <v>633</v>
      </c>
      <c r="AQ4" s="56" t="s">
        <v>632</v>
      </c>
      <c r="AR4" t="s">
        <v>633</v>
      </c>
      <c r="AV4" s="268" t="s">
        <v>634</v>
      </c>
      <c r="AW4" s="268"/>
      <c r="AX4" s="268"/>
      <c r="AZ4" s="268" t="s">
        <v>635</v>
      </c>
      <c r="BA4" s="268"/>
      <c r="BB4" s="268"/>
      <c r="BD4" s="5" t="s">
        <v>636</v>
      </c>
      <c r="BF4" s="5" t="s">
        <v>678</v>
      </c>
      <c r="BH4" s="68">
        <v>39898.857083333358</v>
      </c>
      <c r="HD4" s="5"/>
      <c r="HE4" s="5"/>
      <c r="HF4" s="5"/>
      <c r="HH4" s="165"/>
      <c r="HI4" s="165"/>
      <c r="HJ4" s="165"/>
      <c r="HL4" s="5"/>
      <c r="HP4" s="72"/>
    </row>
    <row r="5" spans="1:273" x14ac:dyDescent="0.3">
      <c r="B5" s="57" t="s">
        <v>624</v>
      </c>
      <c r="P5" s="57" t="s">
        <v>114</v>
      </c>
      <c r="Q5">
        <v>427</v>
      </c>
      <c r="Y5" s="57" t="s">
        <v>32</v>
      </c>
      <c r="Z5">
        <v>2037</v>
      </c>
      <c r="AK5" s="57" t="s">
        <v>624</v>
      </c>
      <c r="AL5" s="49"/>
      <c r="AQ5" s="57" t="s">
        <v>32</v>
      </c>
      <c r="AR5" s="59">
        <v>233908.63749999998</v>
      </c>
      <c r="AS5" s="61"/>
      <c r="AT5" s="61"/>
      <c r="AU5" s="61"/>
      <c r="BF5" s="5" t="s">
        <v>673</v>
      </c>
      <c r="BH5" s="69">
        <v>6711868</v>
      </c>
      <c r="BV5" s="262" t="s">
        <v>699</v>
      </c>
      <c r="BW5" s="262"/>
      <c r="BX5" s="262"/>
      <c r="BY5" s="262"/>
      <c r="BZ5" s="262"/>
      <c r="CA5" s="262"/>
      <c r="CB5" s="262"/>
      <c r="CC5" s="262"/>
      <c r="CD5" s="262"/>
      <c r="CE5" s="262"/>
      <c r="CF5" s="262"/>
      <c r="CG5" s="262"/>
      <c r="HD5" s="5"/>
      <c r="HE5" s="5"/>
      <c r="HF5" s="5"/>
      <c r="HH5" s="165"/>
      <c r="HI5" s="165"/>
      <c r="HJ5" s="165"/>
      <c r="HL5" s="5"/>
      <c r="HP5" s="72"/>
      <c r="JJ5" s="56" t="s">
        <v>632</v>
      </c>
      <c r="JK5" t="s">
        <v>633</v>
      </c>
      <c r="JL5" t="s">
        <v>631</v>
      </c>
      <c r="JM5"/>
    </row>
    <row r="6" spans="1:273" x14ac:dyDescent="0.3">
      <c r="B6" s="58" t="s">
        <v>627</v>
      </c>
      <c r="C6" s="59">
        <v>291678</v>
      </c>
      <c r="P6" s="57" t="s">
        <v>155</v>
      </c>
      <c r="Q6">
        <v>429</v>
      </c>
      <c r="Y6" s="57" t="s">
        <v>17</v>
      </c>
      <c r="Z6">
        <v>1788</v>
      </c>
      <c r="AK6" s="58" t="s">
        <v>627</v>
      </c>
      <c r="AL6" s="59">
        <v>50506.344999999987</v>
      </c>
      <c r="AQ6" s="57" t="s">
        <v>17</v>
      </c>
      <c r="AR6" s="59">
        <v>54022.80999999999</v>
      </c>
      <c r="AS6" s="61"/>
      <c r="AT6" s="61"/>
      <c r="AU6" s="61"/>
      <c r="AV6" s="5" t="s">
        <v>11</v>
      </c>
      <c r="AW6" s="5" t="s">
        <v>637</v>
      </c>
      <c r="AX6" s="5" t="s">
        <v>2</v>
      </c>
      <c r="AZ6" s="5" t="s">
        <v>370</v>
      </c>
      <c r="BA6" s="5" t="s">
        <v>637</v>
      </c>
      <c r="BB6" s="5" t="s">
        <v>2</v>
      </c>
      <c r="BD6" s="5" t="s">
        <v>638</v>
      </c>
      <c r="BF6" s="5" t="s">
        <v>674</v>
      </c>
      <c r="BH6" s="5">
        <v>104166</v>
      </c>
      <c r="BS6" s="56" t="s">
        <v>632</v>
      </c>
      <c r="BT6" t="s">
        <v>631</v>
      </c>
      <c r="BU6" s="73" t="s">
        <v>705</v>
      </c>
      <c r="CI6" s="56" t="s">
        <v>632</v>
      </c>
      <c r="CJ6" t="s">
        <v>631</v>
      </c>
      <c r="CK6"/>
      <c r="CM6" s="262" t="s">
        <v>709</v>
      </c>
      <c r="CN6" s="262"/>
      <c r="CV6" s="56" t="s">
        <v>632</v>
      </c>
      <c r="CW6" t="s">
        <v>631</v>
      </c>
      <c r="CX6" s="73" t="s">
        <v>631</v>
      </c>
      <c r="CY6" s="262" t="s">
        <v>709</v>
      </c>
      <c r="CZ6" s="262"/>
      <c r="DA6" s="262"/>
      <c r="DB6" s="262"/>
      <c r="DC6"/>
      <c r="DD6"/>
      <c r="DE6"/>
      <c r="DF6"/>
      <c r="DG6"/>
      <c r="DH6"/>
      <c r="DI6"/>
      <c r="DJ6" s="56" t="s">
        <v>632</v>
      </c>
      <c r="DK6" t="s">
        <v>631</v>
      </c>
      <c r="DL6"/>
      <c r="DM6"/>
      <c r="DN6"/>
      <c r="DO6"/>
      <c r="DP6"/>
      <c r="DQ6"/>
      <c r="DR6"/>
      <c r="DS6"/>
      <c r="DT6"/>
      <c r="DU6" s="56" t="s">
        <v>632</v>
      </c>
      <c r="DV6" t="s">
        <v>631</v>
      </c>
      <c r="DW6"/>
      <c r="DX6"/>
      <c r="DY6"/>
      <c r="DZ6"/>
      <c r="EA6"/>
      <c r="EB6"/>
      <c r="EF6" s="56" t="s">
        <v>632</v>
      </c>
      <c r="EG6" t="s">
        <v>631</v>
      </c>
      <c r="EH6" s="73" t="s">
        <v>720</v>
      </c>
      <c r="EI6"/>
      <c r="ET6" s="56" t="s">
        <v>632</v>
      </c>
      <c r="EU6" t="s">
        <v>631</v>
      </c>
      <c r="EV6" s="73" t="s">
        <v>720</v>
      </c>
      <c r="EW6"/>
      <c r="FJ6" s="56" t="s">
        <v>632</v>
      </c>
      <c r="FK6" t="s">
        <v>725</v>
      </c>
      <c r="FL6" s="73" t="s">
        <v>728</v>
      </c>
      <c r="FM6" s="82" t="s">
        <v>729</v>
      </c>
      <c r="FN6" s="82"/>
      <c r="FY6" s="56" t="s">
        <v>632</v>
      </c>
      <c r="FZ6" t="s">
        <v>679</v>
      </c>
      <c r="GA6" s="73" t="s">
        <v>728</v>
      </c>
      <c r="GB6" s="82" t="s">
        <v>729</v>
      </c>
      <c r="GN6" s="56" t="s">
        <v>632</v>
      </c>
      <c r="GO6" t="s">
        <v>679</v>
      </c>
      <c r="GP6" s="73" t="s">
        <v>733</v>
      </c>
      <c r="GQ6"/>
      <c r="GR6"/>
      <c r="GS6"/>
      <c r="HC6" s="262"/>
      <c r="HD6" s="262"/>
      <c r="HE6" s="5"/>
      <c r="HF6" s="5"/>
      <c r="HH6" s="165"/>
      <c r="HI6" s="165"/>
      <c r="HJ6" s="165"/>
      <c r="HL6" s="5"/>
      <c r="HP6" s="72"/>
      <c r="HR6" s="162" t="s">
        <v>632</v>
      </c>
      <c r="HS6" s="6" t="s">
        <v>633</v>
      </c>
      <c r="HT6" s="163" t="s">
        <v>739</v>
      </c>
      <c r="IG6" s="162" t="s">
        <v>632</v>
      </c>
      <c r="IH6" t="s">
        <v>633</v>
      </c>
      <c r="II6" t="s">
        <v>741</v>
      </c>
      <c r="IJ6"/>
      <c r="IK6"/>
      <c r="IL6"/>
      <c r="IM6"/>
      <c r="IN6"/>
      <c r="IO6"/>
      <c r="IP6"/>
      <c r="IQ6"/>
      <c r="IR6"/>
      <c r="IS6"/>
      <c r="IT6" s="56" t="s">
        <v>632</v>
      </c>
      <c r="IU6" t="s">
        <v>633</v>
      </c>
      <c r="IV6" t="s">
        <v>741</v>
      </c>
      <c r="JJ6" s="57">
        <v>2003</v>
      </c>
      <c r="JK6" s="59"/>
      <c r="JL6" s="59"/>
      <c r="JM6"/>
    </row>
    <row r="7" spans="1:273" x14ac:dyDescent="0.3">
      <c r="B7" s="58" t="s">
        <v>628</v>
      </c>
      <c r="C7" s="59">
        <v>397260</v>
      </c>
      <c r="P7" s="57" t="s">
        <v>28</v>
      </c>
      <c r="Q7">
        <v>454</v>
      </c>
      <c r="Y7" s="57" t="s">
        <v>47</v>
      </c>
      <c r="Z7">
        <v>90</v>
      </c>
      <c r="AK7" s="58" t="s">
        <v>628</v>
      </c>
      <c r="AL7" s="59">
        <v>50506.344999999987</v>
      </c>
      <c r="AQ7" s="57" t="s">
        <v>47</v>
      </c>
      <c r="AR7" s="59">
        <v>8737.6500000000051</v>
      </c>
      <c r="AS7" s="61"/>
      <c r="AT7" s="61"/>
      <c r="AU7" s="61"/>
      <c r="AV7" s="5" t="s">
        <v>11</v>
      </c>
      <c r="AW7" s="5" t="s">
        <v>637</v>
      </c>
      <c r="AX7" s="5" t="s">
        <v>3</v>
      </c>
      <c r="AZ7" s="5" t="s">
        <v>370</v>
      </c>
      <c r="BA7" s="5" t="s">
        <v>637</v>
      </c>
      <c r="BB7" s="5" t="s">
        <v>3</v>
      </c>
      <c r="BD7" s="29" t="s">
        <v>639</v>
      </c>
      <c r="BE7" s="29"/>
      <c r="BF7" s="5" t="s">
        <v>675</v>
      </c>
      <c r="BH7" s="5" t="s">
        <v>42</v>
      </c>
      <c r="BS7" s="57" t="s">
        <v>624</v>
      </c>
      <c r="BT7"/>
      <c r="BU7"/>
      <c r="CI7" s="57" t="s">
        <v>97</v>
      </c>
      <c r="CJ7" s="59">
        <v>120572</v>
      </c>
      <c r="CK7" s="59"/>
      <c r="CL7" s="5">
        <v>1</v>
      </c>
      <c r="CM7" s="29">
        <v>9.5944228938948148E-2</v>
      </c>
      <c r="CN7" s="5" t="s">
        <v>41</v>
      </c>
      <c r="CV7" s="57" t="s">
        <v>207</v>
      </c>
      <c r="CW7" s="59">
        <v>27194</v>
      </c>
      <c r="CX7" s="59">
        <v>27194</v>
      </c>
      <c r="CY7" s="5">
        <v>1</v>
      </c>
      <c r="CZ7" s="80">
        <f>LARGE($CX$7:$CX$25,CY7)</f>
        <v>2271611</v>
      </c>
      <c r="DA7" s="5" t="str" cm="1">
        <f t="array" ref="DA7">INDEX(_xlfn._xlws.FILTER($CV$7:$CV$25,$CX$7:$CX$25=CZ7),)</f>
        <v>USA</v>
      </c>
      <c r="DB7" s="41">
        <f>CZ7/$CX$26</f>
        <v>0.33844691224559242</v>
      </c>
      <c r="DC7"/>
      <c r="DD7"/>
      <c r="DE7"/>
      <c r="DF7"/>
      <c r="DG7"/>
      <c r="DH7"/>
      <c r="DI7"/>
      <c r="DJ7" s="57" t="s">
        <v>107</v>
      </c>
      <c r="DK7" s="59">
        <v>369604</v>
      </c>
      <c r="DL7"/>
      <c r="DM7"/>
      <c r="DN7"/>
      <c r="DO7"/>
      <c r="DP7"/>
      <c r="DQ7"/>
      <c r="DR7"/>
      <c r="DS7"/>
      <c r="DT7"/>
      <c r="DU7" s="57" t="s">
        <v>32</v>
      </c>
      <c r="DV7" s="59">
        <v>2678165</v>
      </c>
      <c r="DW7"/>
      <c r="DX7"/>
      <c r="DY7"/>
      <c r="DZ7"/>
      <c r="EA7"/>
      <c r="EB7"/>
      <c r="EF7" s="57" t="s">
        <v>244</v>
      </c>
      <c r="EG7" s="59">
        <v>202920</v>
      </c>
      <c r="EH7" s="41">
        <v>3.023301411767931E-2</v>
      </c>
      <c r="EI7" s="59"/>
      <c r="ET7" s="57" t="s">
        <v>369</v>
      </c>
      <c r="EU7" s="59">
        <v>22830</v>
      </c>
      <c r="EV7" s="41">
        <f>GETPIVOTDATA("[Measures].[Sum of Sales]",$ET$6,"[Sales_Table].[Deal_Size]","[Sales_Table].[Deal_Size].&amp;[Large]")/GETPIVOTDATA("[Measures].[Sum of Sales]",$ET$6)</f>
        <v>3.4014375729677642E-3</v>
      </c>
      <c r="EW7" s="59"/>
      <c r="FJ7" s="57" t="s">
        <v>624</v>
      </c>
      <c r="FK7">
        <v>24</v>
      </c>
      <c r="FL7" s="29">
        <f>GETPIVOTDATA("[Measures].[Count of Return_ID]",$FJ$6,"[Returns_Table].[Order_Date (Year)]","[Returns_Table].[Order_Date (Year)].&amp;[2003]")/GETPIVOTDATA("[Measures].[Count of Return_ID]",$FJ$6)</f>
        <v>0.11650485436893204</v>
      </c>
      <c r="FM7" s="86"/>
      <c r="FN7" s="29"/>
      <c r="FY7" s="57" t="s">
        <v>624</v>
      </c>
      <c r="FZ7">
        <v>838</v>
      </c>
      <c r="GA7" s="29">
        <f>GETPIVOTDATA("[Measures].[Sum of Quantity_Ordered]",$FY$6,"[Returns_Table].[Order_Date (Year)]","[Returns_Table].[Order_Date (Year)].&amp;[2003]")/GETPIVOTDATA("[Measures].[Sum of Quantity_Ordered]",$FY$6)</f>
        <v>0.10934237995824635</v>
      </c>
      <c r="GB7" s="86"/>
      <c r="GN7" s="57" t="s">
        <v>47</v>
      </c>
      <c r="GO7">
        <v>90</v>
      </c>
      <c r="GP7" s="41">
        <f>GETPIVOTDATA("[Measures].[Sum of Quantity_Ordered]",$GN$6,"[Returns_Table].[Product_Category]","[Returns_Table].[Product_Category].&amp;[Frozen Foods]")/GETPIVOTDATA("[Measures].[Sum of Quantity_Ordered]",$GN$6)</f>
        <v>1.174321503131524E-2</v>
      </c>
      <c r="GQ7"/>
      <c r="GR7"/>
      <c r="GS7"/>
      <c r="HC7" s="162" t="s">
        <v>632</v>
      </c>
      <c r="HD7" s="6" t="s">
        <v>679</v>
      </c>
      <c r="HE7" s="163" t="s">
        <v>733</v>
      </c>
      <c r="HF7" s="5"/>
      <c r="HH7" s="165"/>
      <c r="HI7" s="165"/>
      <c r="HJ7" s="165"/>
      <c r="HL7" s="5"/>
      <c r="HP7" s="72"/>
      <c r="HR7" s="6" t="s">
        <v>624</v>
      </c>
      <c r="HS7" s="164"/>
      <c r="HT7" s="6"/>
      <c r="IG7" s="6" t="s">
        <v>47</v>
      </c>
      <c r="IH7" s="59">
        <v>8737.6500000000051</v>
      </c>
      <c r="II7" s="41">
        <f>GETPIVOTDATA("[Measures].[Sum of Amt]",$IG$6,"[Marketing_Table].[Product_Category]","[Marketing_Table].[Product_Category].&amp;[Frozen Foods]")/GETPIVOTDATA("[Measures].[Sum of Amt]",$IG$6)</f>
        <v>1.8249582901064092E-2</v>
      </c>
      <c r="IJ7"/>
      <c r="IK7"/>
      <c r="IL7"/>
      <c r="IM7"/>
      <c r="IN7"/>
      <c r="IO7"/>
      <c r="IP7"/>
      <c r="IQ7"/>
      <c r="IR7"/>
      <c r="IS7"/>
      <c r="IT7" s="57" t="s">
        <v>253</v>
      </c>
      <c r="IU7" s="59">
        <v>11836.65</v>
      </c>
      <c r="IV7" s="41">
        <f>GETPIVOTDATA("[Measures].[Sum of Amt]",$IT$6,"[Marketing_Table].[Product_Name]","[Marketing_Table].[Product_Name].&amp;[FizzUp Orange Soda]")/IU18</f>
        <v>2.4722199383802299E-2</v>
      </c>
      <c r="JJ7" s="58" t="s">
        <v>614</v>
      </c>
      <c r="JK7" s="59">
        <v>50506.344999999987</v>
      </c>
      <c r="JL7" s="59">
        <v>291678</v>
      </c>
      <c r="JM7"/>
    </row>
    <row r="8" spans="1:273" x14ac:dyDescent="0.3">
      <c r="B8" s="58" t="s">
        <v>629</v>
      </c>
      <c r="C8" s="59">
        <v>436115</v>
      </c>
      <c r="P8" s="57" t="s">
        <v>139</v>
      </c>
      <c r="Q8">
        <v>469</v>
      </c>
      <c r="Y8" s="57" t="s">
        <v>54</v>
      </c>
      <c r="Z8">
        <v>1335</v>
      </c>
      <c r="AK8" s="58" t="s">
        <v>629</v>
      </c>
      <c r="AL8" s="59">
        <v>50506.344999999987</v>
      </c>
      <c r="AQ8" s="57" t="s">
        <v>54</v>
      </c>
      <c r="AR8" s="59">
        <v>114275.80000000002</v>
      </c>
      <c r="AS8" s="61"/>
      <c r="AT8" s="61"/>
      <c r="AU8" s="61"/>
      <c r="AV8" s="5" t="s">
        <v>11</v>
      </c>
      <c r="AW8" s="5" t="s">
        <v>637</v>
      </c>
      <c r="AX8" s="5" t="s">
        <v>4</v>
      </c>
      <c r="AZ8" s="5" t="s">
        <v>370</v>
      </c>
      <c r="BA8" s="5" t="s">
        <v>637</v>
      </c>
      <c r="BB8" s="5" t="s">
        <v>4</v>
      </c>
      <c r="BD8" s="29" t="s">
        <v>640</v>
      </c>
      <c r="BE8" s="29"/>
      <c r="BF8" s="5" t="s">
        <v>676</v>
      </c>
      <c r="BH8" s="5" t="s">
        <v>15</v>
      </c>
      <c r="BS8" s="58" t="s">
        <v>627</v>
      </c>
      <c r="BT8" s="59">
        <v>291678</v>
      </c>
      <c r="BU8" s="59"/>
      <c r="CI8" s="57" t="s">
        <v>136</v>
      </c>
      <c r="CJ8" s="59">
        <v>122104</v>
      </c>
      <c r="CK8" s="59"/>
      <c r="CL8" s="5">
        <v>2</v>
      </c>
      <c r="CM8" s="29">
        <v>7.950469228536676E-2</v>
      </c>
      <c r="CN8" s="5" t="s">
        <v>88</v>
      </c>
      <c r="CV8" s="57" t="s">
        <v>73</v>
      </c>
      <c r="CW8" s="59">
        <v>52540</v>
      </c>
      <c r="CX8" s="59">
        <v>52540</v>
      </c>
      <c r="CY8" s="5">
        <v>2</v>
      </c>
      <c r="CZ8" s="80">
        <f t="shared" ref="CZ8:CZ16" si="0">LARGE($CX$7:$CX$25,CY8)</f>
        <v>886435</v>
      </c>
      <c r="DA8" s="5" t="str" cm="1">
        <f t="array" ref="DA8">INDEX(_xlfn._xlws.FILTER($CV$7:$CV$25,$CX$7:$CX$25=CZ8),)</f>
        <v>Spain</v>
      </c>
      <c r="DB8" s="41">
        <f t="shared" ref="DB8:DB16" si="1">CZ8/$CX$26</f>
        <v>0.13206979040708192</v>
      </c>
      <c r="DC8"/>
      <c r="DD8"/>
      <c r="DE8"/>
      <c r="DF8"/>
      <c r="DG8"/>
      <c r="DH8"/>
      <c r="DI8"/>
      <c r="DJ8" s="57" t="s">
        <v>25</v>
      </c>
      <c r="DK8" s="59">
        <v>3563529</v>
      </c>
      <c r="DL8"/>
      <c r="DM8"/>
      <c r="DN8"/>
      <c r="DO8"/>
      <c r="DP8"/>
      <c r="DQ8"/>
      <c r="DR8"/>
      <c r="DS8"/>
      <c r="DT8"/>
      <c r="DU8" s="57" t="s">
        <v>54</v>
      </c>
      <c r="DV8" s="59">
        <v>1630490</v>
      </c>
      <c r="DW8"/>
      <c r="DX8"/>
      <c r="DY8"/>
      <c r="DZ8"/>
      <c r="EA8"/>
      <c r="EB8"/>
      <c r="EF8" s="57" t="s">
        <v>267</v>
      </c>
      <c r="EG8" s="59">
        <v>222350</v>
      </c>
      <c r="EH8" s="41">
        <v>3.312788630527299E-2</v>
      </c>
      <c r="EI8" s="59"/>
      <c r="ET8" s="57" t="s">
        <v>368</v>
      </c>
      <c r="EU8" s="59">
        <v>401529</v>
      </c>
      <c r="EV8" s="41">
        <f>GETPIVOTDATA("[Measures].[Sum of Sales]",$ET$6,"[Sales_Table].[Deal_Size]","[Sales_Table].[Deal_Size].&amp;[Medium]")/GETPIVOTDATA("[Measures].[Sum of Sales]",$ET$6)</f>
        <v>5.9823733124668127E-2</v>
      </c>
      <c r="EW8" s="59"/>
      <c r="FJ8" s="57" t="s">
        <v>625</v>
      </c>
      <c r="FK8">
        <v>58</v>
      </c>
      <c r="FL8" s="29">
        <f>GETPIVOTDATA("[Measures].[Count of Return_ID]",$FJ$6,"[Returns_Table].[Order_Date (Year)]","[Returns_Table].[Order_Date (Year)].&amp;[2004]")/GETPIVOTDATA("[Measures].[Count of Return_ID]",$FJ$6)</f>
        <v>0.28155339805825241</v>
      </c>
      <c r="FM8" s="29">
        <f>(GETPIVOTDATA("[Measures].[Count of Return_ID]",$FJ$6,"[Returns_Table].[Order_Date (Year)]","[Returns_Table].[Order_Date (Year)].&amp;[2004]")-GETPIVOTDATA("[Measures].[Count of Return_ID]",$FJ$6,"[Returns_Table].[Order_Date (Year)]","[Returns_Table].[Order_Date (Year)].&amp;[2003]"))/GETPIVOTDATA("[Measures].[Count of Return_ID]",$FJ$6,"[Returns_Table].[Order_Date (Year)]","[Returns_Table].[Order_Date (Year)].&amp;[2003]")</f>
        <v>1.4166666666666667</v>
      </c>
      <c r="FN8" s="29"/>
      <c r="FY8" s="57" t="s">
        <v>625</v>
      </c>
      <c r="FZ8">
        <v>1958</v>
      </c>
      <c r="GA8" s="29">
        <f>GETPIVOTDATA("[Measures].[Sum of Quantity_Ordered]",$FY$6,"[Returns_Table].[Order_Date (Year)]","[Returns_Table].[Order_Date (Year)].&amp;[2004]")/GETPIVOTDATA("[Measures].[Sum of Quantity_Ordered]",$FY$6)</f>
        <v>0.25548016701461379</v>
      </c>
      <c r="GB8" s="29">
        <f>(GETPIVOTDATA("[Measures].[Sum of Quantity_Ordered]",$FY$6,"[Returns_Table].[Order_Date (Year)]","[Returns_Table].[Order_Date (Year)].&amp;[2004]")-GETPIVOTDATA("[Measures].[Sum of Quantity_Ordered]",$FY$6,"[Returns_Table].[Order_Date (Year)]","[Returns_Table].[Order_Date (Year)].&amp;[2003]"))/GETPIVOTDATA("[Measures].[Sum of Quantity_Ordered]",$FY$6,"[Returns_Table].[Order_Date (Year)]","[Returns_Table].[Order_Date (Year)].&amp;[2003]")</f>
        <v>1.3365155131264916</v>
      </c>
      <c r="GN8" s="57" t="s">
        <v>68</v>
      </c>
      <c r="GO8">
        <v>308</v>
      </c>
      <c r="GP8" s="41">
        <f>GETPIVOTDATA("[Measures].[Sum of Quantity_Ordered]",$GN$6,"[Returns_Table].[Product_Category]","[Returns_Table].[Product_Category].&amp;[Instant Foods]")/GETPIVOTDATA("[Measures].[Sum of Quantity_Ordered]",$GN$6)</f>
        <v>4.0187891440501042E-2</v>
      </c>
      <c r="GQ8"/>
      <c r="GR8"/>
      <c r="GS8"/>
      <c r="HC8" s="6" t="s">
        <v>256</v>
      </c>
      <c r="HD8" s="6">
        <v>28</v>
      </c>
      <c r="HE8" s="6">
        <v>28</v>
      </c>
      <c r="HF8" s="29">
        <f>HE8/7664</f>
        <v>3.6534446764091857E-3</v>
      </c>
      <c r="HH8" s="165"/>
      <c r="HI8" s="165"/>
      <c r="HJ8" s="165"/>
      <c r="HL8" s="5"/>
      <c r="HP8" s="72"/>
      <c r="HR8" s="6" t="s">
        <v>627</v>
      </c>
      <c r="HS8" s="164">
        <v>50506.344999999987</v>
      </c>
      <c r="HT8" s="164"/>
      <c r="IG8" s="6" t="s">
        <v>61</v>
      </c>
      <c r="IH8" s="59">
        <v>14774.987499999999</v>
      </c>
      <c r="II8" s="41">
        <f>GETPIVOTDATA("[Measures].[Sum of Amt]",$IG$6,"[Marketing_Table].[Product_Category]","[Marketing_Table].[Product_Category].&amp;[Water &amp; Juices]")/GETPIVOTDATA("[Measures].[Sum of Amt]",$IG$6)</f>
        <v>3.0859253831800944E-2</v>
      </c>
      <c r="IJ8"/>
      <c r="IK8"/>
      <c r="IL8"/>
      <c r="IM8"/>
      <c r="IN8"/>
      <c r="IO8"/>
      <c r="IP8"/>
      <c r="IQ8"/>
      <c r="IR8"/>
      <c r="IS8"/>
      <c r="IT8" s="57" t="s">
        <v>267</v>
      </c>
      <c r="IU8" s="59">
        <v>14878.75</v>
      </c>
      <c r="IV8" s="41">
        <f>GETPIVOTDATA("[Measures].[Sum of Amt]",$IT$6,"[Marketing_Table].[Product_Name]","[Marketing_Table].[Product_Name].&amp;[PastaJoy]")/IU18</f>
        <v>3.1075973698787111E-2</v>
      </c>
      <c r="JJ8" s="58" t="s">
        <v>615</v>
      </c>
      <c r="JK8" s="59">
        <v>50506.344999999987</v>
      </c>
      <c r="JL8" s="59">
        <v>397260</v>
      </c>
      <c r="JM8"/>
    </row>
    <row r="9" spans="1:273" x14ac:dyDescent="0.3">
      <c r="B9" s="58" t="s">
        <v>630</v>
      </c>
      <c r="C9" s="59">
        <v>1127834</v>
      </c>
      <c r="P9" s="57" t="s">
        <v>198</v>
      </c>
      <c r="Q9">
        <v>506</v>
      </c>
      <c r="Y9" s="57" t="s">
        <v>68</v>
      </c>
      <c r="Z9">
        <v>308</v>
      </c>
      <c r="AK9" s="58" t="s">
        <v>630</v>
      </c>
      <c r="AL9" s="59">
        <v>50506.344999999987</v>
      </c>
      <c r="AQ9" s="57" t="s">
        <v>68</v>
      </c>
      <c r="AR9" s="59">
        <v>34195.450000000012</v>
      </c>
      <c r="AV9" s="5" t="s">
        <v>11</v>
      </c>
      <c r="AW9" s="5" t="s">
        <v>637</v>
      </c>
      <c r="AX9" s="5" t="s">
        <v>5</v>
      </c>
      <c r="AZ9" s="5" t="s">
        <v>370</v>
      </c>
      <c r="BA9" s="5" t="s">
        <v>637</v>
      </c>
      <c r="BB9" s="5" t="s">
        <v>5</v>
      </c>
      <c r="BD9" s="5" t="s">
        <v>641</v>
      </c>
      <c r="BF9" s="5" t="s">
        <v>677</v>
      </c>
      <c r="BH9" s="5" t="s">
        <v>246</v>
      </c>
      <c r="BS9" s="58" t="s">
        <v>628</v>
      </c>
      <c r="BT9" s="59">
        <v>397260</v>
      </c>
      <c r="BU9" s="21">
        <f>(GETPIVOTDATA("[Measures].[Sum of Sales]",$BS$6,"[Sales_Table].[Order_Date (Quarter)]","[Sales_Table].[Order_Date (Quarter)].&amp;[Qtr2]","[Sales_Table].[Order_Date (Year)]","[Sales_Table].[Order_Date (Year)].&amp;[2003]")-GETPIVOTDATA("[Measures].[Sum of Sales]",$BS$6,"[Sales_Table].[Order_Date (Quarter)]","[Sales_Table].[Order_Date (Quarter)].&amp;[Qtr1]","[Sales_Table].[Order_Date (Year)]","[Sales_Table].[Order_Date (Year)].&amp;[2003]"))/GETPIVOTDATA("[Measures].[Sum of Sales]",$BS$6,"[Sales_Table].[Order_Date (Quarter)]","[Sales_Table].[Order_Date (Quarter)].&amp;[Qtr1]","[Sales_Table].[Order_Date (Year)]","[Sales_Table].[Order_Date (Year)].&amp;[2003]")</f>
        <v>0.36198136300989447</v>
      </c>
      <c r="CH9" s="21"/>
      <c r="CI9" s="57" t="s">
        <v>187</v>
      </c>
      <c r="CJ9" s="59">
        <v>125415</v>
      </c>
      <c r="CK9" s="59"/>
      <c r="CL9" s="5">
        <v>3</v>
      </c>
      <c r="CM9" s="29">
        <v>2.5298918274316479E-2</v>
      </c>
      <c r="CN9" s="5" t="s">
        <v>145</v>
      </c>
      <c r="CV9" s="57" t="s">
        <v>214</v>
      </c>
      <c r="CW9" s="59">
        <v>73455</v>
      </c>
      <c r="CX9" s="59">
        <v>73455</v>
      </c>
      <c r="CY9" s="5">
        <v>3</v>
      </c>
      <c r="CZ9" s="80">
        <f t="shared" si="0"/>
        <v>800612</v>
      </c>
      <c r="DA9" s="5" t="str" cm="1">
        <f t="array" ref="DA9">INDEX(_xlfn._xlws.FILTER($CV$7:$CV$25,$CX$7:$CX$25=CZ9),)</f>
        <v>France</v>
      </c>
      <c r="DB9" s="41">
        <f t="shared" si="1"/>
        <v>0.11928303715150536</v>
      </c>
      <c r="DC9"/>
      <c r="DD9"/>
      <c r="DE9"/>
      <c r="DJ9" s="57" t="s">
        <v>74</v>
      </c>
      <c r="DK9" s="59">
        <v>324516</v>
      </c>
      <c r="DL9"/>
      <c r="DM9"/>
      <c r="DN9"/>
      <c r="DO9"/>
      <c r="DP9"/>
      <c r="DQ9"/>
      <c r="DR9"/>
      <c r="DS9"/>
      <c r="DT9"/>
      <c r="DU9" s="57" t="s">
        <v>17</v>
      </c>
      <c r="DV9" s="59">
        <v>1185038</v>
      </c>
      <c r="DW9"/>
      <c r="DX9"/>
      <c r="DY9"/>
      <c r="DZ9"/>
      <c r="EA9"/>
      <c r="EB9"/>
      <c r="EF9" s="57" t="s">
        <v>252</v>
      </c>
      <c r="EG9" s="59">
        <v>346995</v>
      </c>
      <c r="EH9" s="41">
        <v>5.1698722322906232E-2</v>
      </c>
      <c r="EI9" s="59"/>
      <c r="ET9" s="57" t="s">
        <v>367</v>
      </c>
      <c r="EU9" s="59">
        <v>6287509</v>
      </c>
      <c r="EV9" s="41">
        <f>GETPIVOTDATA("[Measures].[Sum of Sales]",$ET$6,"[Sales_Table].[Deal_Size]","[Sales_Table].[Deal_Size].&amp;[Small]")/GETPIVOTDATA("[Measures].[Sum of Sales]",$ET$6)</f>
        <v>0.93677482930236411</v>
      </c>
      <c r="EW9" s="59"/>
      <c r="FJ9" s="57" t="s">
        <v>626</v>
      </c>
      <c r="FK9">
        <v>124</v>
      </c>
      <c r="FL9" s="29">
        <f>GETPIVOTDATA("[Measures].[Count of Return_ID]",$FJ$6,"[Returns_Table].[Order_Date (Year)]","[Returns_Table].[Order_Date (Year)].&amp;[2005]")/GETPIVOTDATA("[Measures].[Count of Return_ID]",$FJ$6)</f>
        <v>0.60194174757281549</v>
      </c>
      <c r="FM9" s="29">
        <f>(GETPIVOTDATA("[Measures].[Count of Return_ID]",$FJ$6,"[Returns_Table].[Order_Date (Year)]","[Returns_Table].[Order_Date (Year)].&amp;[2005]")-GETPIVOTDATA("[Measures].[Count of Return_ID]",$FJ$6,"[Returns_Table].[Order_Date (Year)]","[Returns_Table].[Order_Date (Year)].&amp;[2004]"))/GETPIVOTDATA("[Measures].[Count of Return_ID]",$FJ$6,"[Returns_Table].[Order_Date (Year)]","[Returns_Table].[Order_Date (Year)].&amp;[2004]")</f>
        <v>1.1379310344827587</v>
      </c>
      <c r="FN9" s="29"/>
      <c r="FY9" s="57" t="s">
        <v>626</v>
      </c>
      <c r="FZ9">
        <v>4868</v>
      </c>
      <c r="GA9" s="29">
        <f>GETPIVOTDATA("[Measures].[Sum of Quantity_Ordered]",$FY$6,"[Returns_Table].[Order_Date (Year)]","[Returns_Table].[Order_Date (Year)].&amp;[2005]")/GETPIVOTDATA("[Measures].[Sum of Quantity_Ordered]",$FY$6)</f>
        <v>0.6351774530271399</v>
      </c>
      <c r="GB9" s="29">
        <f>(GETPIVOTDATA("[Measures].[Sum of Quantity_Ordered]",$FY$6,"[Returns_Table].[Order_Date (Year)]","[Returns_Table].[Order_Date (Year)].&amp;[2005]")-GETPIVOTDATA("[Measures].[Sum of Quantity_Ordered]",$FY$6,"[Returns_Table].[Order_Date (Year)]","[Returns_Table].[Order_Date (Year)].&amp;[2004]"))/GETPIVOTDATA("[Measures].[Sum of Quantity_Ordered]",$FY$6,"[Returns_Table].[Order_Date (Year)]","[Returns_Table].[Order_Date (Year)].&amp;[2004]")</f>
        <v>1.4862104187946885</v>
      </c>
      <c r="GN9" s="57" t="s">
        <v>35</v>
      </c>
      <c r="GO9">
        <v>768</v>
      </c>
      <c r="GP9" s="41">
        <f>GETPIVOTDATA("[Measures].[Sum of Quantity_Ordered]",$GN$6,"[Returns_Table].[Product_Category]","[Returns_Table].[Product_Category].&amp;[Snacks]")/GETPIVOTDATA("[Measures].[Sum of Quantity_Ordered]",$GN$6)</f>
        <v>0.10020876826722339</v>
      </c>
      <c r="GQ9"/>
      <c r="GR9"/>
      <c r="GS9"/>
      <c r="HC9" s="6" t="s">
        <v>255</v>
      </c>
      <c r="HD9" s="6">
        <v>42</v>
      </c>
      <c r="HE9" s="6">
        <v>42</v>
      </c>
      <c r="HF9" s="29">
        <f t="shared" ref="HF9:HF37" si="2">HE9/7664</f>
        <v>5.4801670146137791E-3</v>
      </c>
      <c r="HH9" s="165"/>
      <c r="HI9" s="165"/>
      <c r="HJ9" s="165"/>
      <c r="HL9" s="5"/>
      <c r="HP9" s="72"/>
      <c r="HR9" s="6" t="s">
        <v>628</v>
      </c>
      <c r="HS9" s="164">
        <v>50506.344999999987</v>
      </c>
      <c r="HT9" s="21"/>
      <c r="IG9" s="6" t="s">
        <v>35</v>
      </c>
      <c r="IH9" s="59">
        <v>18870.950000000004</v>
      </c>
      <c r="II9" s="41">
        <f>GETPIVOTDATA("[Measures].[Sum of Amt]",$IG$6,"[Marketing_Table].[Product_Category]","[Marketing_Table].[Product_Category].&amp;[Snacks]")/GETPIVOTDATA("[Measures].[Sum of Amt]",$IG$6)</f>
        <v>3.9414140695362636E-2</v>
      </c>
      <c r="IJ9"/>
      <c r="IK9"/>
      <c r="IL9"/>
      <c r="IM9"/>
      <c r="IN9"/>
      <c r="IO9"/>
      <c r="IP9"/>
      <c r="IQ9"/>
      <c r="IR9"/>
      <c r="IS9"/>
      <c r="IT9" s="57" t="s">
        <v>258</v>
      </c>
      <c r="IU9" s="59">
        <v>23701.049999999996</v>
      </c>
      <c r="IV9" s="41">
        <f>GETPIVOTDATA("[Measures].[Sum of Amt]",$IT$6,"[Marketing_Table].[Product_Name]","[Marketing_Table].[Product_Name].&amp;[TinyBite Cereal]")/IU18</f>
        <v>4.9502357821298033E-2</v>
      </c>
      <c r="JJ9" s="58" t="s">
        <v>616</v>
      </c>
      <c r="JK9" s="59">
        <v>50506.344999999987</v>
      </c>
      <c r="JL9" s="59">
        <v>436115</v>
      </c>
      <c r="JM9"/>
    </row>
    <row r="10" spans="1:273" x14ac:dyDescent="0.3">
      <c r="B10" s="57" t="s">
        <v>625</v>
      </c>
      <c r="P10" s="57" t="s">
        <v>130</v>
      </c>
      <c r="Q10">
        <v>532</v>
      </c>
      <c r="Y10" s="57" t="s">
        <v>35</v>
      </c>
      <c r="Z10">
        <v>768</v>
      </c>
      <c r="AK10" s="57" t="s">
        <v>625</v>
      </c>
      <c r="AL10" s="49"/>
      <c r="AQ10" s="57" t="s">
        <v>35</v>
      </c>
      <c r="AR10" s="59">
        <v>18870.950000000004</v>
      </c>
      <c r="AV10" s="5" t="s">
        <v>11</v>
      </c>
      <c r="AW10" s="5" t="s">
        <v>637</v>
      </c>
      <c r="AX10" s="5" t="s">
        <v>8</v>
      </c>
      <c r="AZ10" s="5" t="s">
        <v>370</v>
      </c>
      <c r="BA10" s="5" t="s">
        <v>637</v>
      </c>
      <c r="BB10" s="5" t="s">
        <v>8</v>
      </c>
      <c r="BD10" s="29" t="s">
        <v>642</v>
      </c>
      <c r="BE10" s="29"/>
      <c r="BS10" s="58" t="s">
        <v>629</v>
      </c>
      <c r="BT10" s="59">
        <v>436115</v>
      </c>
      <c r="BU10" s="21">
        <f>(GETPIVOTDATA("[Measures].[Sum of Sales]",$BS$6,"[Sales_Table].[Order_Date (Quarter)]","[Sales_Table].[Order_Date (Quarter)].&amp;[Qtr3]","[Sales_Table].[Order_Date (Year)]","[Sales_Table].[Order_Date (Year)].&amp;[2003]")-GETPIVOTDATA("[Measures].[Sum of Sales]",$BS$6,"[Sales_Table].[Order_Date (Quarter)]","[Sales_Table].[Order_Date (Quarter)].&amp;[Qtr2]","[Sales_Table].[Order_Date (Year)]","[Sales_Table].[Order_Date (Year)].&amp;[2003]"))/GETPIVOTDATA("[Measures].[Sum of Sales]",$BS$6,"[Sales_Table].[Order_Date (Quarter)]","[Sales_Table].[Order_Date (Quarter)].&amp;[Qtr2]","[Sales_Table].[Order_Date (Year)]","[Sales_Table].[Order_Date (Year)].&amp;[2003]")</f>
        <v>9.7807481246538791E-2</v>
      </c>
      <c r="CI10" s="57" t="s">
        <v>228</v>
      </c>
      <c r="CJ10" s="59">
        <v>125963</v>
      </c>
      <c r="CK10" s="59"/>
      <c r="CL10" s="5">
        <v>4</v>
      </c>
      <c r="CM10" s="29">
        <v>2.2011755892696341E-2</v>
      </c>
      <c r="CN10" s="5" t="s">
        <v>79</v>
      </c>
      <c r="CV10" s="57" t="s">
        <v>85</v>
      </c>
      <c r="CW10" s="59">
        <v>93782</v>
      </c>
      <c r="CX10" s="59">
        <v>93782</v>
      </c>
      <c r="CY10" s="5">
        <v>4</v>
      </c>
      <c r="CZ10" s="80">
        <f t="shared" si="0"/>
        <v>386109</v>
      </c>
      <c r="DA10" s="5" t="str" cm="1">
        <f t="array" ref="DA10">INDEX(_xlfn._xlws.FILTER($CV$7:$CV$25,$CX$7:$CX$25=CZ10),)</f>
        <v>UK</v>
      </c>
      <c r="DB10" s="41">
        <f t="shared" si="1"/>
        <v>5.7526310112177417E-2</v>
      </c>
      <c r="DC10"/>
      <c r="DD10"/>
      <c r="DE10"/>
      <c r="DJ10" s="57" t="s">
        <v>16</v>
      </c>
      <c r="DK10" s="59">
        <v>2454219</v>
      </c>
      <c r="DL10"/>
      <c r="DM10"/>
      <c r="DN10"/>
      <c r="DO10"/>
      <c r="DP10"/>
      <c r="DQ10"/>
      <c r="DR10"/>
      <c r="DS10"/>
      <c r="DT10"/>
      <c r="DU10" s="57" t="s">
        <v>68</v>
      </c>
      <c r="DV10" s="59">
        <v>482425</v>
      </c>
      <c r="DW10"/>
      <c r="DX10"/>
      <c r="DY10"/>
      <c r="DZ10"/>
      <c r="EA10"/>
      <c r="EB10"/>
      <c r="EF10" s="57" t="s">
        <v>258</v>
      </c>
      <c r="EG10" s="59">
        <v>355500</v>
      </c>
      <c r="EH10" s="41">
        <v>5.2965880735437586E-2</v>
      </c>
      <c r="EI10" s="59"/>
      <c r="ET10" s="57" t="s">
        <v>623</v>
      </c>
      <c r="EU10" s="59">
        <v>6711868</v>
      </c>
      <c r="EV10" s="77"/>
      <c r="EW10" s="59"/>
      <c r="FJ10" s="57" t="s">
        <v>623</v>
      </c>
      <c r="FK10">
        <v>206</v>
      </c>
      <c r="FL10" s="87" t="s">
        <v>704</v>
      </c>
      <c r="FM10" s="88">
        <f>(GETPIVOTDATA("[Measures].[Count of Return_ID]",$FJ$6,"[Returns_Table].[Order_Date (Year)]","[Returns_Table].[Order_Date (Year)].&amp;[2005]")/GETPIVOTDATA("[Measures].[Count of Return_ID]",$FJ$6,"[Returns_Table].[Order_Date (Year)]","[Returns_Table].[Order_Date (Year)].&amp;[2003]"))^(1/2)-1</f>
        <v>1.2730302828309759</v>
      </c>
      <c r="FN10" s="82"/>
      <c r="FY10" s="57" t="s">
        <v>623</v>
      </c>
      <c r="FZ10">
        <v>7664</v>
      </c>
      <c r="GA10" s="87" t="s">
        <v>704</v>
      </c>
      <c r="GB10" s="88">
        <f>(GETPIVOTDATA("[Measures].[Sum of Quantity_Ordered]",$FY$6,"[Returns_Table].[Order_Date (Year)]","[Returns_Table].[Order_Date (Year)].&amp;[2005]")/GETPIVOTDATA("[Measures].[Sum of Quantity_Ordered]",$FY$6,"[Returns_Table].[Order_Date (Year)]","[Returns_Table].[Order_Date (Year)].&amp;[2003]"))^(1/2)-1</f>
        <v>1.410201073024925</v>
      </c>
      <c r="GN10" s="57" t="s">
        <v>54</v>
      </c>
      <c r="GO10">
        <v>1335</v>
      </c>
      <c r="GP10" s="41">
        <f>GETPIVOTDATA("[Measures].[Sum of Quantity_Ordered]",$GN$6,"[Returns_Table].[Product_Category]","[Returns_Table].[Product_Category].&amp;[Infant Nutrition]")/GETPIVOTDATA("[Measures].[Sum of Quantity_Ordered]",$GN$6)</f>
        <v>0.17419102296450939</v>
      </c>
      <c r="GQ10"/>
      <c r="GR10"/>
      <c r="GS10"/>
      <c r="HC10" s="6" t="s">
        <v>247</v>
      </c>
      <c r="HD10" s="6">
        <v>42</v>
      </c>
      <c r="HE10" s="6">
        <v>42</v>
      </c>
      <c r="HF10" s="29">
        <f t="shared" si="2"/>
        <v>5.4801670146137791E-3</v>
      </c>
      <c r="HH10" s="165"/>
      <c r="HI10" s="165"/>
      <c r="HJ10" s="165"/>
      <c r="HL10" s="5"/>
      <c r="HP10" s="72"/>
      <c r="HR10" s="6" t="s">
        <v>629</v>
      </c>
      <c r="HS10" s="164">
        <v>50506.344999999987</v>
      </c>
      <c r="HT10" s="21"/>
      <c r="IG10" s="6" t="s">
        <v>68</v>
      </c>
      <c r="IH10" s="59">
        <v>34195.450000000012</v>
      </c>
      <c r="II10" s="41">
        <f>GETPIVOTDATA("[Measures].[Sum of Amt]",$IG$6,"[Marketing_Table].[Product_Category]","[Marketing_Table].[Product_Category].&amp;[Instant Foods]")/GETPIVOTDATA("[Measures].[Sum of Amt]",$IG$6)</f>
        <v>7.1421114328703017E-2</v>
      </c>
      <c r="IJ10"/>
      <c r="IK10"/>
      <c r="IL10"/>
      <c r="IM10"/>
      <c r="IN10"/>
      <c r="IO10"/>
      <c r="IP10"/>
      <c r="IQ10"/>
      <c r="IR10"/>
      <c r="IS10"/>
      <c r="IT10" s="57" t="s">
        <v>242</v>
      </c>
      <c r="IU10" s="59">
        <v>27125.160000000003</v>
      </c>
      <c r="IV10" s="41">
        <f>GETPIVOTDATA("[Measures].[Sum of Amt]",$IT$6,"[Marketing_Table].[Product_Name]","[Marketing_Table].[Product_Name].&amp;[Milko Gold]")/IU18</f>
        <v>5.6654003779577737E-2</v>
      </c>
      <c r="JJ10" s="58" t="s">
        <v>617</v>
      </c>
      <c r="JK10" s="59">
        <v>50506.344999999987</v>
      </c>
      <c r="JL10" s="59">
        <v>1127834</v>
      </c>
      <c r="JM10"/>
    </row>
    <row r="11" spans="1:273" x14ac:dyDescent="0.3">
      <c r="B11" s="58" t="s">
        <v>627</v>
      </c>
      <c r="C11" s="59">
        <v>579705</v>
      </c>
      <c r="P11" s="57" t="s">
        <v>165</v>
      </c>
      <c r="Q11">
        <v>550</v>
      </c>
      <c r="Y11" s="57" t="s">
        <v>61</v>
      </c>
      <c r="Z11">
        <v>1338</v>
      </c>
      <c r="AK11" s="58" t="s">
        <v>627</v>
      </c>
      <c r="AL11" s="59">
        <v>20315.925000000007</v>
      </c>
      <c r="AQ11" s="57" t="s">
        <v>61</v>
      </c>
      <c r="AR11" s="59">
        <v>14774.987499999999</v>
      </c>
      <c r="AV11" s="5" t="s">
        <v>11</v>
      </c>
      <c r="AW11" s="5" t="s">
        <v>637</v>
      </c>
      <c r="AX11" s="5" t="s">
        <v>240</v>
      </c>
      <c r="AZ11" s="5" t="s">
        <v>370</v>
      </c>
      <c r="BA11" s="5" t="s">
        <v>637</v>
      </c>
      <c r="BB11" s="5" t="s">
        <v>240</v>
      </c>
      <c r="BD11" s="29" t="s">
        <v>643</v>
      </c>
      <c r="BE11" s="29"/>
      <c r="BS11" s="58" t="s">
        <v>630</v>
      </c>
      <c r="BT11" s="59">
        <v>1127834</v>
      </c>
      <c r="BU11" s="21">
        <f>(GETPIVOTDATA("[Measures].[Sum of Sales]",$BS$6,"[Sales_Table].[Order_Date (Quarter)]","[Sales_Table].[Order_Date (Quarter)].&amp;[Qtr4]","[Sales_Table].[Order_Date (Year)]","[Sales_Table].[Order_Date (Year)].&amp;[2003]")-GETPIVOTDATA("[Measures].[Sum of Sales]",$BS$6,"[Sales_Table].[Order_Date (Quarter)]","[Sales_Table].[Order_Date (Quarter)].&amp;[Qtr3]","[Sales_Table].[Order_Date (Year)]","[Sales_Table].[Order_Date (Year)].&amp;[2003]"))/GETPIVOTDATA("[Measures].[Sum of Sales]",$BS$6,"[Sales_Table].[Order_Date (Quarter)]","[Sales_Table].[Order_Date (Quarter)].&amp;[Qtr3]","[Sales_Table].[Order_Date (Year)]","[Sales_Table].[Order_Date (Year)].&amp;[2003]")</f>
        <v>1.5860931176409891</v>
      </c>
      <c r="CI11" s="57" t="s">
        <v>156</v>
      </c>
      <c r="CJ11" s="59">
        <v>130192</v>
      </c>
      <c r="CK11" s="59"/>
      <c r="CL11" s="5">
        <v>5</v>
      </c>
      <c r="CM11" s="29">
        <v>2.0789443415752513E-2</v>
      </c>
      <c r="CN11" s="5" t="s">
        <v>101</v>
      </c>
      <c r="CV11" s="57" t="s">
        <v>96</v>
      </c>
      <c r="CW11" s="59">
        <v>124888</v>
      </c>
      <c r="CX11" s="59">
        <v>124888</v>
      </c>
      <c r="CY11" s="5">
        <v>5</v>
      </c>
      <c r="CZ11" s="80">
        <f t="shared" si="0"/>
        <v>339577</v>
      </c>
      <c r="DA11" s="5" t="str" cm="1">
        <f t="array" ref="DA11">INDEX(_xlfn._xlws.FILTER($CV$7:$CV$25,$CX$7:$CX$25=CZ11),)</f>
        <v>Finland</v>
      </c>
      <c r="DB11" s="41">
        <f t="shared" si="1"/>
        <v>5.0593515843875357E-2</v>
      </c>
      <c r="DC11"/>
      <c r="DD11"/>
      <c r="DE11"/>
      <c r="DJ11" s="57" t="s">
        <v>623</v>
      </c>
      <c r="DK11" s="59">
        <v>6711868</v>
      </c>
      <c r="DL11"/>
      <c r="DM11"/>
      <c r="DN11"/>
      <c r="DO11"/>
      <c r="DP11"/>
      <c r="DQ11"/>
      <c r="DR11"/>
      <c r="DS11"/>
      <c r="DT11"/>
      <c r="DU11" s="57" t="s">
        <v>61</v>
      </c>
      <c r="DV11" s="59">
        <v>262440</v>
      </c>
      <c r="DW11"/>
      <c r="DX11"/>
      <c r="DY11"/>
      <c r="DZ11"/>
      <c r="EA11"/>
      <c r="EB11"/>
      <c r="EF11" s="57" t="s">
        <v>260</v>
      </c>
      <c r="EG11" s="59">
        <v>532180</v>
      </c>
      <c r="EH11" s="41">
        <v>7.928940199658277E-2</v>
      </c>
      <c r="EI11" s="59"/>
      <c r="ET11"/>
      <c r="EU11"/>
      <c r="FJ11"/>
      <c r="FK11"/>
      <c r="GN11" s="57" t="s">
        <v>61</v>
      </c>
      <c r="GO11">
        <v>1338</v>
      </c>
      <c r="GP11" s="41">
        <f>GETPIVOTDATA("[Measures].[Sum of Quantity_Ordered]",$GN$6,"[Returns_Table].[Product_Category]","[Returns_Table].[Product_Category].&amp;[Water &amp; Juices]")/GETPIVOTDATA("[Measures].[Sum of Quantity_Ordered]",$GN$6)</f>
        <v>0.17458246346555323</v>
      </c>
      <c r="GQ11"/>
      <c r="GR11"/>
      <c r="GS11"/>
      <c r="HC11" s="6" t="s">
        <v>257</v>
      </c>
      <c r="HD11" s="6">
        <v>48</v>
      </c>
      <c r="HE11" s="6">
        <v>48</v>
      </c>
      <c r="HF11" s="29">
        <f t="shared" si="2"/>
        <v>6.2630480167014616E-3</v>
      </c>
      <c r="HH11" s="165"/>
      <c r="HI11" s="165"/>
      <c r="HJ11" s="165"/>
      <c r="HL11" s="5"/>
      <c r="HP11" s="72"/>
      <c r="HR11" s="6" t="s">
        <v>630</v>
      </c>
      <c r="HS11" s="164">
        <v>50506.344999999987</v>
      </c>
      <c r="HT11" s="21"/>
      <c r="IG11" s="6" t="s">
        <v>17</v>
      </c>
      <c r="IH11" s="59">
        <v>54022.80999999999</v>
      </c>
      <c r="II11" s="41">
        <f>GETPIVOTDATA("[Measures].[Sum of Amt]",$IG$6,"[Marketing_Table].[Product_Category]","[Marketing_Table].[Product_Category].&amp;[Dairy Products]")/GETPIVOTDATA("[Measures].[Sum of Amt]",$IG$6)</f>
        <v>0.1128328268634511</v>
      </c>
      <c r="IJ11"/>
      <c r="IK11"/>
      <c r="IL11"/>
      <c r="IM11"/>
      <c r="IN11"/>
      <c r="IO11"/>
      <c r="IP11"/>
      <c r="IQ11"/>
      <c r="IR11"/>
      <c r="IS11"/>
      <c r="IT11" s="57" t="s">
        <v>252</v>
      </c>
      <c r="IU11" s="59">
        <v>29727.637499999997</v>
      </c>
      <c r="IV11" s="41">
        <f>GETPIVOTDATA("[Measures].[Sum of Amt]",$IT$6,"[Marketing_Table].[Product_Name]","[Marketing_Table].[Product_Name].&amp;[Zest Lemon Tea]")/IU18</f>
        <v>6.2089576145649153E-2</v>
      </c>
      <c r="JJ11" s="57" t="s">
        <v>701</v>
      </c>
      <c r="JK11" s="59">
        <v>202025.38000000009</v>
      </c>
      <c r="JL11" s="59">
        <v>2252887</v>
      </c>
    </row>
    <row r="12" spans="1:273" x14ac:dyDescent="0.3">
      <c r="B12" s="58" t="s">
        <v>628</v>
      </c>
      <c r="C12" s="59">
        <v>321094</v>
      </c>
      <c r="P12" s="57" t="s">
        <v>227</v>
      </c>
      <c r="Q12">
        <v>571</v>
      </c>
      <c r="Y12" s="57" t="s">
        <v>623</v>
      </c>
      <c r="Z12">
        <v>7664</v>
      </c>
      <c r="AK12" s="58" t="s">
        <v>628</v>
      </c>
      <c r="AL12" s="59">
        <v>20315.925000000007</v>
      </c>
      <c r="AQ12" s="57" t="s">
        <v>623</v>
      </c>
      <c r="AR12" s="59">
        <v>478786.28500000032</v>
      </c>
      <c r="AV12" s="5" t="s">
        <v>11</v>
      </c>
      <c r="AW12" s="5" t="s">
        <v>637</v>
      </c>
      <c r="AX12" s="5" t="s">
        <v>10</v>
      </c>
      <c r="AZ12" s="5" t="s">
        <v>370</v>
      </c>
      <c r="BA12" s="5" t="s">
        <v>637</v>
      </c>
      <c r="BB12" s="5" t="s">
        <v>10</v>
      </c>
      <c r="BG12" t="s">
        <v>693</v>
      </c>
      <c r="BH12"/>
      <c r="BS12" s="57" t="s">
        <v>701</v>
      </c>
      <c r="BT12">
        <v>2252887</v>
      </c>
      <c r="BU12" s="21"/>
      <c r="CI12" s="57" t="s">
        <v>101</v>
      </c>
      <c r="CJ12" s="59">
        <v>139536</v>
      </c>
      <c r="CK12" s="59"/>
      <c r="CL12" s="5">
        <v>6</v>
      </c>
      <c r="CM12" s="29">
        <v>1.9397282544889143E-2</v>
      </c>
      <c r="CN12" s="5" t="s">
        <v>156</v>
      </c>
      <c r="CV12" s="57" t="s">
        <v>24</v>
      </c>
      <c r="CW12" s="59">
        <v>135589</v>
      </c>
      <c r="CX12" s="59">
        <v>135589</v>
      </c>
      <c r="CY12" s="5">
        <v>6</v>
      </c>
      <c r="CZ12" s="80">
        <f t="shared" si="0"/>
        <v>303472</v>
      </c>
      <c r="DA12" s="5" t="str" cm="1">
        <f t="array" ref="DA12">INDEX(_xlfn._xlws.FILTER($CV$7:$CV$25,$CX$7:$CX$25=CZ12),)</f>
        <v>Australia</v>
      </c>
      <c r="DB12" s="41">
        <f t="shared" si="1"/>
        <v>4.521423842066024E-2</v>
      </c>
      <c r="DC12"/>
      <c r="DD12"/>
      <c r="DE12"/>
      <c r="DJ12"/>
      <c r="DK12"/>
      <c r="DL12"/>
      <c r="DM12"/>
      <c r="DN12"/>
      <c r="DO12"/>
      <c r="DP12"/>
      <c r="DQ12"/>
      <c r="DR12"/>
      <c r="DS12"/>
      <c r="DT12"/>
      <c r="DU12" s="57" t="s">
        <v>35</v>
      </c>
      <c r="DV12" s="59">
        <v>256940</v>
      </c>
      <c r="DW12"/>
      <c r="DX12"/>
      <c r="DY12"/>
      <c r="DZ12"/>
      <c r="EA12"/>
      <c r="EB12"/>
      <c r="EF12" s="57" t="s">
        <v>242</v>
      </c>
      <c r="EG12" s="59">
        <v>555408</v>
      </c>
      <c r="EH12" s="41">
        <v>8.2750137517603142E-2</v>
      </c>
      <c r="EI12" s="59"/>
      <c r="ET12"/>
      <c r="EU12"/>
      <c r="FJ12"/>
      <c r="FK12"/>
      <c r="GN12" s="57" t="s">
        <v>17</v>
      </c>
      <c r="GO12">
        <v>1788</v>
      </c>
      <c r="GP12" s="41">
        <f>GETPIVOTDATA("[Measures].[Sum of Quantity_Ordered]",$GN$6,"[Returns_Table].[Product_Category]","[Returns_Table].[Product_Category].&amp;[Dairy Products]")/GETPIVOTDATA("[Measures].[Sum of Quantity_Ordered]",$GN$6)</f>
        <v>0.23329853862212943</v>
      </c>
      <c r="GQ12"/>
      <c r="GR12"/>
      <c r="GS12"/>
      <c r="HC12" s="6" t="s">
        <v>243</v>
      </c>
      <c r="HD12" s="6">
        <v>55</v>
      </c>
      <c r="HE12" s="6">
        <v>55</v>
      </c>
      <c r="HF12" s="29">
        <f t="shared" si="2"/>
        <v>7.1764091858037577E-3</v>
      </c>
      <c r="HH12" s="165"/>
      <c r="HI12" s="165"/>
      <c r="HJ12" s="165"/>
      <c r="HL12" s="5"/>
      <c r="HP12" s="72"/>
      <c r="HR12" s="6" t="s">
        <v>701</v>
      </c>
      <c r="HS12" s="164">
        <v>202025.38000000009</v>
      </c>
      <c r="HT12" s="21"/>
      <c r="IG12" s="6" t="s">
        <v>54</v>
      </c>
      <c r="IH12" s="59">
        <v>114275.80000000002</v>
      </c>
      <c r="II12" s="41">
        <f>GETPIVOTDATA("[Measures].[Sum of Amt]",$IG$6,"[Marketing_Table].[Product_Category]","[Marketing_Table].[Product_Category].&amp;[Infant Nutrition]")/GETPIVOTDATA("[Measures].[Sum of Amt]",$IG$6)</f>
        <v>0.23867809830851763</v>
      </c>
      <c r="IJ12"/>
      <c r="IK12"/>
      <c r="IL12"/>
      <c r="IM12"/>
      <c r="IN12"/>
      <c r="IO12"/>
      <c r="IP12"/>
      <c r="IQ12"/>
      <c r="IR12"/>
      <c r="IS12"/>
      <c r="IT12" s="57" t="s">
        <v>260</v>
      </c>
      <c r="IU12" s="59">
        <v>38613.300000000003</v>
      </c>
      <c r="IV12" s="41">
        <f>GETPIVOTDATA("[Measures].[Sum of Amt]",$IT$6,"[Marketing_Table].[Product_Name]","[Marketing_Table].[Product_Name].&amp;[BabyGrow 1]")/IU18</f>
        <v>8.0648300107426796E-2</v>
      </c>
      <c r="JJ12" s="57">
        <v>2004</v>
      </c>
      <c r="JK12" s="59"/>
      <c r="JL12" s="59"/>
    </row>
    <row r="13" spans="1:273" x14ac:dyDescent="0.3">
      <c r="B13" s="58" t="s">
        <v>629</v>
      </c>
      <c r="C13" s="59">
        <v>712020</v>
      </c>
      <c r="P13" s="57" t="s">
        <v>220</v>
      </c>
      <c r="Q13">
        <v>585</v>
      </c>
      <c r="AK13" s="58" t="s">
        <v>629</v>
      </c>
      <c r="AL13" s="59">
        <v>77432.677499999991</v>
      </c>
      <c r="BF13" s="5" t="s">
        <v>691</v>
      </c>
      <c r="BG13" s="70">
        <v>7.3574870879173623E-2</v>
      </c>
      <c r="BH13"/>
      <c r="BS13" s="57" t="s">
        <v>625</v>
      </c>
      <c r="BT13"/>
      <c r="BU13" s="21"/>
      <c r="CI13" s="57" t="s">
        <v>79</v>
      </c>
      <c r="CJ13" s="59">
        <v>147740</v>
      </c>
      <c r="CK13" s="59"/>
      <c r="CL13" s="5">
        <v>7</v>
      </c>
      <c r="CM13" s="29">
        <v>1.8767204599375316E-2</v>
      </c>
      <c r="CN13" s="5" t="s">
        <v>228</v>
      </c>
      <c r="CV13" s="57" t="s">
        <v>31</v>
      </c>
      <c r="CW13" s="59">
        <v>144786</v>
      </c>
      <c r="CX13" s="59">
        <v>144786</v>
      </c>
      <c r="CY13" s="5">
        <v>7</v>
      </c>
      <c r="CZ13" s="80">
        <f t="shared" si="0"/>
        <v>236674</v>
      </c>
      <c r="DA13" s="5" t="str" cm="1">
        <f t="array" ref="DA13">INDEX(_xlfn._xlws.FILTER($CV$7:$CV$25,$CX$7:$CX$25=CZ13),)</f>
        <v>Italy</v>
      </c>
      <c r="DB13" s="41">
        <f t="shared" si="1"/>
        <v>3.5262016475890168E-2</v>
      </c>
      <c r="DC13"/>
      <c r="DD13"/>
      <c r="DE13"/>
      <c r="DJ13"/>
      <c r="DK13"/>
      <c r="DL13"/>
      <c r="DM13"/>
      <c r="DU13" s="57" t="s">
        <v>47</v>
      </c>
      <c r="DV13" s="59">
        <v>216370</v>
      </c>
      <c r="EF13" s="57" t="s">
        <v>259</v>
      </c>
      <c r="EG13" s="59">
        <v>632250</v>
      </c>
      <c r="EH13" s="41">
        <v>9.4198813206695958E-2</v>
      </c>
      <c r="EI13" s="59"/>
      <c r="ET13"/>
      <c r="EU13"/>
      <c r="FJ13"/>
      <c r="FK13"/>
      <c r="GN13" s="57" t="s">
        <v>32</v>
      </c>
      <c r="GO13">
        <v>2037</v>
      </c>
      <c r="GP13" s="41">
        <f>GETPIVOTDATA("[Measures].[Sum of Quantity_Ordered]",$GN$6,"[Returns_Table].[Product_Category]","[Returns_Table].[Product_Category].&amp;[Beverages]")/GETPIVOTDATA("[Measures].[Sum of Quantity_Ordered]",$GN$6)</f>
        <v>0.26578810020876825</v>
      </c>
      <c r="GQ13"/>
      <c r="GR13"/>
      <c r="GS13"/>
      <c r="HC13" s="6" t="s">
        <v>263</v>
      </c>
      <c r="HD13" s="6">
        <v>58</v>
      </c>
      <c r="HE13" s="6">
        <v>58</v>
      </c>
      <c r="HF13" s="29">
        <f t="shared" si="2"/>
        <v>7.5678496868475994E-3</v>
      </c>
      <c r="HH13" s="165"/>
      <c r="HI13" s="165"/>
      <c r="HJ13" s="165"/>
      <c r="HL13" s="5"/>
      <c r="HP13" s="72"/>
      <c r="HR13" s="6" t="s">
        <v>625</v>
      </c>
      <c r="HS13" s="164"/>
      <c r="HT13" s="21"/>
      <c r="IG13" s="6" t="s">
        <v>32</v>
      </c>
      <c r="IH13" s="59">
        <v>233908.63749999998</v>
      </c>
      <c r="II13" s="41">
        <f>GETPIVOTDATA("[Measures].[Sum of Amt]",$IG$6,"[Marketing_Table].[Product_Category]","[Marketing_Table].[Product_Category].&amp;[Beverages]")/GETPIVOTDATA("[Measures].[Sum of Amt]",$IG$6)</f>
        <v>0.48854498307109995</v>
      </c>
      <c r="IJ13"/>
      <c r="IK13"/>
      <c r="IL13"/>
      <c r="IM13"/>
      <c r="IN13"/>
      <c r="IO13"/>
      <c r="IP13"/>
      <c r="IQ13"/>
      <c r="IR13"/>
      <c r="IS13"/>
      <c r="IT13" s="57" t="s">
        <v>259</v>
      </c>
      <c r="IU13" s="59">
        <v>45926.25</v>
      </c>
      <c r="IV13" s="41">
        <f>GETPIVOTDATA("[Measures].[Sum of Amt]",$IT$6,"[Marketing_Table].[Product_Name]","[Marketing_Table].[Product_Name].&amp;[BabyGrow 2]")/IU18</f>
        <v>9.5922233862651196E-2</v>
      </c>
      <c r="JJ13" s="58" t="s">
        <v>614</v>
      </c>
      <c r="JK13" s="59">
        <v>20315.925000000007</v>
      </c>
      <c r="JL13" s="59">
        <v>579705</v>
      </c>
    </row>
    <row r="14" spans="1:273" x14ac:dyDescent="0.3">
      <c r="B14" s="58" t="s">
        <v>630</v>
      </c>
      <c r="C14" s="59">
        <v>1235742</v>
      </c>
      <c r="P14" s="57" t="s">
        <v>42</v>
      </c>
      <c r="Q14">
        <v>1783</v>
      </c>
      <c r="AK14" s="58" t="s">
        <v>630</v>
      </c>
      <c r="AL14" s="59">
        <v>77432.677499999991</v>
      </c>
      <c r="AV14" s="5" t="s">
        <v>644</v>
      </c>
      <c r="AZ14" s="5" t="s">
        <v>370</v>
      </c>
      <c r="BA14" s="5" t="s">
        <v>637</v>
      </c>
      <c r="BB14" s="5" t="s">
        <v>3</v>
      </c>
      <c r="BD14" s="5" t="s">
        <v>638</v>
      </c>
      <c r="BG14" t="s">
        <v>690</v>
      </c>
      <c r="BH14"/>
      <c r="BS14" s="58" t="s">
        <v>627</v>
      </c>
      <c r="BT14" s="59">
        <v>579705</v>
      </c>
      <c r="BU14" s="21">
        <f>(GETPIVOTDATA("[Measures].[Sum of Sales]",$BS$6,"[Sales_Table].[Order_Date (Quarter)]","[Sales_Table].[Order_Date (Quarter)].&amp;[Qtr1]","[Sales_Table].[Order_Date (Year)]","[Sales_Table].[Order_Date (Year)].&amp;[2004]")-GETPIVOTDATA("[Measures].[Sum of Sales]",$BS$6,"[Sales_Table].[Order_Date (Quarter)]","[Sales_Table].[Order_Date (Quarter)].&amp;[Qtr4]","[Sales_Table].[Order_Date (Year)]","[Sales_Table].[Order_Date (Year)].&amp;[2003]"))/GETPIVOTDATA("[Measures].[Sum of Sales]",$BS$6,"[Sales_Table].[Order_Date (Quarter)]","[Sales_Table].[Order_Date (Quarter)].&amp;[Qtr4]","[Sales_Table].[Order_Date (Year)]","[Sales_Table].[Order_Date (Year)].&amp;[2003]")</f>
        <v>-0.48600148603429227</v>
      </c>
      <c r="CI14" s="57" t="s">
        <v>145</v>
      </c>
      <c r="CJ14" s="59">
        <v>169803</v>
      </c>
      <c r="CK14" s="59"/>
      <c r="CL14" s="5">
        <v>8</v>
      </c>
      <c r="CM14" s="29">
        <v>1.868555817843855E-2</v>
      </c>
      <c r="CN14" s="5" t="s">
        <v>187</v>
      </c>
      <c r="CV14" s="57" t="s">
        <v>74</v>
      </c>
      <c r="CW14" s="59">
        <v>151404</v>
      </c>
      <c r="CX14" s="59">
        <v>151404</v>
      </c>
      <c r="CY14" s="5">
        <v>8</v>
      </c>
      <c r="CZ14" s="80">
        <f t="shared" si="0"/>
        <v>186704</v>
      </c>
      <c r="DA14" s="5" t="str" cm="1">
        <f t="array" ref="DA14">INDEX(_xlfn._xlws.FILTER($CV$7:$CV$25,$CX$7:$CX$25=CZ14),)</f>
        <v>Singapore</v>
      </c>
      <c r="DB14" s="41">
        <f t="shared" si="1"/>
        <v>2.7816995209083373E-2</v>
      </c>
      <c r="DC14"/>
      <c r="DD14"/>
      <c r="DE14"/>
      <c r="DJ14"/>
      <c r="DK14"/>
      <c r="DL14"/>
      <c r="DM14"/>
      <c r="DU14" s="57" t="s">
        <v>623</v>
      </c>
      <c r="DV14" s="59">
        <v>6711868</v>
      </c>
      <c r="EF14" s="57" t="s">
        <v>245</v>
      </c>
      <c r="EG14" s="59">
        <v>688415</v>
      </c>
      <c r="EH14" s="41">
        <v>0.10256682640361819</v>
      </c>
      <c r="EI14" s="59"/>
      <c r="ET14"/>
      <c r="EU14"/>
      <c r="FJ14"/>
      <c r="FK14"/>
      <c r="GN14" s="57" t="s">
        <v>623</v>
      </c>
      <c r="GO14">
        <v>7664</v>
      </c>
      <c r="GP14" s="41"/>
      <c r="GQ14"/>
      <c r="GR14"/>
      <c r="GS14"/>
      <c r="HC14" s="6" t="s">
        <v>262</v>
      </c>
      <c r="HD14" s="6">
        <v>87</v>
      </c>
      <c r="HE14" s="6">
        <v>87</v>
      </c>
      <c r="HF14" s="29">
        <f t="shared" si="2"/>
        <v>1.1351774530271398E-2</v>
      </c>
      <c r="HH14" s="165"/>
      <c r="HI14" s="165"/>
      <c r="HJ14" s="165"/>
      <c r="HL14" s="5"/>
      <c r="HP14" s="72"/>
      <c r="HR14" s="6" t="s">
        <v>627</v>
      </c>
      <c r="HS14" s="164">
        <v>20315.925000000007</v>
      </c>
      <c r="HT14" s="21"/>
      <c r="IG14" s="6" t="s">
        <v>623</v>
      </c>
      <c r="IH14" s="59">
        <v>478786.28500000032</v>
      </c>
      <c r="II14" s="41"/>
      <c r="IJ14"/>
      <c r="IK14"/>
      <c r="IL14"/>
      <c r="IM14"/>
      <c r="IN14"/>
      <c r="IO14"/>
      <c r="IP14"/>
      <c r="IQ14"/>
      <c r="IR14"/>
      <c r="IS14"/>
      <c r="IT14" s="57" t="s">
        <v>254</v>
      </c>
      <c r="IU14" s="59">
        <v>58359.600000000013</v>
      </c>
      <c r="IV14" s="41">
        <f>GETPIVOTDATA("[Measures].[Sum of Amt]",$IT$6,"[Marketing_Table].[Product_Name]","[Marketing_Table].[Product_Name].&amp;[Cold Bean Coffee]")/IU18</f>
        <v>0.12189070954695365</v>
      </c>
      <c r="JJ14" s="58" t="s">
        <v>615</v>
      </c>
      <c r="JK14" s="59">
        <v>20315.925000000007</v>
      </c>
      <c r="JL14" s="59">
        <v>321094</v>
      </c>
    </row>
    <row r="15" spans="1:273" x14ac:dyDescent="0.3">
      <c r="B15" s="57" t="s">
        <v>626</v>
      </c>
      <c r="P15" s="57" t="s">
        <v>623</v>
      </c>
      <c r="Q15" s="59">
        <v>6306</v>
      </c>
      <c r="AK15" s="57" t="s">
        <v>626</v>
      </c>
      <c r="AL15" s="49"/>
      <c r="AV15" s="5" t="s">
        <v>645</v>
      </c>
      <c r="AZ15" s="5" t="s">
        <v>370</v>
      </c>
      <c r="BA15" s="5" t="s">
        <v>637</v>
      </c>
      <c r="BB15" s="5" t="s">
        <v>8</v>
      </c>
      <c r="BD15" s="29" t="s">
        <v>639</v>
      </c>
      <c r="BE15" s="29"/>
      <c r="BF15" s="5" t="s">
        <v>678</v>
      </c>
      <c r="BG15" s="68">
        <v>39898.857083333358</v>
      </c>
      <c r="BH15"/>
      <c r="BS15" s="58" t="s">
        <v>628</v>
      </c>
      <c r="BT15" s="59">
        <v>321094</v>
      </c>
      <c r="BU15" s="21">
        <f>(GETPIVOTDATA("[Measures].[Sum of Sales]",$BS$6,"[Sales_Table].[Order_Date (Quarter)]","[Sales_Table].[Order_Date (Quarter)].&amp;[Qtr2]","[Sales_Table].[Order_Date (Year)]","[Sales_Table].[Order_Date (Year)].&amp;[2004]")-GETPIVOTDATA("[Measures].[Sum of Sales]",$BS$6,"[Sales_Table].[Order_Date (Quarter)]","[Sales_Table].[Order_Date (Quarter)].&amp;[Qtr1]","[Sales_Table].[Order_Date (Year)]","[Sales_Table].[Order_Date (Year)].&amp;[2004]"))/GETPIVOTDATA("[Measures].[Sum of Sales]",$BS$6,"[Sales_Table].[Order_Date (Quarter)]","[Sales_Table].[Order_Date (Quarter)].&amp;[Qtr1]","[Sales_Table].[Order_Date (Year)]","[Sales_Table].[Order_Date (Year)].&amp;[2004]")</f>
        <v>-0.44610793420791611</v>
      </c>
      <c r="CI15" s="57" t="s">
        <v>88</v>
      </c>
      <c r="CJ15" s="59">
        <v>533625</v>
      </c>
      <c r="CK15" s="59"/>
      <c r="CL15" s="5">
        <v>9</v>
      </c>
      <c r="CM15" s="29">
        <v>1.8192252886975728E-2</v>
      </c>
      <c r="CN15" s="5" t="s">
        <v>136</v>
      </c>
      <c r="CV15" s="57" t="s">
        <v>51</v>
      </c>
      <c r="CW15" s="59">
        <v>153659</v>
      </c>
      <c r="CX15" s="59">
        <v>153659</v>
      </c>
      <c r="CY15" s="5">
        <v>9</v>
      </c>
      <c r="CZ15" s="80">
        <f t="shared" si="0"/>
        <v>182608</v>
      </c>
      <c r="DA15" s="5" t="str" cm="1">
        <f t="array" ref="DA15">INDEX(_xlfn._xlws.FILTER($CV$7:$CV$25,$CX$7:$CX$25=CZ15),)</f>
        <v>Canada</v>
      </c>
      <c r="DB15" s="41">
        <f t="shared" si="1"/>
        <v>2.7206732909526826E-2</v>
      </c>
      <c r="DC15"/>
      <c r="DD15"/>
      <c r="DE15"/>
      <c r="DJ15"/>
      <c r="DK15"/>
      <c r="DL15"/>
      <c r="DM15"/>
      <c r="DU15"/>
      <c r="DV15"/>
      <c r="EF15" s="57" t="s">
        <v>254</v>
      </c>
      <c r="EG15" s="59">
        <v>707220</v>
      </c>
      <c r="EH15" s="41">
        <v>0.10536857995419457</v>
      </c>
      <c r="EI15" s="59"/>
      <c r="ET15"/>
      <c r="EU15"/>
      <c r="FJ15"/>
      <c r="FK15"/>
      <c r="GN15"/>
      <c r="GO15"/>
      <c r="GP15" s="41"/>
      <c r="GQ15"/>
      <c r="GR15"/>
      <c r="GS15"/>
      <c r="HC15" s="6" t="s">
        <v>241</v>
      </c>
      <c r="HD15" s="6">
        <v>119</v>
      </c>
      <c r="HE15" s="6">
        <v>119</v>
      </c>
      <c r="HF15" s="29">
        <f t="shared" si="2"/>
        <v>1.552713987473904E-2</v>
      </c>
      <c r="HH15" s="165"/>
      <c r="HI15" s="165"/>
      <c r="HJ15" s="165"/>
      <c r="HL15" s="5"/>
      <c r="HP15" s="72"/>
      <c r="HR15" s="6" t="s">
        <v>628</v>
      </c>
      <c r="HS15" s="164">
        <v>20315.925000000007</v>
      </c>
      <c r="HT15" s="21"/>
      <c r="IG15" s="6"/>
      <c r="IH15"/>
      <c r="II15"/>
      <c r="IJ15"/>
      <c r="IK15"/>
      <c r="IL15"/>
      <c r="IM15"/>
      <c r="IN15"/>
      <c r="IO15"/>
      <c r="IP15"/>
      <c r="IQ15"/>
      <c r="IR15"/>
      <c r="IS15"/>
      <c r="IT15" s="57" t="s">
        <v>245</v>
      </c>
      <c r="IU15" s="59">
        <v>62950.149999999994</v>
      </c>
      <c r="IV15" s="41">
        <f>GETPIVOTDATA("[Measures].[Sum of Amt]",$IT$6,"[Marketing_Table].[Product_Name]","[Marketing_Table].[Product_Name].&amp;[Brew Black Coffee]")/IU18</f>
        <v>0.13147859905803264</v>
      </c>
      <c r="JJ15" s="58" t="s">
        <v>616</v>
      </c>
      <c r="JK15" s="59">
        <v>77432.677499999991</v>
      </c>
      <c r="JL15" s="59">
        <v>712020</v>
      </c>
    </row>
    <row r="16" spans="1:273" x14ac:dyDescent="0.3">
      <c r="B16" s="58" t="s">
        <v>627</v>
      </c>
      <c r="C16" s="59">
        <v>627296</v>
      </c>
      <c r="AK16" s="58" t="s">
        <v>627</v>
      </c>
      <c r="AL16" s="59">
        <v>20315.925000000007</v>
      </c>
      <c r="AZ16" s="5" t="s">
        <v>370</v>
      </c>
      <c r="BA16" s="5" t="s">
        <v>637</v>
      </c>
      <c r="BB16" s="5" t="s">
        <v>240</v>
      </c>
      <c r="BD16" s="29" t="s">
        <v>643</v>
      </c>
      <c r="BE16" s="29"/>
      <c r="BG16" t="s">
        <v>694</v>
      </c>
      <c r="BS16" s="58" t="s">
        <v>629</v>
      </c>
      <c r="BT16" s="59">
        <v>712020</v>
      </c>
      <c r="BU16" s="21">
        <f>(GETPIVOTDATA("[Measures].[Sum of Sales]",$BS$6,"[Sales_Table].[Order_Date (Quarter)]","[Sales_Table].[Order_Date (Quarter)].&amp;[Qtr3]","[Sales_Table].[Order_Date (Year)]","[Sales_Table].[Order_Date (Year)].&amp;[2004]")-GETPIVOTDATA("[Measures].[Sum of Sales]",$BS$6,"[Sales_Table].[Order_Date (Quarter)]","[Sales_Table].[Order_Date (Quarter)].&amp;[Qtr2]","[Sales_Table].[Order_Date (Year)]","[Sales_Table].[Order_Date (Year)].&amp;[2004]"))/GETPIVOTDATA("[Measures].[Sum of Sales]",$BS$6,"[Sales_Table].[Order_Date (Quarter)]","[Sales_Table].[Order_Date (Quarter)].&amp;[Qtr2]","[Sales_Table].[Order_Date (Year)]","[Sales_Table].[Order_Date (Year)].&amp;[2004]")</f>
        <v>1.2174814851725664</v>
      </c>
      <c r="CI16" s="57" t="s">
        <v>41</v>
      </c>
      <c r="CJ16" s="59">
        <v>643965</v>
      </c>
      <c r="CK16" s="59"/>
      <c r="CL16" s="5">
        <v>10</v>
      </c>
      <c r="CM16" s="29">
        <v>1.7964000483918934E-2</v>
      </c>
      <c r="CN16" s="5" t="s">
        <v>97</v>
      </c>
      <c r="CV16" s="57" t="s">
        <v>103</v>
      </c>
      <c r="CW16" s="59">
        <v>160769</v>
      </c>
      <c r="CX16" s="59">
        <v>160769</v>
      </c>
      <c r="CY16" s="5">
        <v>10</v>
      </c>
      <c r="CZ16" s="80">
        <f t="shared" si="0"/>
        <v>160769</v>
      </c>
      <c r="DA16" s="5" t="str" cm="1">
        <f t="array" ref="DA16">INDEX(_xlfn._xlws.FILTER($CV$7:$CV$25,$CX$7:$CX$25=CZ16),)</f>
        <v>Austria</v>
      </c>
      <c r="DB16" s="41">
        <f t="shared" si="1"/>
        <v>2.3952944247413687E-2</v>
      </c>
      <c r="DC16"/>
      <c r="DD16"/>
      <c r="DE16"/>
      <c r="DJ16"/>
      <c r="DK16"/>
      <c r="DL16"/>
      <c r="DM16"/>
      <c r="DU16"/>
      <c r="DV16"/>
      <c r="EF16" s="57" t="s">
        <v>246</v>
      </c>
      <c r="EG16" s="59">
        <v>770160</v>
      </c>
      <c r="EH16" s="41">
        <v>0.11474599917638428</v>
      </c>
      <c r="EI16" s="59"/>
      <c r="ET16"/>
      <c r="EU16"/>
      <c r="FJ16"/>
      <c r="FK16"/>
      <c r="GN16"/>
      <c r="GO16"/>
      <c r="GP16" s="41"/>
      <c r="GQ16"/>
      <c r="GR16"/>
      <c r="GS16"/>
      <c r="HC16" s="6" t="s">
        <v>267</v>
      </c>
      <c r="HD16" s="6">
        <v>146</v>
      </c>
      <c r="HE16" s="6">
        <v>146</v>
      </c>
      <c r="HF16" s="29">
        <f t="shared" si="2"/>
        <v>1.9050104384133612E-2</v>
      </c>
      <c r="HH16" s="165"/>
      <c r="HI16" s="165"/>
      <c r="HJ16" s="165"/>
      <c r="HL16" s="5"/>
      <c r="HP16" s="72"/>
      <c r="HR16" s="6" t="s">
        <v>629</v>
      </c>
      <c r="HS16" s="164">
        <v>77432.677499999991</v>
      </c>
      <c r="HT16" s="21"/>
      <c r="IG16" s="6"/>
      <c r="IH16"/>
      <c r="II16"/>
      <c r="IJ16"/>
      <c r="IK16"/>
      <c r="IL16"/>
      <c r="IM16"/>
      <c r="IN16"/>
      <c r="IO16"/>
      <c r="IP16"/>
      <c r="IQ16"/>
      <c r="IR16"/>
      <c r="IS16"/>
      <c r="IT16" s="57" t="s">
        <v>246</v>
      </c>
      <c r="IU16" s="59">
        <v>71034.600000000006</v>
      </c>
      <c r="IV16" s="41">
        <f>GETPIVOTDATA("[Measures].[Sum of Amt]",$IT$6,"[Marketing_Table].[Product_Name]","[Marketing_Table].[Product_Name].&amp;[BrewSip Classic Coffee]")/IU18</f>
        <v>0.14836389893666221</v>
      </c>
      <c r="JJ16" s="58" t="s">
        <v>617</v>
      </c>
      <c r="JK16" s="59">
        <v>77432.677499999991</v>
      </c>
      <c r="JL16" s="59">
        <v>1235742</v>
      </c>
    </row>
    <row r="17" spans="2:272" x14ac:dyDescent="0.3">
      <c r="B17" s="58" t="s">
        <v>628</v>
      </c>
      <c r="C17" s="59">
        <v>275503</v>
      </c>
      <c r="AK17" s="58" t="s">
        <v>628</v>
      </c>
      <c r="AL17" s="59">
        <v>20315.925000000007</v>
      </c>
      <c r="BF17" s="5" t="s">
        <v>692</v>
      </c>
      <c r="BG17" s="68">
        <v>559322.33333333337</v>
      </c>
      <c r="BS17" s="58" t="s">
        <v>630</v>
      </c>
      <c r="BT17" s="59">
        <v>1235742</v>
      </c>
      <c r="BU17" s="21">
        <f>(GETPIVOTDATA("[Measures].[Sum of Sales]",$BS$6,"[Sales_Table].[Order_Date (Quarter)]","[Sales_Table].[Order_Date (Quarter)].&amp;[Qtr4]","[Sales_Table].[Order_Date (Year)]","[Sales_Table].[Order_Date (Year)].&amp;[2004]")-GETPIVOTDATA("[Measures].[Sum of Sales]",$BS$6,"[Sales_Table].[Order_Date (Quarter)]","[Sales_Table].[Order_Date (Quarter)].&amp;[Qtr3]","[Sales_Table].[Order_Date (Year)]","[Sales_Table].[Order_Date (Year)].&amp;[2004]"))/GETPIVOTDATA("[Measures].[Sum of Sales]",$BS$6,"[Sales_Table].[Order_Date (Quarter)]","[Sales_Table].[Order_Date (Quarter)].&amp;[Qtr3]","[Sales_Table].[Order_Date (Year)]","[Sales_Table].[Order_Date (Year)].&amp;[2004]")</f>
        <v>0.73554394539479229</v>
      </c>
      <c r="CI17" s="57" t="s">
        <v>623</v>
      </c>
      <c r="CJ17" s="59">
        <v>2258915</v>
      </c>
      <c r="CK17" s="59"/>
      <c r="CV17" s="57" t="s">
        <v>169</v>
      </c>
      <c r="CW17" s="59">
        <v>182608</v>
      </c>
      <c r="CX17" s="59">
        <v>182608</v>
      </c>
      <c r="CY17"/>
      <c r="CZ17" s="80"/>
      <c r="DA17"/>
      <c r="DB17" s="41"/>
      <c r="DC17"/>
      <c r="DD17"/>
      <c r="DE17"/>
      <c r="DJ17"/>
      <c r="DK17"/>
      <c r="DL17"/>
      <c r="DM17"/>
      <c r="DU17"/>
      <c r="DV17"/>
      <c r="EF17" s="57" t="s">
        <v>623</v>
      </c>
      <c r="EG17" s="59">
        <v>5013398</v>
      </c>
      <c r="EH17" s="83">
        <v>0.74694526173637499</v>
      </c>
      <c r="EI17" s="59"/>
      <c r="ET17"/>
      <c r="EU17"/>
      <c r="FJ17"/>
      <c r="FK17"/>
      <c r="GN17"/>
      <c r="GO17"/>
      <c r="GP17" s="41"/>
      <c r="GQ17"/>
      <c r="GR17"/>
      <c r="GS17"/>
      <c r="HC17" s="6" t="s">
        <v>248</v>
      </c>
      <c r="HD17" s="6">
        <v>147</v>
      </c>
      <c r="HE17" s="6">
        <v>147</v>
      </c>
      <c r="HF17" s="29">
        <f t="shared" si="2"/>
        <v>1.9180584551148225E-2</v>
      </c>
      <c r="HH17" s="165"/>
      <c r="HI17" s="165"/>
      <c r="HJ17" s="165"/>
      <c r="HL17" s="5"/>
      <c r="HP17" s="72"/>
      <c r="HR17" s="6" t="s">
        <v>630</v>
      </c>
      <c r="HS17" s="164">
        <v>77432.677499999991</v>
      </c>
      <c r="HT17" s="21"/>
      <c r="IG17" s="6"/>
      <c r="IH17"/>
      <c r="II17"/>
      <c r="IJ17"/>
      <c r="IK17"/>
      <c r="IL17"/>
      <c r="IM17"/>
      <c r="IN17"/>
      <c r="IO17"/>
      <c r="IP17"/>
      <c r="IQ17"/>
      <c r="IR17"/>
      <c r="IS17"/>
      <c r="IT17" s="57" t="s">
        <v>623</v>
      </c>
      <c r="IU17" s="59">
        <v>384153.14749999979</v>
      </c>
      <c r="JJ17" s="57" t="s">
        <v>702</v>
      </c>
      <c r="JK17" s="59">
        <v>195497.20499999999</v>
      </c>
      <c r="JL17" s="59">
        <v>2848561</v>
      </c>
    </row>
    <row r="18" spans="2:272" x14ac:dyDescent="0.3">
      <c r="B18" s="58" t="s">
        <v>629</v>
      </c>
      <c r="C18" s="59">
        <v>571967</v>
      </c>
      <c r="AK18" s="58" t="s">
        <v>629</v>
      </c>
      <c r="AL18" s="59">
        <v>20315.925000000007</v>
      </c>
      <c r="BG18" s="56" t="s">
        <v>632</v>
      </c>
      <c r="BH18" t="s">
        <v>631</v>
      </c>
      <c r="BI18"/>
      <c r="BS18" s="57" t="s">
        <v>702</v>
      </c>
      <c r="BT18" s="59">
        <v>2848561</v>
      </c>
      <c r="BU18" s="21">
        <f>(GETPIVOTDATA("[Measures].[Sum of Sales]",$BS$6,"[Sales_Table].[Order_Date (Year)]","[Sales_Table].[Order_Date (Year)].&amp;[2004]")-GETPIVOTDATA("[Measures].[Sum of Sales]",$BS$6,"[Sales_Table].[Order_Date (Year)]","[Sales_Table].[Order_Date (Year)].&amp;[2003]"))/GETPIVOTDATA("[Measures].[Sum of Sales]",$BS$6,"[Sales_Table].[Order_Date (Year)]","[Sales_Table].[Order_Date (Year)].&amp;[2003]")</f>
        <v>0.26440473934112096</v>
      </c>
      <c r="CI18"/>
      <c r="CJ18"/>
      <c r="CK18"/>
      <c r="CV18" s="57" t="s">
        <v>98</v>
      </c>
      <c r="CW18" s="59">
        <v>186704</v>
      </c>
      <c r="CX18" s="59">
        <v>186704</v>
      </c>
      <c r="CY18"/>
      <c r="CZ18" s="80"/>
      <c r="DA18"/>
      <c r="DB18" s="41"/>
      <c r="DC18" s="81" t="s">
        <v>713</v>
      </c>
      <c r="DD18"/>
      <c r="DE18"/>
      <c r="DJ18"/>
      <c r="DK18"/>
      <c r="DL18"/>
      <c r="DM18"/>
      <c r="DU18"/>
      <c r="DV18"/>
      <c r="EF18"/>
      <c r="EG18"/>
      <c r="EH18" s="59"/>
      <c r="EI18" s="59"/>
      <c r="FJ18"/>
      <c r="FK18"/>
      <c r="GN18"/>
      <c r="GO18"/>
      <c r="GP18" s="41"/>
      <c r="GQ18"/>
      <c r="GR18"/>
      <c r="GS18"/>
      <c r="HC18" s="6" t="s">
        <v>273</v>
      </c>
      <c r="HD18" s="6">
        <v>161</v>
      </c>
      <c r="HE18" s="6">
        <v>161</v>
      </c>
      <c r="HF18" s="29">
        <f t="shared" si="2"/>
        <v>2.1007306889352817E-2</v>
      </c>
      <c r="HH18" s="165"/>
      <c r="HI18" s="165"/>
      <c r="HJ18" s="165"/>
      <c r="HL18" s="5"/>
      <c r="HP18" s="72"/>
      <c r="HR18" s="6" t="s">
        <v>702</v>
      </c>
      <c r="HS18" s="164">
        <v>195497.20499999999</v>
      </c>
      <c r="HT18" s="21">
        <f>(GETPIVOTDATA("[Measures].[Sum of Amt]",$HR$6,"[Marketing_Table].[Year (Year)]","[Marketing_Table].[Year (Year)].&amp;[2004]")-GETPIVOTDATA("[Measures].[Sum of Amt]",$HR$6,"[Marketing_Table].[Year (Year)]","[Marketing_Table].[Year (Year)].&amp;[2003]"))/GETPIVOTDATA("[Measures].[Sum of Amt]",$HR$6,"[Marketing_Table].[Year (Year)]","[Marketing_Table].[Year (Year)].&amp;[2003]")</f>
        <v>-3.2313638019144435E-2</v>
      </c>
      <c r="IG18" s="6"/>
      <c r="IH18"/>
      <c r="II18"/>
      <c r="IJ18"/>
      <c r="IK18"/>
      <c r="IL18"/>
      <c r="IM18"/>
      <c r="IN18"/>
      <c r="IO18"/>
      <c r="IP18"/>
      <c r="IQ18"/>
      <c r="IR18"/>
      <c r="IS18"/>
      <c r="IT18"/>
      <c r="IU18" s="77">
        <v>478786.28500000032</v>
      </c>
      <c r="JJ18" s="57">
        <v>2005</v>
      </c>
      <c r="JK18" s="59"/>
      <c r="JL18" s="59"/>
    </row>
    <row r="19" spans="2:272" x14ac:dyDescent="0.3">
      <c r="B19" s="58" t="s">
        <v>630</v>
      </c>
      <c r="C19" s="59">
        <v>135654</v>
      </c>
      <c r="AK19" s="58" t="s">
        <v>630</v>
      </c>
      <c r="AL19" s="59">
        <v>20315.925000000007</v>
      </c>
      <c r="BF19" s="5" t="s">
        <v>675</v>
      </c>
      <c r="BG19" s="57" t="s">
        <v>42</v>
      </c>
      <c r="BH19" s="68">
        <v>764581</v>
      </c>
      <c r="BI19"/>
      <c r="BS19" s="57" t="s">
        <v>626</v>
      </c>
      <c r="BT19"/>
      <c r="BU19" s="21"/>
      <c r="CI19"/>
      <c r="CJ19"/>
      <c r="CK19"/>
      <c r="CO19" s="259" t="s">
        <v>710</v>
      </c>
      <c r="CP19" s="259"/>
      <c r="CQ19" s="259"/>
      <c r="CR19" s="259"/>
      <c r="CS19" s="259"/>
      <c r="CT19" s="259"/>
      <c r="CV19" s="57" t="s">
        <v>60</v>
      </c>
      <c r="CW19" s="59">
        <v>236674</v>
      </c>
      <c r="CX19" s="59">
        <v>236674</v>
      </c>
      <c r="CZ19" s="80"/>
      <c r="DB19" s="41"/>
      <c r="DC19" s="81" t="s">
        <v>714</v>
      </c>
      <c r="DJ19"/>
      <c r="DK19"/>
      <c r="DL19"/>
      <c r="DM19"/>
      <c r="DU19"/>
      <c r="DV19"/>
      <c r="EF19"/>
      <c r="EG19"/>
      <c r="EH19" s="59"/>
      <c r="EI19" s="59"/>
      <c r="FJ19"/>
      <c r="FK19"/>
      <c r="GN19"/>
      <c r="GO19"/>
      <c r="GP19" s="41"/>
      <c r="GQ19"/>
      <c r="GR19"/>
      <c r="GS19"/>
      <c r="HC19" s="6" t="s">
        <v>266</v>
      </c>
      <c r="HD19" s="6">
        <v>162</v>
      </c>
      <c r="HE19" s="6">
        <v>162</v>
      </c>
      <c r="HF19" s="29">
        <f t="shared" si="2"/>
        <v>2.1137787056367433E-2</v>
      </c>
      <c r="HH19" s="165"/>
      <c r="HI19" s="165"/>
      <c r="HJ19" s="165"/>
      <c r="HL19" s="5"/>
      <c r="HP19" s="72"/>
      <c r="HR19" s="6" t="s">
        <v>626</v>
      </c>
      <c r="HS19" s="164"/>
      <c r="HT19" s="21"/>
      <c r="IG19" s="6"/>
      <c r="IH19"/>
      <c r="II19"/>
      <c r="IJ19"/>
      <c r="IK19"/>
      <c r="IL19"/>
      <c r="IM19"/>
      <c r="IN19"/>
      <c r="IO19"/>
      <c r="IP19"/>
      <c r="IQ19"/>
      <c r="IR19"/>
      <c r="IS19"/>
      <c r="IT19"/>
      <c r="IU19"/>
      <c r="JJ19" s="58" t="s">
        <v>614</v>
      </c>
      <c r="JK19" s="59">
        <v>20315.925000000007</v>
      </c>
      <c r="JL19" s="59">
        <v>627296</v>
      </c>
    </row>
    <row r="20" spans="2:272" x14ac:dyDescent="0.3">
      <c r="B20" s="57" t="s">
        <v>623</v>
      </c>
      <c r="C20" s="59">
        <v>6711868</v>
      </c>
      <c r="AK20" s="57" t="s">
        <v>623</v>
      </c>
      <c r="AL20" s="59">
        <v>478786.28500000032</v>
      </c>
      <c r="BG20" s="56" t="s">
        <v>632</v>
      </c>
      <c r="BH20" t="s">
        <v>631</v>
      </c>
      <c r="BI20"/>
      <c r="BS20" s="58" t="s">
        <v>627</v>
      </c>
      <c r="BT20" s="59">
        <v>627296</v>
      </c>
      <c r="BU20" s="21">
        <f>(GETPIVOTDATA("[Measures].[Sum of Sales]",$BS$6,"[Sales_Table].[Order_Date (Quarter)]","[Sales_Table].[Order_Date (Quarter)].&amp;[Qtr1]","[Sales_Table].[Order_Date (Year)]","[Sales_Table].[Order_Date (Year)].&amp;[2005]")-GETPIVOTDATA("[Measures].[Sum of Sales]",$BS$6,"[Sales_Table].[Order_Date (Quarter)]","[Sales_Table].[Order_Date (Quarter)].&amp;[Qtr4]","[Sales_Table].[Order_Date (Year)]","[Sales_Table].[Order_Date (Year)].&amp;[2004]"))/GETPIVOTDATA("[Measures].[Sum of Sales]",$BS$6,"[Sales_Table].[Order_Date (Quarter)]","[Sales_Table].[Order_Date (Quarter)].&amp;[Qtr4]","[Sales_Table].[Order_Date (Year)]","[Sales_Table].[Order_Date (Year)].&amp;[2004]")</f>
        <v>-0.49237300342628154</v>
      </c>
      <c r="CI20"/>
      <c r="CJ20"/>
      <c r="CK20"/>
      <c r="CO20" s="263" t="s">
        <v>711</v>
      </c>
      <c r="CP20" s="263"/>
      <c r="CQ20" s="79"/>
      <c r="CR20" s="79"/>
      <c r="CS20" s="78"/>
      <c r="CT20" s="78"/>
      <c r="CV20" s="57" t="s">
        <v>106</v>
      </c>
      <c r="CW20" s="59">
        <v>303472</v>
      </c>
      <c r="CX20" s="59">
        <v>303472</v>
      </c>
      <c r="CZ20" s="80"/>
      <c r="DB20" s="41"/>
      <c r="DC20" s="81" t="s">
        <v>715</v>
      </c>
      <c r="DJ20"/>
      <c r="DK20"/>
      <c r="DL20"/>
      <c r="DM20"/>
      <c r="DU20"/>
      <c r="DV20"/>
      <c r="EF20"/>
      <c r="EG20"/>
      <c r="EH20" s="59"/>
      <c r="EI20" s="59"/>
      <c r="FJ20"/>
      <c r="FK20"/>
      <c r="GN20"/>
      <c r="GO20"/>
      <c r="GP20" s="41"/>
      <c r="GQ20"/>
      <c r="GR20"/>
      <c r="GS20"/>
      <c r="HC20" s="6" t="s">
        <v>264</v>
      </c>
      <c r="HD20" s="6">
        <v>167</v>
      </c>
      <c r="HE20" s="6">
        <v>167</v>
      </c>
      <c r="HF20" s="29">
        <f t="shared" si="2"/>
        <v>2.17901878914405E-2</v>
      </c>
      <c r="HH20" s="165"/>
      <c r="HI20" s="165"/>
      <c r="HJ20" s="165"/>
      <c r="HL20" s="5"/>
      <c r="HP20" s="72"/>
      <c r="HR20" s="6" t="s">
        <v>627</v>
      </c>
      <c r="HS20" s="164">
        <v>20315.925000000007</v>
      </c>
      <c r="HT20" s="21"/>
      <c r="IG20" s="6"/>
      <c r="IH20"/>
      <c r="II20"/>
      <c r="IJ20"/>
      <c r="IK20"/>
      <c r="IL20"/>
      <c r="IM20"/>
      <c r="IN20"/>
      <c r="IO20"/>
      <c r="IP20"/>
      <c r="IQ20"/>
      <c r="IR20"/>
      <c r="IS20"/>
      <c r="IT20"/>
      <c r="IU20"/>
      <c r="JJ20" s="58" t="s">
        <v>615</v>
      </c>
      <c r="JK20" s="59">
        <v>20315.925000000007</v>
      </c>
      <c r="JL20" s="59">
        <v>275503</v>
      </c>
    </row>
    <row r="21" spans="2:272" x14ac:dyDescent="0.3">
      <c r="S21" s="261" t="s">
        <v>683</v>
      </c>
      <c r="T21" s="261"/>
      <c r="U21" s="261"/>
      <c r="BF21" s="5" t="s">
        <v>676</v>
      </c>
      <c r="BG21" s="57" t="s">
        <v>15</v>
      </c>
      <c r="BH21" s="68">
        <v>2271611</v>
      </c>
      <c r="BS21" s="58" t="s">
        <v>628</v>
      </c>
      <c r="BT21" s="59">
        <v>275503</v>
      </c>
      <c r="BU21" s="21">
        <f>(GETPIVOTDATA("[Measures].[Sum of Sales]",$BS$6,"[Sales_Table].[Order_Date (Quarter)]","[Sales_Table].[Order_Date (Quarter)].&amp;[Qtr2]","[Sales_Table].[Order_Date (Year)]","[Sales_Table].[Order_Date (Year)].&amp;[2005]")-GETPIVOTDATA("[Measures].[Sum of Sales]",$BS$6,"[Sales_Table].[Order_Date (Quarter)]","[Sales_Table].[Order_Date (Quarter)].&amp;[Qtr1]","[Sales_Table].[Order_Date (Year)]","[Sales_Table].[Order_Date (Year)].&amp;[2005]"))/GETPIVOTDATA("[Measures].[Sum of Sales]",$BS$6,"[Sales_Table].[Order_Date (Quarter)]","[Sales_Table].[Order_Date (Quarter)].&amp;[Qtr1]","[Sales_Table].[Order_Date (Year)]","[Sales_Table].[Order_Date (Year)].&amp;[2005]")</f>
        <v>-0.56080861347752897</v>
      </c>
      <c r="CI21"/>
      <c r="CJ21"/>
      <c r="CK21"/>
      <c r="CV21" s="57" t="s">
        <v>135</v>
      </c>
      <c r="CW21" s="59">
        <v>339577</v>
      </c>
      <c r="CX21" s="59">
        <v>339577</v>
      </c>
      <c r="CZ21" s="80"/>
      <c r="DB21" s="41"/>
      <c r="DC21" s="81" t="s">
        <v>716</v>
      </c>
      <c r="DJ21"/>
      <c r="DK21"/>
      <c r="DL21"/>
      <c r="DM21"/>
      <c r="DU21"/>
      <c r="DV21"/>
      <c r="EF21"/>
      <c r="EG21"/>
      <c r="EH21" s="59"/>
      <c r="EI21" s="59"/>
      <c r="FJ21"/>
      <c r="FK21"/>
      <c r="GN21"/>
      <c r="GO21"/>
      <c r="GP21" s="41"/>
      <c r="GQ21"/>
      <c r="GR21"/>
      <c r="GS21"/>
      <c r="HC21" s="6" t="s">
        <v>250</v>
      </c>
      <c r="HD21" s="6">
        <v>172</v>
      </c>
      <c r="HE21" s="6">
        <v>172</v>
      </c>
      <c r="HF21" s="29">
        <f t="shared" si="2"/>
        <v>2.2442588726513571E-2</v>
      </c>
      <c r="HH21" s="165"/>
      <c r="HI21" s="165"/>
      <c r="HJ21" s="165"/>
      <c r="HL21" s="5"/>
      <c r="HP21" s="72"/>
      <c r="HR21" s="6" t="s">
        <v>628</v>
      </c>
      <c r="HS21" s="164">
        <v>20315.925000000007</v>
      </c>
      <c r="HT21" s="21"/>
      <c r="IG21" s="6"/>
      <c r="IH21"/>
      <c r="II21"/>
      <c r="IJ21"/>
      <c r="IK21"/>
      <c r="IL21"/>
      <c r="IM21"/>
      <c r="IN21"/>
      <c r="IO21"/>
      <c r="IP21"/>
      <c r="IQ21"/>
      <c r="IR21"/>
      <c r="IS21"/>
      <c r="IT21"/>
      <c r="IU21"/>
      <c r="JJ21" s="58" t="s">
        <v>616</v>
      </c>
      <c r="JK21" s="59">
        <v>20315.925000000007</v>
      </c>
      <c r="JL21" s="59">
        <v>571967</v>
      </c>
    </row>
    <row r="22" spans="2:272" x14ac:dyDescent="0.3">
      <c r="S22" s="66"/>
      <c r="T22" s="66"/>
      <c r="U22" s="66"/>
      <c r="BG22" s="56" t="s">
        <v>632</v>
      </c>
      <c r="BH22" t="s">
        <v>631</v>
      </c>
      <c r="BS22" s="58" t="s">
        <v>629</v>
      </c>
      <c r="BT22" s="59">
        <v>571967</v>
      </c>
      <c r="BU22" s="21">
        <f>(GETPIVOTDATA("[Measures].[Sum of Sales]",$BS$6,"[Sales_Table].[Order_Date (Quarter)]","[Sales_Table].[Order_Date (Quarter)].&amp;[Qtr3]","[Sales_Table].[Order_Date (Year)]","[Sales_Table].[Order_Date (Year)].&amp;[2005]")-GETPIVOTDATA("[Measures].[Sum of Sales]",$BS$6,"[Sales_Table].[Order_Date (Quarter)]","[Sales_Table].[Order_Date (Quarter)].&amp;[Qtr2]","[Sales_Table].[Order_Date (Year)]","[Sales_Table].[Order_Date (Year)].&amp;[2005]"))/GETPIVOTDATA("[Measures].[Sum of Sales]",$BS$6,"[Sales_Table].[Order_Date (Quarter)]","[Sales_Table].[Order_Date (Quarter)].&amp;[Qtr2]","[Sales_Table].[Order_Date (Year)]","[Sales_Table].[Order_Date (Year)].&amp;[2005]")</f>
        <v>1.0760826560872296</v>
      </c>
      <c r="BX22" s="260" t="s">
        <v>708</v>
      </c>
      <c r="BY22" s="260"/>
      <c r="CI22"/>
      <c r="CJ22"/>
      <c r="CK22"/>
      <c r="CO22" s="259" t="s">
        <v>712</v>
      </c>
      <c r="CP22" s="259"/>
      <c r="CQ22" s="259"/>
      <c r="CR22" s="259"/>
      <c r="CS22" s="76"/>
      <c r="CV22" s="57" t="s">
        <v>81</v>
      </c>
      <c r="CW22" s="59">
        <v>386109</v>
      </c>
      <c r="CX22" s="59">
        <v>386109</v>
      </c>
      <c r="CZ22" s="80"/>
      <c r="DA22" s="70"/>
      <c r="DB22" s="41"/>
      <c r="DJ22"/>
      <c r="DK22"/>
      <c r="DL22"/>
      <c r="DM22"/>
      <c r="DU22"/>
      <c r="DV22"/>
      <c r="EF22"/>
      <c r="EG22"/>
      <c r="FJ22"/>
      <c r="FK22"/>
      <c r="GN22"/>
      <c r="GO22"/>
      <c r="GP22" s="41"/>
      <c r="GQ22"/>
      <c r="GR22"/>
      <c r="GS22"/>
      <c r="HC22" s="6" t="s">
        <v>252</v>
      </c>
      <c r="HD22" s="6">
        <v>190</v>
      </c>
      <c r="HE22" s="6">
        <v>190</v>
      </c>
      <c r="HF22" s="29">
        <f t="shared" si="2"/>
        <v>2.4791231732776618E-2</v>
      </c>
      <c r="HH22" s="165"/>
      <c r="HI22" s="165"/>
      <c r="HJ22" s="165"/>
      <c r="HL22" s="5"/>
      <c r="HP22" s="72"/>
      <c r="HR22" s="6" t="s">
        <v>629</v>
      </c>
      <c r="HS22" s="164">
        <v>20315.925000000007</v>
      </c>
      <c r="HT22" s="21"/>
      <c r="IG22" s="6"/>
      <c r="IH22"/>
      <c r="II22"/>
      <c r="IJ22"/>
      <c r="IK22"/>
      <c r="IL22"/>
      <c r="IM22"/>
      <c r="IN22"/>
      <c r="IO22"/>
      <c r="IP22"/>
      <c r="IQ22"/>
      <c r="IR22"/>
      <c r="IS22"/>
      <c r="IT22"/>
      <c r="IU22"/>
      <c r="JJ22" s="58" t="s">
        <v>617</v>
      </c>
      <c r="JK22" s="59">
        <v>20315.925000000007</v>
      </c>
      <c r="JL22" s="59">
        <v>135654</v>
      </c>
    </row>
    <row r="23" spans="2:272" x14ac:dyDescent="0.3">
      <c r="P23" s="56" t="s">
        <v>632</v>
      </c>
      <c r="Q23" t="s">
        <v>679</v>
      </c>
      <c r="BF23" s="5" t="s">
        <v>695</v>
      </c>
      <c r="BG23" s="57" t="s">
        <v>25</v>
      </c>
      <c r="BH23" s="68">
        <v>3563529</v>
      </c>
      <c r="BS23" s="58" t="s">
        <v>630</v>
      </c>
      <c r="BT23" s="59">
        <v>135654</v>
      </c>
      <c r="BU23" s="21">
        <f>(GETPIVOTDATA("[Measures].[Sum of Sales]",$BS$6,"[Sales_Table].[Order_Date (Quarter)]","[Sales_Table].[Order_Date (Quarter)].&amp;[Qtr4]","[Sales_Table].[Order_Date (Year)]","[Sales_Table].[Order_Date (Year)].&amp;[2005]")-GETPIVOTDATA("[Measures].[Sum of Sales]",$BS$6,"[Sales_Table].[Order_Date (Quarter)]","[Sales_Table].[Order_Date (Quarter)].&amp;[Qtr3]","[Sales_Table].[Order_Date (Year)]","[Sales_Table].[Order_Date (Year)].&amp;[2005]"))/GETPIVOTDATA("[Measures].[Sum of Sales]",$BS$6,"[Sales_Table].[Order_Date (Quarter)]","[Sales_Table].[Order_Date (Quarter)].&amp;[Qtr3]","[Sales_Table].[Order_Date (Year)]","[Sales_Table].[Order_Date (Year)].&amp;[2005]")</f>
        <v>-0.76282897439887265</v>
      </c>
      <c r="CI23"/>
      <c r="CJ23"/>
      <c r="CK23"/>
      <c r="CV23" s="57" t="s">
        <v>92</v>
      </c>
      <c r="CW23" s="59">
        <v>800612</v>
      </c>
      <c r="CX23" s="59">
        <v>800612</v>
      </c>
      <c r="CZ23" s="80"/>
      <c r="DB23" s="41"/>
      <c r="DJ23"/>
      <c r="DK23"/>
      <c r="DL23"/>
      <c r="DM23"/>
      <c r="DU23"/>
      <c r="DV23"/>
      <c r="DX23" s="259" t="s">
        <v>717</v>
      </c>
      <c r="DY23" s="259"/>
      <c r="DZ23" s="259"/>
      <c r="EA23" s="259"/>
      <c r="EF23"/>
      <c r="EG23"/>
      <c r="EH23" s="259" t="s">
        <v>721</v>
      </c>
      <c r="EI23" s="259"/>
      <c r="EJ23" s="259"/>
      <c r="EK23" s="259"/>
      <c r="EX23" s="259" t="s">
        <v>724</v>
      </c>
      <c r="EY23" s="259"/>
      <c r="EZ23" s="259"/>
      <c r="FA23" s="259"/>
      <c r="FB23" s="259"/>
      <c r="FJ23"/>
      <c r="FK23"/>
      <c r="FM23" s="262" t="s">
        <v>726</v>
      </c>
      <c r="FN23" s="262"/>
      <c r="FO23" s="262"/>
      <c r="FP23" s="76"/>
      <c r="GA23" s="259" t="s">
        <v>731</v>
      </c>
      <c r="GB23" s="259"/>
      <c r="GC23" s="259"/>
      <c r="GD23" s="76"/>
      <c r="GN23"/>
      <c r="GO23"/>
      <c r="GP23" s="41"/>
      <c r="GQ23"/>
      <c r="GR23"/>
      <c r="GS23"/>
      <c r="HC23" s="6" t="s">
        <v>270</v>
      </c>
      <c r="HD23" s="6">
        <v>196</v>
      </c>
      <c r="HE23" s="6">
        <v>196</v>
      </c>
      <c r="HF23" s="29">
        <f t="shared" si="2"/>
        <v>2.5574112734864301E-2</v>
      </c>
      <c r="HH23" s="165"/>
      <c r="HI23" s="165"/>
      <c r="HJ23" s="165"/>
      <c r="HL23" s="5"/>
      <c r="HP23" s="72"/>
      <c r="HR23" s="6" t="s">
        <v>630</v>
      </c>
      <c r="HS23" s="164">
        <v>20315.925000000007</v>
      </c>
      <c r="HT23" s="21"/>
      <c r="IG23" s="6"/>
      <c r="IH23"/>
      <c r="II23"/>
      <c r="IJ23"/>
      <c r="IK23"/>
      <c r="IL23"/>
      <c r="IM23"/>
      <c r="IN23"/>
      <c r="IO23"/>
      <c r="IP23"/>
      <c r="IQ23"/>
      <c r="IR23"/>
      <c r="IS23"/>
      <c r="IT23"/>
      <c r="IU23"/>
      <c r="JJ23" s="57" t="s">
        <v>703</v>
      </c>
      <c r="JK23" s="59">
        <v>81263.699999999983</v>
      </c>
      <c r="JL23" s="59">
        <v>1610420</v>
      </c>
    </row>
    <row r="24" spans="2:272" x14ac:dyDescent="0.3">
      <c r="P24" s="57" t="s">
        <v>270</v>
      </c>
      <c r="Q24">
        <v>196</v>
      </c>
      <c r="BG24" s="56" t="s">
        <v>632</v>
      </c>
      <c r="BH24" t="s">
        <v>631</v>
      </c>
      <c r="BS24" s="57" t="s">
        <v>703</v>
      </c>
      <c r="BT24" s="59">
        <v>1610420</v>
      </c>
      <c r="BU24" s="21">
        <f>(GETPIVOTDATA("[Measures].[Sum of Sales]",$BS$6,"[Sales_Table].[Order_Date (Year)]","[Sales_Table].[Order_Date (Year)].&amp;[2005]")-GETPIVOTDATA("[Measures].[Sum of Sales]",$BS$6,"[Sales_Table].[Order_Date (Year)]","[Sales_Table].[Order_Date (Year)].&amp;[2004]"))/GETPIVOTDATA("[Measures].[Sum of Sales]",$BS$6,"[Sales_Table].[Order_Date (Year)]","[Sales_Table].[Order_Date (Year)].&amp;[2004]")</f>
        <v>-0.43465490119397127</v>
      </c>
      <c r="BW24" s="259" t="s">
        <v>706</v>
      </c>
      <c r="BX24" s="259"/>
      <c r="BY24" s="259"/>
      <c r="BZ24" s="259"/>
      <c r="CI24"/>
      <c r="CJ24"/>
      <c r="CK24"/>
      <c r="CV24" s="57" t="s">
        <v>43</v>
      </c>
      <c r="CW24" s="59">
        <v>886435</v>
      </c>
      <c r="CX24" s="59">
        <v>886435</v>
      </c>
      <c r="CZ24" s="80"/>
      <c r="DB24" s="41"/>
      <c r="DJ24"/>
      <c r="DK24"/>
      <c r="DL24"/>
      <c r="DM24"/>
      <c r="DU24"/>
      <c r="DV24"/>
      <c r="DX24" s="259" t="s">
        <v>718</v>
      </c>
      <c r="DY24" s="259"/>
      <c r="DZ24" s="259"/>
      <c r="EA24" s="259"/>
      <c r="EB24" s="259"/>
      <c r="EF24"/>
      <c r="EG24"/>
      <c r="EH24" s="259" t="s">
        <v>723</v>
      </c>
      <c r="EI24" s="259"/>
      <c r="EJ24" s="259"/>
      <c r="EK24" s="259"/>
      <c r="FJ24"/>
      <c r="FK24"/>
      <c r="FM24" s="259" t="s">
        <v>730</v>
      </c>
      <c r="FN24" s="259"/>
      <c r="FO24" s="259"/>
      <c r="FP24" s="259"/>
      <c r="FQ24" s="259"/>
      <c r="FR24" s="259"/>
      <c r="GA24" s="259" t="s">
        <v>732</v>
      </c>
      <c r="GB24" s="259"/>
      <c r="GC24" s="259"/>
      <c r="GD24" s="259"/>
      <c r="GE24" s="259"/>
      <c r="GF24" s="259"/>
      <c r="GN24"/>
      <c r="GO24"/>
      <c r="GP24"/>
      <c r="GQ24"/>
      <c r="GR24"/>
      <c r="GS24"/>
      <c r="HC24" s="6" t="s">
        <v>251</v>
      </c>
      <c r="HD24" s="6">
        <v>202</v>
      </c>
      <c r="HE24" s="6">
        <v>202</v>
      </c>
      <c r="HF24" s="29">
        <f t="shared" si="2"/>
        <v>2.6356993736951984E-2</v>
      </c>
      <c r="HH24" s="165"/>
      <c r="HI24" s="165"/>
      <c r="HJ24" s="165"/>
      <c r="HL24" s="5"/>
      <c r="HP24" s="72"/>
      <c r="HR24" s="6" t="s">
        <v>703</v>
      </c>
      <c r="HS24" s="164">
        <v>81263.699999999983</v>
      </c>
      <c r="HT24" s="21">
        <f>(GETPIVOTDATA("[Measures].[Sum of Amt]",$HR$6,"[Marketing_Table].[Year (Year)]","[Marketing_Table].[Year (Year)].&amp;[2005]")-GETPIVOTDATA("[Measures].[Sum of Amt]",$HR$6,"[Marketing_Table].[Year (Year)]","[Marketing_Table].[Year (Year)].&amp;[2004]"))/GETPIVOTDATA("[Measures].[Sum of Amt]",$HR$6,"[Marketing_Table].[Year (Year)]","[Marketing_Table].[Year (Year)].&amp;[2004]")</f>
        <v>-0.58432295745609264</v>
      </c>
      <c r="HV24" s="262" t="s">
        <v>740</v>
      </c>
      <c r="HW24" s="262"/>
      <c r="HX24" s="262"/>
      <c r="HY24" s="262"/>
      <c r="HZ24" s="262"/>
      <c r="IA24" s="262"/>
      <c r="IB24" s="262"/>
      <c r="IC24" s="262"/>
      <c r="ID24" s="262"/>
      <c r="IE24" s="262"/>
      <c r="IF24" s="262"/>
      <c r="IG24" s="6"/>
      <c r="IH24"/>
      <c r="II24"/>
      <c r="IJ24" s="269" t="s">
        <v>742</v>
      </c>
      <c r="IK24" s="269"/>
      <c r="IL24" s="269"/>
      <c r="IM24" s="269"/>
      <c r="IN24" s="269"/>
      <c r="IO24"/>
      <c r="IP24"/>
      <c r="IQ24"/>
      <c r="IR24"/>
      <c r="IS24"/>
      <c r="IT24"/>
      <c r="IU24"/>
      <c r="IX24" s="259" t="s">
        <v>746</v>
      </c>
      <c r="IY24" s="259"/>
      <c r="IZ24" s="259"/>
      <c r="JA24" s="259"/>
      <c r="JB24" s="259"/>
      <c r="JJ24" s="57" t="s">
        <v>623</v>
      </c>
      <c r="JK24" s="59">
        <v>478786.28500000032</v>
      </c>
      <c r="JL24" s="59">
        <v>6711868</v>
      </c>
    </row>
    <row r="25" spans="2:272" x14ac:dyDescent="0.3">
      <c r="P25" s="57" t="s">
        <v>259</v>
      </c>
      <c r="Q25">
        <v>303</v>
      </c>
      <c r="AN25" s="261" t="s">
        <v>686</v>
      </c>
      <c r="AO25" s="261"/>
      <c r="BF25" s="5" t="s">
        <v>696</v>
      </c>
      <c r="BG25" s="57" t="s">
        <v>32</v>
      </c>
      <c r="BH25" s="68">
        <v>2678165</v>
      </c>
      <c r="BS25" s="57" t="s">
        <v>623</v>
      </c>
      <c r="BT25" s="59">
        <v>6711868</v>
      </c>
      <c r="BW25" s="259" t="s">
        <v>707</v>
      </c>
      <c r="BX25" s="259"/>
      <c r="BY25" s="259"/>
      <c r="BZ25" s="259"/>
      <c r="CI25"/>
      <c r="CJ25"/>
      <c r="CK25"/>
      <c r="CV25" s="57" t="s">
        <v>15</v>
      </c>
      <c r="CW25" s="59">
        <v>2271611</v>
      </c>
      <c r="CX25" s="59">
        <v>2271611</v>
      </c>
      <c r="CZ25" s="80"/>
      <c r="DB25" s="41"/>
      <c r="DJ25"/>
      <c r="DK25"/>
      <c r="DL25"/>
      <c r="DM25"/>
      <c r="DU25"/>
      <c r="DV25"/>
      <c r="DX25" s="259" t="s">
        <v>719</v>
      </c>
      <c r="DY25" s="259"/>
      <c r="DZ25" s="259"/>
      <c r="EA25" s="259"/>
      <c r="EB25" s="259"/>
      <c r="EF25"/>
      <c r="EG25"/>
      <c r="EH25" s="259" t="s">
        <v>722</v>
      </c>
      <c r="EI25" s="259"/>
      <c r="EJ25" s="259"/>
      <c r="EK25" s="259"/>
      <c r="EL25" s="259"/>
      <c r="FJ25"/>
      <c r="FK25"/>
      <c r="FM25" s="84" t="s">
        <v>727</v>
      </c>
      <c r="GN25"/>
      <c r="GO25"/>
      <c r="GP25"/>
      <c r="GQ25"/>
      <c r="GR25"/>
      <c r="GS25"/>
      <c r="HC25" s="6" t="s">
        <v>258</v>
      </c>
      <c r="HD25" s="6">
        <v>203</v>
      </c>
      <c r="HE25" s="6">
        <v>203</v>
      </c>
      <c r="HF25" s="29">
        <f t="shared" si="2"/>
        <v>2.6487473903966597E-2</v>
      </c>
      <c r="HH25" s="165"/>
      <c r="HI25" s="165"/>
      <c r="HJ25" s="165"/>
      <c r="HL25" s="5"/>
      <c r="HP25" s="72"/>
      <c r="HR25" s="6" t="s">
        <v>623</v>
      </c>
      <c r="HS25" s="164">
        <v>478786.28500000032</v>
      </c>
      <c r="IG25" s="6"/>
      <c r="IH25"/>
      <c r="II25"/>
      <c r="IJ25" s="269" t="s">
        <v>743</v>
      </c>
      <c r="IK25" s="269"/>
      <c r="IL25" s="269"/>
      <c r="IM25" s="269"/>
      <c r="IN25"/>
      <c r="IO25"/>
      <c r="IP25"/>
      <c r="IQ25"/>
      <c r="IR25"/>
      <c r="IS25"/>
      <c r="IT25"/>
      <c r="IU25"/>
      <c r="IX25" s="259" t="s">
        <v>747</v>
      </c>
      <c r="IY25" s="259"/>
      <c r="IZ25" s="259"/>
      <c r="JA25" s="259"/>
      <c r="JB25" s="259"/>
      <c r="JJ25"/>
      <c r="JK25"/>
      <c r="JL25"/>
    </row>
    <row r="26" spans="2:272" x14ac:dyDescent="0.3">
      <c r="P26" s="57" t="s">
        <v>244</v>
      </c>
      <c r="Q26">
        <v>459</v>
      </c>
      <c r="AK26" s="56" t="s">
        <v>632</v>
      </c>
      <c r="AL26" t="s">
        <v>633</v>
      </c>
      <c r="BG26" s="56" t="s">
        <v>632</v>
      </c>
      <c r="BH26" t="s">
        <v>631</v>
      </c>
      <c r="BW26" s="259" t="s">
        <v>700</v>
      </c>
      <c r="BX26" s="259"/>
      <c r="BY26" s="259"/>
      <c r="BZ26" s="259"/>
      <c r="CI26"/>
      <c r="CJ26"/>
      <c r="CK26"/>
      <c r="CV26" s="57" t="s">
        <v>623</v>
      </c>
      <c r="CW26" s="59">
        <v>6711868</v>
      </c>
      <c r="CX26" s="77">
        <v>6711868</v>
      </c>
      <c r="CZ26" s="80"/>
      <c r="DB26" s="41"/>
      <c r="DJ26"/>
      <c r="DK26"/>
      <c r="DL26"/>
      <c r="DM26"/>
      <c r="DU26"/>
      <c r="DV26"/>
      <c r="EF26"/>
      <c r="EG26"/>
      <c r="FJ26"/>
      <c r="FK26"/>
      <c r="GN26"/>
      <c r="GO26"/>
      <c r="GP26"/>
      <c r="HC26" s="6" t="s">
        <v>249</v>
      </c>
      <c r="HD26" s="6">
        <v>205</v>
      </c>
      <c r="HE26" s="6">
        <v>205</v>
      </c>
      <c r="HF26" s="29">
        <f t="shared" si="2"/>
        <v>2.6748434237995826E-2</v>
      </c>
      <c r="HH26" s="165"/>
      <c r="HI26" s="165"/>
      <c r="HJ26" s="165"/>
      <c r="HK26" s="262" t="s">
        <v>737</v>
      </c>
      <c r="HL26" s="262"/>
      <c r="HM26" s="262"/>
      <c r="HN26" s="262"/>
      <c r="HO26" s="262"/>
      <c r="HP26" s="72"/>
      <c r="IG26" s="6"/>
      <c r="IH26"/>
      <c r="II26"/>
      <c r="IJ26" s="269" t="s">
        <v>744</v>
      </c>
      <c r="IK26" s="269"/>
      <c r="IL26" s="269"/>
      <c r="IM26"/>
      <c r="IN26"/>
      <c r="IO26"/>
      <c r="IP26"/>
      <c r="IQ26"/>
      <c r="IR26"/>
      <c r="IS26"/>
      <c r="IT26"/>
      <c r="IU26"/>
      <c r="JJ26"/>
      <c r="JK26"/>
      <c r="JL26"/>
    </row>
    <row r="27" spans="2:272" x14ac:dyDescent="0.3">
      <c r="P27" s="57" t="s">
        <v>265</v>
      </c>
      <c r="Q27">
        <v>483</v>
      </c>
      <c r="AK27" s="57" t="s">
        <v>253</v>
      </c>
      <c r="AL27" s="59">
        <v>11836.65</v>
      </c>
      <c r="BF27" s="5" t="s">
        <v>677</v>
      </c>
      <c r="BG27" s="57" t="s">
        <v>246</v>
      </c>
      <c r="BH27" s="68">
        <v>770160</v>
      </c>
      <c r="BT27" s="59"/>
      <c r="CI27"/>
      <c r="CJ27"/>
      <c r="CK27"/>
      <c r="CV27"/>
      <c r="CW27"/>
      <c r="DJ27"/>
      <c r="DK27"/>
      <c r="DL27"/>
      <c r="DM27"/>
      <c r="DU27"/>
      <c r="DV27"/>
      <c r="EF27"/>
      <c r="EG27"/>
      <c r="FJ27"/>
      <c r="FK27"/>
      <c r="GN27"/>
      <c r="GO27"/>
      <c r="GP27" s="259" t="s">
        <v>734</v>
      </c>
      <c r="GQ27" s="259"/>
      <c r="GR27" s="259"/>
      <c r="HC27" s="6" t="s">
        <v>253</v>
      </c>
      <c r="HD27" s="6">
        <v>237</v>
      </c>
      <c r="HE27" s="6">
        <v>237</v>
      </c>
      <c r="HF27" s="29">
        <f t="shared" si="2"/>
        <v>3.0923799582463465E-2</v>
      </c>
      <c r="HH27" s="165"/>
      <c r="HI27" s="165"/>
      <c r="HJ27" s="165"/>
      <c r="HK27" s="262" t="s">
        <v>738</v>
      </c>
      <c r="HL27" s="262"/>
      <c r="HM27" s="262"/>
      <c r="HN27" s="262"/>
      <c r="HO27" s="262"/>
      <c r="HP27" s="72"/>
      <c r="IG27" s="6"/>
      <c r="IH27"/>
      <c r="II27"/>
      <c r="IJ27" s="269" t="s">
        <v>745</v>
      </c>
      <c r="IK27" s="269"/>
      <c r="IL27" s="269"/>
      <c r="IM27" s="269"/>
      <c r="IN27" s="269"/>
      <c r="IO27" s="269"/>
      <c r="IP27" s="269"/>
      <c r="IQ27" s="59"/>
      <c r="IR27" s="59"/>
      <c r="IS27" s="59"/>
      <c r="IT27"/>
      <c r="IU27"/>
      <c r="JJ27"/>
      <c r="JK27"/>
      <c r="JL27"/>
    </row>
    <row r="28" spans="2:272" x14ac:dyDescent="0.3">
      <c r="P28" s="57" t="s">
        <v>246</v>
      </c>
      <c r="Q28">
        <v>486</v>
      </c>
      <c r="AK28" s="57" t="s">
        <v>267</v>
      </c>
      <c r="AL28" s="59">
        <v>14878.75</v>
      </c>
      <c r="BG28" t="s">
        <v>679</v>
      </c>
      <c r="BH28"/>
      <c r="BI28"/>
      <c r="BT28" s="74" t="s">
        <v>704</v>
      </c>
      <c r="BU28" s="75">
        <f>(GETPIVOTDATA("[Measures].[Sum of Sales]",$BS$6,"[Sales_Table].[Order_Date (Year)]","[Sales_Table].[Order_Date (Year)].&amp;[2005]")/GETPIVOTDATA("[Measures].[Sum of Sales]",$BS$6,"[Sales_Table].[Order_Date (Year)]","[Sales_Table].[Order_Date (Year)].&amp;[2003]"))^(1/2)-1</f>
        <v>-0.15452674655337739</v>
      </c>
      <c r="CI28"/>
      <c r="CJ28"/>
      <c r="CK28"/>
      <c r="CV28"/>
      <c r="CW28"/>
      <c r="DJ28"/>
      <c r="DK28"/>
      <c r="DU28"/>
      <c r="DV28"/>
      <c r="EF28"/>
      <c r="EG28"/>
      <c r="FJ28"/>
      <c r="FK28"/>
      <c r="GN28"/>
      <c r="GO28"/>
      <c r="GP28" s="259" t="s">
        <v>735</v>
      </c>
      <c r="GQ28" s="259"/>
      <c r="GR28" s="259"/>
      <c r="GS28" s="259"/>
      <c r="HC28" s="6" t="s">
        <v>259</v>
      </c>
      <c r="HD28" s="6">
        <v>303</v>
      </c>
      <c r="HE28" s="6">
        <v>303</v>
      </c>
      <c r="HF28" s="29">
        <f t="shared" si="2"/>
        <v>3.9535490605427978E-2</v>
      </c>
      <c r="HH28" s="165"/>
      <c r="HI28" s="165"/>
      <c r="HJ28" s="165"/>
      <c r="HL28" s="5"/>
      <c r="HP28" s="72"/>
      <c r="HS28" s="74" t="s">
        <v>704</v>
      </c>
      <c r="HT28" s="75">
        <f>(GETPIVOTDATA("[Measures].[Sum of Amt]",$HR$6,"[Marketing_Table].[Year (Year)]","[Marketing_Table].[Year (Year)].&amp;[2005]")/GETPIVOTDATA("[Measures].[Sum of Amt]",$HR$6,"[Marketing_Table].[Year (Year)]","[Marketing_Table].[Year (Year)].&amp;[2003]"))^(1/2)-1</f>
        <v>-0.36577211898381901</v>
      </c>
      <c r="IG28" s="6"/>
      <c r="IH28"/>
      <c r="II28"/>
      <c r="IJ28" s="59"/>
      <c r="IK28" s="59"/>
      <c r="IL28" s="59"/>
      <c r="IM28" s="59"/>
      <c r="IN28" s="59"/>
      <c r="IO28" s="59"/>
      <c r="IP28" s="59"/>
      <c r="IQ28" s="59"/>
      <c r="IR28" s="59"/>
      <c r="IS28" s="59"/>
      <c r="IT28"/>
      <c r="IU28"/>
      <c r="JJ28"/>
      <c r="JK28"/>
      <c r="JL28"/>
    </row>
    <row r="29" spans="2:272" x14ac:dyDescent="0.3">
      <c r="P29" s="57" t="s">
        <v>254</v>
      </c>
      <c r="Q29">
        <v>535</v>
      </c>
      <c r="AK29" s="57" t="s">
        <v>258</v>
      </c>
      <c r="AL29" s="59">
        <v>23701.049999999996</v>
      </c>
      <c r="BF29" s="5" t="s">
        <v>697</v>
      </c>
      <c r="BG29" s="5">
        <v>104166</v>
      </c>
      <c r="BH29"/>
      <c r="BI29"/>
      <c r="BU29" s="169">
        <f>(BW30/BW29)^(1/2)-1</f>
        <v>-0.15452674655337739</v>
      </c>
      <c r="BW29" s="170">
        <v>2252887</v>
      </c>
      <c r="CI29"/>
      <c r="CJ29"/>
      <c r="CK29"/>
      <c r="CV29"/>
      <c r="CW29"/>
      <c r="DJ29"/>
      <c r="DK29"/>
      <c r="DU29"/>
      <c r="DV29"/>
      <c r="EF29"/>
      <c r="EG29"/>
      <c r="FJ29"/>
      <c r="FK29"/>
      <c r="GN29"/>
      <c r="GO29"/>
      <c r="GP29" s="259" t="s">
        <v>736</v>
      </c>
      <c r="GQ29" s="259"/>
      <c r="GR29" s="259"/>
      <c r="GS29" s="259"/>
      <c r="GT29" s="259"/>
      <c r="GU29" s="259"/>
      <c r="GV29" s="259"/>
      <c r="GW29" s="259"/>
      <c r="GX29" s="259"/>
      <c r="HC29" s="6" t="s">
        <v>244</v>
      </c>
      <c r="HD29" s="6">
        <v>459</v>
      </c>
      <c r="HE29" s="6">
        <v>459</v>
      </c>
      <c r="HF29" s="29">
        <f t="shared" si="2"/>
        <v>5.9890396659707724E-2</v>
      </c>
      <c r="HH29" s="165"/>
      <c r="HI29" s="165"/>
      <c r="HJ29" s="165"/>
      <c r="HL29" s="5"/>
      <c r="HP29" s="72"/>
      <c r="IG29" s="6"/>
      <c r="IH29"/>
      <c r="II29"/>
      <c r="IJ29" s="59"/>
      <c r="IK29" s="59"/>
      <c r="IL29" s="59"/>
      <c r="IM29" s="59"/>
      <c r="IN29" s="59"/>
      <c r="IO29" s="59"/>
      <c r="IP29" s="59"/>
      <c r="IQ29" s="59"/>
      <c r="IR29" s="59"/>
      <c r="IS29" s="59"/>
      <c r="IT29"/>
      <c r="IU29"/>
      <c r="JJ29"/>
      <c r="JK29"/>
      <c r="JL29"/>
    </row>
    <row r="30" spans="2:272" x14ac:dyDescent="0.3">
      <c r="P30" s="57" t="s">
        <v>261</v>
      </c>
      <c r="Q30">
        <v>543</v>
      </c>
      <c r="AK30" s="57" t="s">
        <v>242</v>
      </c>
      <c r="AL30" s="59">
        <v>27125.160000000003</v>
      </c>
      <c r="BH30"/>
      <c r="BU30" s="171"/>
      <c r="BW30" s="170">
        <v>1610420</v>
      </c>
      <c r="CI30"/>
      <c r="CJ30"/>
      <c r="CK30"/>
      <c r="CV30"/>
      <c r="CW30"/>
      <c r="DJ30"/>
      <c r="DK30"/>
      <c r="DU30"/>
      <c r="DV30"/>
      <c r="EF30"/>
      <c r="EG30"/>
      <c r="FJ30"/>
      <c r="FK30"/>
      <c r="GN30"/>
      <c r="GO30"/>
      <c r="GP30"/>
      <c r="HC30" s="6" t="s">
        <v>265</v>
      </c>
      <c r="HD30" s="6">
        <v>483</v>
      </c>
      <c r="HE30" s="6">
        <v>483</v>
      </c>
      <c r="HF30" s="29">
        <f t="shared" si="2"/>
        <v>6.3021920668058451E-2</v>
      </c>
      <c r="HH30" s="165"/>
      <c r="HI30" s="165" t="s">
        <v>837</v>
      </c>
      <c r="HJ30" s="165"/>
      <c r="HL30" s="5"/>
      <c r="HP30" s="72"/>
      <c r="IG30" s="6"/>
      <c r="IH30"/>
      <c r="II30"/>
      <c r="IJ30" s="59"/>
      <c r="IK30" s="59"/>
      <c r="IL30" s="59"/>
      <c r="IM30" s="59"/>
      <c r="IN30" s="59"/>
      <c r="IO30" s="59"/>
      <c r="IP30" s="59"/>
      <c r="IQ30" s="59"/>
      <c r="IR30" s="59"/>
      <c r="IS30" s="59"/>
      <c r="IT30"/>
      <c r="IU30"/>
      <c r="JJ30"/>
      <c r="JK30"/>
      <c r="JL30"/>
    </row>
    <row r="31" spans="2:272" x14ac:dyDescent="0.3">
      <c r="P31" s="57" t="s">
        <v>245</v>
      </c>
      <c r="Q31">
        <v>589</v>
      </c>
      <c r="AK31" s="57" t="s">
        <v>252</v>
      </c>
      <c r="AL31" s="59">
        <v>29727.637499999997</v>
      </c>
      <c r="BG31" s="56" t="s">
        <v>371</v>
      </c>
      <c r="BH31" t="s" vm="1">
        <v>698</v>
      </c>
      <c r="BW31" s="59"/>
      <c r="BX31" s="29"/>
      <c r="CI31"/>
      <c r="CJ31"/>
      <c r="CK31"/>
      <c r="CV31"/>
      <c r="CW31"/>
      <c r="DJ31"/>
      <c r="DK31"/>
      <c r="DU31"/>
      <c r="DV31"/>
      <c r="EF31"/>
      <c r="EG31"/>
      <c r="FJ31"/>
      <c r="FK31"/>
      <c r="GN31"/>
      <c r="GO31"/>
      <c r="GP31"/>
      <c r="HC31" s="6" t="s">
        <v>246</v>
      </c>
      <c r="HD31" s="6">
        <v>486</v>
      </c>
      <c r="HE31" s="6">
        <v>486</v>
      </c>
      <c r="HF31" s="29">
        <f t="shared" si="2"/>
        <v>6.3413361169102303E-2</v>
      </c>
      <c r="HH31" s="165"/>
      <c r="HI31" s="165" t="s">
        <v>838</v>
      </c>
      <c r="HJ31" s="165"/>
      <c r="HL31" s="5"/>
      <c r="HP31" s="72"/>
      <c r="IG31" s="6"/>
      <c r="IH31"/>
      <c r="II31"/>
      <c r="IJ31" s="59"/>
      <c r="IK31" s="59"/>
      <c r="IL31" s="59"/>
      <c r="IM31" s="59"/>
      <c r="IN31" s="59"/>
      <c r="IO31" s="59"/>
      <c r="IP31" s="59"/>
      <c r="IQ31" s="59"/>
      <c r="IR31" s="59"/>
      <c r="IS31" s="59"/>
      <c r="IT31"/>
      <c r="IU31"/>
      <c r="JJ31"/>
      <c r="JK31"/>
      <c r="JL31"/>
    </row>
    <row r="32" spans="2:272" x14ac:dyDescent="0.3">
      <c r="P32" s="57" t="s">
        <v>260</v>
      </c>
      <c r="Q32">
        <v>668</v>
      </c>
      <c r="AK32" s="57" t="s">
        <v>260</v>
      </c>
      <c r="AL32" s="59">
        <v>38613.300000000003</v>
      </c>
      <c r="BG32"/>
      <c r="BH32"/>
      <c r="CI32"/>
      <c r="CJ32"/>
      <c r="CK32"/>
      <c r="CV32"/>
      <c r="CW32"/>
      <c r="DJ32"/>
      <c r="DK32"/>
      <c r="DU32"/>
      <c r="DV32"/>
      <c r="EF32"/>
      <c r="EG32"/>
      <c r="FJ32"/>
      <c r="FK32"/>
      <c r="GN32"/>
      <c r="GO32"/>
      <c r="GP32"/>
      <c r="HC32" s="6" t="s">
        <v>254</v>
      </c>
      <c r="HD32" s="6">
        <v>535</v>
      </c>
      <c r="HE32" s="6">
        <v>535</v>
      </c>
      <c r="HF32" s="29">
        <f t="shared" si="2"/>
        <v>6.9806889352818369E-2</v>
      </c>
      <c r="HH32" s="165"/>
      <c r="HI32" s="165"/>
      <c r="HJ32" s="165"/>
      <c r="HL32" s="5"/>
      <c r="HP32" s="72"/>
      <c r="IG32" s="6"/>
      <c r="IH32"/>
      <c r="II32"/>
      <c r="IJ32" s="59"/>
      <c r="IK32" s="59"/>
      <c r="IL32" s="59"/>
      <c r="IM32" s="59"/>
      <c r="IN32" s="59"/>
      <c r="IO32" s="59"/>
      <c r="IP32" s="59"/>
      <c r="IQ32" s="59"/>
      <c r="IR32" s="59"/>
      <c r="IS32" s="59"/>
      <c r="IT32"/>
      <c r="IU32"/>
      <c r="JJ32"/>
      <c r="JK32"/>
      <c r="JL32"/>
    </row>
    <row r="33" spans="16:272" x14ac:dyDescent="0.3">
      <c r="P33" s="57" t="s">
        <v>242</v>
      </c>
      <c r="Q33">
        <v>931</v>
      </c>
      <c r="AK33" s="57" t="s">
        <v>259</v>
      </c>
      <c r="AL33" s="59">
        <v>45926.25</v>
      </c>
      <c r="BG33" t="s">
        <v>679</v>
      </c>
      <c r="BH33"/>
      <c r="BT33" s="85"/>
      <c r="CI33"/>
      <c r="CJ33"/>
      <c r="CK33"/>
      <c r="CV33"/>
      <c r="CW33"/>
      <c r="DJ33"/>
      <c r="DK33"/>
      <c r="DU33"/>
      <c r="DV33"/>
      <c r="EF33"/>
      <c r="EG33"/>
      <c r="FJ33"/>
      <c r="FK33"/>
      <c r="GN33"/>
      <c r="GO33"/>
      <c r="HC33" s="6" t="s">
        <v>261</v>
      </c>
      <c r="HD33" s="6">
        <v>543</v>
      </c>
      <c r="HE33" s="6">
        <v>543</v>
      </c>
      <c r="HF33" s="29">
        <f t="shared" si="2"/>
        <v>7.0850730688935284E-2</v>
      </c>
      <c r="HH33" s="165"/>
      <c r="HI33" s="165"/>
      <c r="HJ33" s="165"/>
      <c r="HL33" s="5"/>
      <c r="HP33" s="72"/>
      <c r="IG33" s="6"/>
      <c r="IH33"/>
      <c r="II33"/>
      <c r="IJ33" s="59"/>
      <c r="IK33" s="59"/>
      <c r="IL33" s="59"/>
      <c r="IM33" s="59"/>
      <c r="IN33" s="59"/>
      <c r="IO33" s="59"/>
      <c r="IP33" s="59"/>
      <c r="IQ33" s="59"/>
      <c r="IR33" s="59"/>
      <c r="IS33" s="59"/>
      <c r="IT33"/>
      <c r="IU33"/>
      <c r="JJ33"/>
      <c r="JK33"/>
      <c r="JL33"/>
    </row>
    <row r="34" spans="16:272" x14ac:dyDescent="0.3">
      <c r="P34" s="57" t="s">
        <v>623</v>
      </c>
      <c r="Q34">
        <v>5193</v>
      </c>
      <c r="AK34" s="57" t="s">
        <v>254</v>
      </c>
      <c r="AL34" s="59">
        <v>58359.600000000013</v>
      </c>
      <c r="BF34" s="5" t="s">
        <v>697</v>
      </c>
      <c r="BG34" s="5">
        <v>104166</v>
      </c>
      <c r="BH34"/>
      <c r="BT34" s="85"/>
      <c r="CI34"/>
      <c r="CJ34"/>
      <c r="CK34"/>
      <c r="CV34"/>
      <c r="CW34"/>
      <c r="DJ34"/>
      <c r="DK34"/>
      <c r="DU34"/>
      <c r="DV34"/>
      <c r="EF34"/>
      <c r="EG34"/>
      <c r="FJ34"/>
      <c r="FK34"/>
      <c r="GN34"/>
      <c r="GO34"/>
      <c r="HC34" s="6" t="s">
        <v>245</v>
      </c>
      <c r="HD34" s="6">
        <v>589</v>
      </c>
      <c r="HE34" s="6">
        <v>589</v>
      </c>
      <c r="HF34" s="29">
        <f t="shared" si="2"/>
        <v>7.6852818371607512E-2</v>
      </c>
      <c r="HH34" s="165"/>
      <c r="HI34" s="165"/>
      <c r="HJ34" s="165"/>
      <c r="HL34" s="5"/>
      <c r="HP34" s="72"/>
      <c r="IG34" s="6"/>
      <c r="IH34"/>
      <c r="II34"/>
      <c r="IJ34" s="59"/>
      <c r="IK34" s="59"/>
      <c r="IL34" s="59"/>
      <c r="IM34" s="59"/>
      <c r="IN34" s="59"/>
      <c r="IO34" s="59"/>
      <c r="IP34" s="59"/>
      <c r="IQ34" s="59"/>
      <c r="IR34" s="59"/>
      <c r="IS34" s="59"/>
      <c r="IT34"/>
      <c r="IU34"/>
      <c r="JJ34"/>
      <c r="JK34"/>
      <c r="JL34"/>
    </row>
    <row r="35" spans="16:272" x14ac:dyDescent="0.3">
      <c r="AK35" s="57" t="s">
        <v>245</v>
      </c>
      <c r="AL35" s="59">
        <v>62950.149999999994</v>
      </c>
      <c r="BG35"/>
      <c r="BH35"/>
      <c r="CI35"/>
      <c r="CJ35"/>
      <c r="CK35"/>
      <c r="CV35"/>
      <c r="CW35"/>
      <c r="DJ35"/>
      <c r="DK35"/>
      <c r="DU35"/>
      <c r="DV35"/>
      <c r="EF35"/>
      <c r="EG35"/>
      <c r="FJ35"/>
      <c r="FK35"/>
      <c r="GN35"/>
      <c r="GO35"/>
      <c r="HC35" s="6" t="s">
        <v>260</v>
      </c>
      <c r="HD35" s="6">
        <v>668</v>
      </c>
      <c r="HE35" s="6">
        <v>668</v>
      </c>
      <c r="HF35" s="29">
        <f t="shared" si="2"/>
        <v>8.7160751565762001E-2</v>
      </c>
      <c r="HH35" s="165"/>
      <c r="HI35" s="165"/>
      <c r="HJ35" s="165"/>
      <c r="HL35" s="5"/>
      <c r="HP35" s="72"/>
      <c r="IG35" s="6"/>
      <c r="IH35"/>
      <c r="II35"/>
      <c r="IJ35" s="59"/>
      <c r="IK35" s="59"/>
      <c r="IL35" s="59"/>
      <c r="IM35" s="59"/>
      <c r="IN35" s="59"/>
      <c r="IO35" s="59"/>
      <c r="IP35" s="59"/>
      <c r="IQ35" s="59"/>
      <c r="IR35" s="59"/>
      <c r="IS35" s="59"/>
      <c r="IT35"/>
      <c r="IU35"/>
      <c r="JJ35"/>
      <c r="JK35"/>
      <c r="JL35"/>
    </row>
    <row r="36" spans="16:272" x14ac:dyDescent="0.3">
      <c r="AK36" s="57" t="s">
        <v>246</v>
      </c>
      <c r="AL36" s="59">
        <v>71034.600000000006</v>
      </c>
      <c r="BG36"/>
      <c r="BH36"/>
      <c r="CI36"/>
      <c r="CJ36"/>
      <c r="CK36"/>
      <c r="CV36"/>
      <c r="CW36"/>
      <c r="DJ36"/>
      <c r="DK36"/>
      <c r="DU36"/>
      <c r="DV36"/>
      <c r="EF36"/>
      <c r="EG36"/>
      <c r="FJ36"/>
      <c r="FK36"/>
      <c r="GN36"/>
      <c r="GO36"/>
      <c r="HC36" s="6" t="s">
        <v>242</v>
      </c>
      <c r="HD36" s="6">
        <v>931</v>
      </c>
      <c r="HE36" s="6">
        <v>931</v>
      </c>
      <c r="HF36" s="29">
        <f t="shared" si="2"/>
        <v>0.12147703549060543</v>
      </c>
      <c r="HH36" s="165"/>
      <c r="HI36" s="165"/>
      <c r="HJ36" s="165"/>
      <c r="HL36" s="5"/>
      <c r="HP36" s="72"/>
      <c r="IG36" s="6"/>
      <c r="IH36"/>
      <c r="II36"/>
      <c r="IJ36" s="59"/>
      <c r="IK36" s="59"/>
      <c r="IL36" s="59"/>
      <c r="IM36" s="59"/>
      <c r="IN36" s="59"/>
      <c r="IO36" s="59"/>
      <c r="IP36" s="59"/>
      <c r="IQ36" s="59"/>
      <c r="IR36" s="59"/>
      <c r="IS36" s="59"/>
      <c r="IT36"/>
      <c r="IU36"/>
      <c r="JJ36"/>
      <c r="JK36"/>
      <c r="JL36"/>
    </row>
    <row r="37" spans="16:272" x14ac:dyDescent="0.3">
      <c r="AK37" s="57" t="s">
        <v>623</v>
      </c>
      <c r="AL37" s="59">
        <v>384153.14749999979</v>
      </c>
      <c r="BG37"/>
      <c r="BH37"/>
      <c r="CI37"/>
      <c r="CJ37"/>
      <c r="CK37"/>
      <c r="CV37"/>
      <c r="CW37"/>
      <c r="DJ37"/>
      <c r="DK37"/>
      <c r="DU37"/>
      <c r="DV37"/>
      <c r="EF37"/>
      <c r="EG37"/>
      <c r="FJ37"/>
      <c r="FK37"/>
      <c r="GN37"/>
      <c r="GO37"/>
      <c r="HC37" s="6" t="s">
        <v>623</v>
      </c>
      <c r="HD37" s="6">
        <v>7664</v>
      </c>
      <c r="HE37" s="6">
        <v>7664</v>
      </c>
      <c r="HF37" s="29">
        <f t="shared" si="2"/>
        <v>1</v>
      </c>
      <c r="HH37" s="165"/>
      <c r="HI37" s="165"/>
      <c r="HJ37" s="165"/>
      <c r="HL37" s="5"/>
      <c r="HP37" s="72"/>
      <c r="IG37" s="6"/>
      <c r="IH37"/>
      <c r="II37"/>
      <c r="IJ37" s="59"/>
      <c r="IK37" s="59"/>
      <c r="IL37" s="59"/>
      <c r="IM37" s="59"/>
      <c r="IN37" s="59"/>
      <c r="IO37" s="59"/>
      <c r="IP37" s="59"/>
      <c r="IQ37" s="59"/>
      <c r="IR37" s="59"/>
      <c r="IS37" s="59"/>
      <c r="IT37"/>
      <c r="IU37"/>
      <c r="JJ37"/>
      <c r="JK37"/>
      <c r="JL37"/>
    </row>
    <row r="38" spans="16:272" x14ac:dyDescent="0.3">
      <c r="BG38"/>
      <c r="BH38"/>
      <c r="CI38"/>
      <c r="CJ38"/>
      <c r="CK38"/>
      <c r="DJ38"/>
      <c r="DK38"/>
      <c r="DU38"/>
      <c r="DV38"/>
      <c r="EF38"/>
      <c r="EG38"/>
      <c r="FJ38"/>
      <c r="FK38"/>
      <c r="GN38"/>
      <c r="GO38"/>
      <c r="HC38" s="6"/>
      <c r="HD38" s="6">
        <v>7664</v>
      </c>
      <c r="HE38" s="6">
        <v>7664</v>
      </c>
      <c r="HF38" s="5"/>
      <c r="HH38" s="165"/>
      <c r="HI38" s="165"/>
      <c r="HJ38" s="165"/>
      <c r="HL38" s="5"/>
      <c r="HP38" s="72"/>
      <c r="IG38" s="6"/>
      <c r="IH38"/>
      <c r="II38"/>
      <c r="IJ38" s="59"/>
      <c r="IK38" s="59"/>
      <c r="IL38" s="59"/>
      <c r="IM38" s="59"/>
      <c r="IN38" s="59"/>
      <c r="IO38" s="59"/>
      <c r="IP38" s="59"/>
      <c r="IQ38" s="59"/>
      <c r="IR38" s="59"/>
      <c r="IS38" s="59"/>
      <c r="IT38"/>
      <c r="IU38"/>
      <c r="JJ38"/>
      <c r="JK38"/>
      <c r="JL38"/>
    </row>
    <row r="39" spans="16:272" x14ac:dyDescent="0.3">
      <c r="BG39"/>
      <c r="BH39"/>
      <c r="CI39"/>
      <c r="CJ39"/>
      <c r="CK39"/>
      <c r="DJ39"/>
      <c r="DK39"/>
      <c r="DU39"/>
      <c r="DV39"/>
      <c r="EF39"/>
      <c r="EG39"/>
      <c r="FJ39"/>
      <c r="FK39"/>
      <c r="GN39"/>
      <c r="GO39"/>
      <c r="HC39" s="6"/>
      <c r="HD39" s="6"/>
      <c r="HE39" s="5"/>
      <c r="HF39" s="5"/>
      <c r="HH39" s="165"/>
      <c r="HI39" s="165"/>
      <c r="HJ39" s="165"/>
      <c r="HL39" s="5"/>
      <c r="HP39" s="72"/>
      <c r="IG39" s="6"/>
      <c r="IH39"/>
      <c r="II39"/>
      <c r="IJ39" s="59"/>
      <c r="IK39" s="59"/>
      <c r="IL39" s="59"/>
      <c r="IM39" s="59"/>
      <c r="IN39" s="59"/>
      <c r="IO39" s="59"/>
      <c r="IP39" s="59"/>
      <c r="IQ39" s="59"/>
      <c r="IR39" s="59"/>
      <c r="IS39" s="59"/>
      <c r="IT39"/>
      <c r="IU39"/>
      <c r="JJ39"/>
      <c r="JK39"/>
      <c r="JL39"/>
    </row>
    <row r="40" spans="16:272" x14ac:dyDescent="0.3">
      <c r="BG40"/>
      <c r="BH40"/>
      <c r="CI40"/>
      <c r="CJ40"/>
      <c r="CK40"/>
      <c r="DJ40"/>
      <c r="DK40"/>
      <c r="DU40"/>
      <c r="DV40"/>
      <c r="EF40"/>
      <c r="EG40"/>
      <c r="FJ40"/>
      <c r="FK40"/>
      <c r="GN40"/>
      <c r="GO40"/>
      <c r="GW40" s="172" t="s">
        <v>679</v>
      </c>
      <c r="GX40" s="172" t="s">
        <v>828</v>
      </c>
      <c r="GY40" s="172"/>
      <c r="GZ40" s="172"/>
      <c r="HA40" s="172"/>
      <c r="HC40"/>
      <c r="HD40"/>
      <c r="HE40"/>
      <c r="HF40"/>
      <c r="HG40"/>
      <c r="HH40" s="174"/>
      <c r="HI40" s="174"/>
      <c r="HJ40" s="174"/>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row>
    <row r="41" spans="16:272" x14ac:dyDescent="0.3">
      <c r="BG41"/>
      <c r="BH41"/>
      <c r="CI41"/>
      <c r="CJ41"/>
      <c r="CK41"/>
      <c r="DJ41"/>
      <c r="DK41"/>
      <c r="DU41"/>
      <c r="DV41"/>
      <c r="FJ41"/>
      <c r="FK41"/>
      <c r="GN41"/>
      <c r="GO41"/>
      <c r="GW41" s="167" t="s">
        <v>632</v>
      </c>
      <c r="GX41" s="167">
        <v>2003</v>
      </c>
      <c r="GY41" s="167">
        <v>2004</v>
      </c>
      <c r="GZ41" s="167">
        <v>2005</v>
      </c>
      <c r="HA41" s="167" t="s">
        <v>623</v>
      </c>
      <c r="HB41" s="29"/>
      <c r="HC41" s="172" t="s">
        <v>679</v>
      </c>
      <c r="HD41" s="172" t="s">
        <v>828</v>
      </c>
      <c r="HE41" s="172"/>
      <c r="HF41" s="172"/>
      <c r="HG41" s="172"/>
      <c r="HH41" s="174"/>
      <c r="HI41" s="174"/>
      <c r="HJ41" s="174"/>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row>
    <row r="42" spans="16:272" x14ac:dyDescent="0.3">
      <c r="BG42"/>
      <c r="BH42"/>
      <c r="CI42"/>
      <c r="CJ42"/>
      <c r="CK42"/>
      <c r="DJ42"/>
      <c r="DK42"/>
      <c r="DU42"/>
      <c r="DV42"/>
      <c r="FJ42"/>
      <c r="FK42"/>
      <c r="GN42"/>
      <c r="GO42"/>
      <c r="GW42" s="161" t="s">
        <v>32</v>
      </c>
      <c r="GX42" s="161">
        <v>104</v>
      </c>
      <c r="GY42" s="161">
        <v>495</v>
      </c>
      <c r="GZ42" s="161">
        <v>1438</v>
      </c>
      <c r="HA42" s="161">
        <v>2037</v>
      </c>
      <c r="HB42" s="29"/>
      <c r="HC42" s="167" t="s">
        <v>632</v>
      </c>
      <c r="HD42" s="167">
        <v>2003</v>
      </c>
      <c r="HE42" s="167">
        <v>2004</v>
      </c>
      <c r="HF42" s="167">
        <v>2005</v>
      </c>
      <c r="HG42" s="167" t="s">
        <v>623</v>
      </c>
      <c r="HH42" s="174"/>
      <c r="HI42" s="174"/>
      <c r="HJ42" s="174"/>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row>
    <row r="43" spans="16:272" x14ac:dyDescent="0.3">
      <c r="BG43"/>
      <c r="BH43"/>
      <c r="CI43"/>
      <c r="CJ43"/>
      <c r="CK43"/>
      <c r="DJ43"/>
      <c r="DK43"/>
      <c r="DU43"/>
      <c r="DV43"/>
      <c r="FJ43"/>
      <c r="FK43"/>
      <c r="GN43"/>
      <c r="GO43"/>
      <c r="GW43" s="161" t="s">
        <v>17</v>
      </c>
      <c r="GX43" s="161">
        <v>140</v>
      </c>
      <c r="GY43" s="161">
        <v>345</v>
      </c>
      <c r="GZ43" s="161">
        <v>1303</v>
      </c>
      <c r="HA43" s="161">
        <v>1788</v>
      </c>
      <c r="HB43" s="29"/>
      <c r="HC43" s="161" t="s">
        <v>32</v>
      </c>
      <c r="HD43" s="161">
        <f t="shared" ref="HD43:HF49" si="3">GX42+GX53</f>
        <v>12473</v>
      </c>
      <c r="HE43" s="161">
        <f t="shared" si="3"/>
        <v>15418</v>
      </c>
      <c r="HF43" s="161">
        <f t="shared" si="3"/>
        <v>10764</v>
      </c>
      <c r="HG43" s="161">
        <f>SUM(HD43:HF43)</f>
        <v>38655</v>
      </c>
      <c r="HH43" s="174"/>
      <c r="HI43" s="174"/>
      <c r="HJ43" s="174"/>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row>
    <row r="44" spans="16:272" x14ac:dyDescent="0.3">
      <c r="BG44"/>
      <c r="BH44"/>
      <c r="BI44"/>
      <c r="BJ44"/>
      <c r="CI44"/>
      <c r="CJ44"/>
      <c r="CK44"/>
      <c r="DJ44"/>
      <c r="DK44"/>
      <c r="DU44"/>
      <c r="DV44"/>
      <c r="FJ44"/>
      <c r="FK44"/>
      <c r="GN44"/>
      <c r="GO44"/>
      <c r="GW44" s="161" t="s">
        <v>47</v>
      </c>
      <c r="GX44" s="161"/>
      <c r="GY44" s="161">
        <v>42</v>
      </c>
      <c r="GZ44" s="161">
        <v>48</v>
      </c>
      <c r="HA44" s="161">
        <v>90</v>
      </c>
      <c r="HB44" s="29"/>
      <c r="HC44" s="161" t="s">
        <v>17</v>
      </c>
      <c r="HD44" s="161">
        <f t="shared" si="3"/>
        <v>7504</v>
      </c>
      <c r="HE44" s="161">
        <f t="shared" si="3"/>
        <v>9950</v>
      </c>
      <c r="HF44" s="161">
        <f t="shared" si="3"/>
        <v>5927</v>
      </c>
      <c r="HG44" s="161">
        <f t="shared" ref="HG44:HG49" si="4">SUM(HD44:HF44)</f>
        <v>23381</v>
      </c>
      <c r="HH44" s="174"/>
      <c r="HI44" s="174"/>
      <c r="HJ44" s="17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row>
    <row r="45" spans="16:272" x14ac:dyDescent="0.3">
      <c r="BG45"/>
      <c r="BH45"/>
      <c r="BI45"/>
      <c r="BJ45"/>
      <c r="CI45"/>
      <c r="CJ45"/>
      <c r="CK45"/>
      <c r="DJ45"/>
      <c r="DK45"/>
      <c r="DU45"/>
      <c r="DV45"/>
      <c r="FJ45"/>
      <c r="FK45"/>
      <c r="GN45"/>
      <c r="GO45"/>
      <c r="GW45" s="161" t="s">
        <v>54</v>
      </c>
      <c r="GX45" s="161">
        <v>287</v>
      </c>
      <c r="GY45" s="161">
        <v>524</v>
      </c>
      <c r="GZ45" s="161">
        <v>524</v>
      </c>
      <c r="HA45" s="161">
        <v>1335</v>
      </c>
      <c r="HB45" s="29"/>
      <c r="HC45" s="161" t="s">
        <v>47</v>
      </c>
      <c r="HD45" s="161">
        <f t="shared" si="3"/>
        <v>1000</v>
      </c>
      <c r="HE45" s="161">
        <f t="shared" si="3"/>
        <v>1303</v>
      </c>
      <c r="HF45" s="161">
        <f t="shared" si="3"/>
        <v>770</v>
      </c>
      <c r="HG45" s="161">
        <f t="shared" si="4"/>
        <v>3073</v>
      </c>
      <c r="HH45" s="174"/>
      <c r="HI45" s="174"/>
      <c r="HJ45" s="174"/>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row>
    <row r="46" spans="16:272" x14ac:dyDescent="0.3">
      <c r="BG46"/>
      <c r="BH46"/>
      <c r="BI46"/>
      <c r="BJ46"/>
      <c r="CI46"/>
      <c r="CJ46"/>
      <c r="CK46"/>
      <c r="DJ46"/>
      <c r="DK46"/>
      <c r="DU46"/>
      <c r="DV46"/>
      <c r="FJ46"/>
      <c r="FK46"/>
      <c r="GN46"/>
      <c r="GO46"/>
      <c r="GW46" s="161" t="s">
        <v>68</v>
      </c>
      <c r="GX46" s="161"/>
      <c r="GY46" s="161"/>
      <c r="GZ46" s="161">
        <v>308</v>
      </c>
      <c r="HA46" s="161">
        <v>308</v>
      </c>
      <c r="HB46" s="29"/>
      <c r="HC46" s="161" t="s">
        <v>54</v>
      </c>
      <c r="HD46" s="161">
        <f t="shared" si="3"/>
        <v>2844</v>
      </c>
      <c r="HE46" s="161">
        <f t="shared" si="3"/>
        <v>3937</v>
      </c>
      <c r="HF46" s="161">
        <f t="shared" si="3"/>
        <v>2168</v>
      </c>
      <c r="HG46" s="161">
        <f t="shared" si="4"/>
        <v>8949</v>
      </c>
      <c r="HH46" s="174"/>
      <c r="HI46" s="174"/>
      <c r="HJ46" s="174"/>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row>
    <row r="47" spans="16:272" x14ac:dyDescent="0.3">
      <c r="BG47"/>
      <c r="BH47"/>
      <c r="BI47"/>
      <c r="BJ47"/>
      <c r="CI47"/>
      <c r="CJ47"/>
      <c r="CK47"/>
      <c r="DJ47"/>
      <c r="DK47"/>
      <c r="DU47"/>
      <c r="DV47"/>
      <c r="FJ47"/>
      <c r="FK47"/>
      <c r="GN47"/>
      <c r="GO47"/>
      <c r="GW47" s="161" t="s">
        <v>35</v>
      </c>
      <c r="GX47" s="161">
        <v>203</v>
      </c>
      <c r="GY47" s="161">
        <v>171</v>
      </c>
      <c r="GZ47" s="161">
        <v>394</v>
      </c>
      <c r="HA47" s="161">
        <v>768</v>
      </c>
      <c r="HB47" s="29"/>
      <c r="HC47" s="161" t="s">
        <v>68</v>
      </c>
      <c r="HD47" s="161">
        <f t="shared" si="3"/>
        <v>3739</v>
      </c>
      <c r="HE47" s="161">
        <f t="shared" si="3"/>
        <v>5690</v>
      </c>
      <c r="HF47" s="161">
        <f t="shared" si="3"/>
        <v>4160</v>
      </c>
      <c r="HG47" s="161">
        <f t="shared" si="4"/>
        <v>13589</v>
      </c>
      <c r="HH47" s="174"/>
      <c r="HI47" s="174"/>
      <c r="HJ47" s="174"/>
      <c r="HK47"/>
      <c r="HL47"/>
      <c r="HM47"/>
      <c r="HN47"/>
      <c r="HO47"/>
      <c r="HP47"/>
      <c r="HQ47"/>
      <c r="HR47"/>
      <c r="HS47"/>
      <c r="HT47"/>
      <c r="HU47"/>
      <c r="HV47"/>
      <c r="HW47"/>
      <c r="HX47"/>
      <c r="HY47"/>
      <c r="HZ47"/>
      <c r="IA47" s="59"/>
      <c r="IB47" s="59"/>
      <c r="IC47" s="59"/>
      <c r="ID47" s="59"/>
      <c r="IE47" s="59"/>
      <c r="IF47" s="59"/>
      <c r="IG47" s="59"/>
      <c r="IH47" s="59"/>
      <c r="II47" s="59"/>
      <c r="IJ47" s="59"/>
      <c r="JA47"/>
      <c r="JB47"/>
      <c r="JC47"/>
    </row>
    <row r="48" spans="16:272" x14ac:dyDescent="0.3">
      <c r="BG48"/>
      <c r="BH48"/>
      <c r="BI48"/>
      <c r="BJ48"/>
      <c r="CI48"/>
      <c r="CJ48"/>
      <c r="CK48"/>
      <c r="DJ48"/>
      <c r="DK48"/>
      <c r="DU48"/>
      <c r="DV48"/>
      <c r="FJ48"/>
      <c r="FK48"/>
      <c r="GN48"/>
      <c r="GO48"/>
      <c r="GW48" s="161" t="s">
        <v>61</v>
      </c>
      <c r="GX48" s="161">
        <v>104</v>
      </c>
      <c r="GY48" s="161">
        <v>381</v>
      </c>
      <c r="GZ48" s="161">
        <v>853</v>
      </c>
      <c r="HA48" s="161">
        <v>1338</v>
      </c>
      <c r="HB48" s="29"/>
      <c r="HC48" s="161" t="s">
        <v>35</v>
      </c>
      <c r="HD48" s="161">
        <f t="shared" si="3"/>
        <v>4056</v>
      </c>
      <c r="HE48" s="161">
        <f t="shared" si="3"/>
        <v>5002</v>
      </c>
      <c r="HF48" s="161">
        <f t="shared" si="3"/>
        <v>3044</v>
      </c>
      <c r="HG48" s="161">
        <f t="shared" si="4"/>
        <v>12102</v>
      </c>
      <c r="HH48" s="174"/>
      <c r="HI48" s="174"/>
      <c r="HJ48" s="174"/>
      <c r="HK48"/>
      <c r="HL48"/>
      <c r="HM48"/>
      <c r="HN48"/>
      <c r="HO48"/>
      <c r="HP48"/>
      <c r="HQ48"/>
      <c r="HR48"/>
      <c r="HS48"/>
      <c r="HT48"/>
      <c r="HU48"/>
      <c r="HV48"/>
      <c r="HW48"/>
      <c r="HX48"/>
      <c r="HY48"/>
      <c r="HZ48"/>
      <c r="IA48" s="59"/>
      <c r="IB48" s="59"/>
      <c r="IC48" s="59"/>
      <c r="ID48" s="59"/>
      <c r="IE48" s="59"/>
      <c r="IF48" s="59"/>
      <c r="IG48" s="59"/>
      <c r="IH48" s="59"/>
      <c r="II48" s="59"/>
      <c r="IJ48" s="59"/>
      <c r="JA48"/>
      <c r="JB48"/>
      <c r="JC48"/>
    </row>
    <row r="49" spans="59:263" x14ac:dyDescent="0.3">
      <c r="BG49"/>
      <c r="BH49"/>
      <c r="BI49"/>
      <c r="BJ49"/>
      <c r="CI49"/>
      <c r="CJ49"/>
      <c r="CK49"/>
      <c r="DJ49"/>
      <c r="DK49"/>
      <c r="DU49"/>
      <c r="DV49"/>
      <c r="FJ49"/>
      <c r="FK49"/>
      <c r="GN49"/>
      <c r="GO49"/>
      <c r="GW49" s="173" t="s">
        <v>623</v>
      </c>
      <c r="GX49" s="173">
        <v>838</v>
      </c>
      <c r="GY49" s="173">
        <v>1958</v>
      </c>
      <c r="GZ49" s="173">
        <v>4868</v>
      </c>
      <c r="HA49" s="173">
        <v>7664</v>
      </c>
      <c r="HB49" s="29"/>
      <c r="HC49" s="161" t="s">
        <v>61</v>
      </c>
      <c r="HD49" s="161">
        <f t="shared" si="3"/>
        <v>2996</v>
      </c>
      <c r="HE49" s="161">
        <f t="shared" si="3"/>
        <v>5524</v>
      </c>
      <c r="HF49" s="161">
        <f t="shared" si="3"/>
        <v>3561</v>
      </c>
      <c r="HG49" s="161">
        <f t="shared" si="4"/>
        <v>12081</v>
      </c>
      <c r="HH49" s="174"/>
      <c r="HI49" s="174"/>
      <c r="HJ49" s="174"/>
      <c r="HK49"/>
      <c r="HL49"/>
      <c r="HM49"/>
      <c r="HN49"/>
      <c r="HO49"/>
      <c r="HP49"/>
      <c r="HQ49"/>
      <c r="HR49"/>
      <c r="HS49"/>
      <c r="HT49"/>
      <c r="HU49"/>
      <c r="HV49"/>
      <c r="HW49"/>
      <c r="HX49"/>
      <c r="HY49"/>
      <c r="HZ49"/>
      <c r="IA49" s="59"/>
      <c r="IB49" s="59"/>
      <c r="IC49" s="59"/>
      <c r="ID49" s="59"/>
      <c r="IE49" s="59"/>
      <c r="IF49" s="59"/>
      <c r="IG49" s="59"/>
      <c r="IH49" s="59"/>
      <c r="II49" s="59"/>
      <c r="IJ49" s="59"/>
      <c r="JA49"/>
      <c r="JB49"/>
      <c r="JC49"/>
    </row>
    <row r="50" spans="59:263" x14ac:dyDescent="0.3">
      <c r="BG50"/>
      <c r="BH50"/>
      <c r="BI50"/>
      <c r="BJ50"/>
      <c r="CI50"/>
      <c r="CJ50"/>
      <c r="CK50"/>
      <c r="DJ50"/>
      <c r="DK50"/>
      <c r="DU50"/>
      <c r="DV50"/>
      <c r="FJ50"/>
      <c r="FK50"/>
      <c r="GN50"/>
      <c r="GO50"/>
      <c r="GW50"/>
      <c r="GX50"/>
      <c r="GY50"/>
      <c r="GZ50"/>
      <c r="HA50"/>
      <c r="HB50" s="29"/>
      <c r="HC50" s="173" t="s">
        <v>623</v>
      </c>
      <c r="HD50" s="173">
        <f>SUM(HD43:HD49)</f>
        <v>34612</v>
      </c>
      <c r="HE50" s="173">
        <f>SUM(HE43:HE49)</f>
        <v>46824</v>
      </c>
      <c r="HF50" s="173">
        <f>SUM(HF43:HF49)</f>
        <v>30394</v>
      </c>
      <c r="HG50" s="173">
        <f>SUM(HD50:HF50)</f>
        <v>111830</v>
      </c>
      <c r="HH50" s="174"/>
      <c r="HI50" s="174"/>
      <c r="HJ50" s="174"/>
      <c r="HK50"/>
      <c r="HL50"/>
      <c r="HM50"/>
      <c r="HN50"/>
      <c r="HO50"/>
      <c r="HP50"/>
      <c r="HQ50"/>
      <c r="HR50"/>
      <c r="HS50"/>
      <c r="HT50"/>
      <c r="HU50"/>
      <c r="HV50"/>
      <c r="HW50"/>
      <c r="HX50"/>
      <c r="HY50"/>
      <c r="HZ50"/>
      <c r="IA50" s="59"/>
      <c r="IB50" s="59"/>
      <c r="IC50" s="59"/>
      <c r="ID50" s="59"/>
      <c r="IE50" s="59"/>
      <c r="IF50" s="59"/>
      <c r="IG50" s="59"/>
      <c r="IH50" s="59"/>
      <c r="II50" s="59"/>
      <c r="IJ50" s="59"/>
      <c r="JA50"/>
      <c r="JB50"/>
      <c r="JC50"/>
    </row>
    <row r="51" spans="59:263" x14ac:dyDescent="0.3">
      <c r="BG51"/>
      <c r="BH51"/>
      <c r="BI51"/>
      <c r="BJ51"/>
      <c r="CI51"/>
      <c r="CJ51"/>
      <c r="CK51"/>
      <c r="DJ51"/>
      <c r="DK51"/>
      <c r="FJ51"/>
      <c r="FK51"/>
      <c r="GN51"/>
      <c r="GO51"/>
      <c r="GW51" s="172" t="s">
        <v>679</v>
      </c>
      <c r="GX51" s="172" t="s">
        <v>828</v>
      </c>
      <c r="GY51" s="172"/>
      <c r="GZ51" s="172"/>
      <c r="HA51" s="172"/>
      <c r="HB51" s="29"/>
      <c r="HC51"/>
      <c r="HD51"/>
      <c r="HE51"/>
      <c r="HF51"/>
      <c r="HG51"/>
      <c r="HH51" s="174"/>
      <c r="HI51" s="174"/>
      <c r="HJ51" s="174"/>
      <c r="HK51"/>
      <c r="HL51"/>
      <c r="HM51"/>
      <c r="HN51"/>
      <c r="HO51"/>
      <c r="HP51"/>
      <c r="HQ51"/>
      <c r="HR51"/>
      <c r="HS51"/>
      <c r="HT51"/>
      <c r="HU51"/>
      <c r="HV51"/>
      <c r="HW51"/>
      <c r="HX51"/>
      <c r="HY51"/>
      <c r="HZ51"/>
      <c r="IA51" s="59"/>
      <c r="IB51" s="59"/>
      <c r="IC51" s="59"/>
      <c r="ID51" s="59"/>
      <c r="IE51" s="59"/>
      <c r="IF51" s="59"/>
      <c r="IG51" s="59"/>
      <c r="IH51" s="59"/>
      <c r="II51" s="59"/>
      <c r="IJ51" s="59"/>
      <c r="JA51"/>
      <c r="JB51"/>
      <c r="JC51"/>
    </row>
    <row r="52" spans="59:263" x14ac:dyDescent="0.3">
      <c r="BG52"/>
      <c r="BH52"/>
      <c r="BI52"/>
      <c r="BJ52"/>
      <c r="CI52"/>
      <c r="CJ52"/>
      <c r="CK52"/>
      <c r="DJ52"/>
      <c r="DK52"/>
      <c r="FJ52"/>
      <c r="FK52"/>
      <c r="GN52"/>
      <c r="GO52"/>
      <c r="GW52" s="167" t="s">
        <v>632</v>
      </c>
      <c r="GX52" s="167">
        <v>2003</v>
      </c>
      <c r="GY52" s="167">
        <v>2004</v>
      </c>
      <c r="GZ52" s="167">
        <v>2005</v>
      </c>
      <c r="HA52" s="167" t="s">
        <v>623</v>
      </c>
      <c r="HB52" s="29"/>
      <c r="HC52" s="172" t="s">
        <v>679</v>
      </c>
      <c r="HD52" s="172" t="s">
        <v>828</v>
      </c>
      <c r="HE52" s="256" t="s">
        <v>691</v>
      </c>
      <c r="HF52" s="256"/>
      <c r="HG52" s="256"/>
      <c r="HH52" s="174"/>
      <c r="HI52" s="174"/>
      <c r="HJ52" s="174"/>
      <c r="HK52"/>
      <c r="HL52"/>
      <c r="HM52"/>
      <c r="HN52"/>
      <c r="HO52"/>
      <c r="HP52"/>
      <c r="HQ52"/>
      <c r="HR52"/>
      <c r="HS52"/>
      <c r="HT52"/>
      <c r="HU52"/>
      <c r="HV52"/>
      <c r="HW52"/>
      <c r="HX52"/>
      <c r="HY52"/>
      <c r="HZ52"/>
      <c r="IA52" s="59"/>
      <c r="IB52" s="59"/>
      <c r="IC52" s="59"/>
      <c r="ID52" s="59"/>
      <c r="IE52" s="59"/>
      <c r="IF52" s="59"/>
      <c r="IG52" s="59"/>
      <c r="IH52" s="59"/>
      <c r="II52" s="59"/>
      <c r="IJ52" s="59"/>
      <c r="JA52"/>
      <c r="JB52"/>
      <c r="JC52"/>
    </row>
    <row r="53" spans="59:263" x14ac:dyDescent="0.3">
      <c r="BG53"/>
      <c r="BH53"/>
      <c r="BI53"/>
      <c r="BJ53"/>
      <c r="CI53"/>
      <c r="CJ53"/>
      <c r="CK53"/>
      <c r="DJ53"/>
      <c r="DK53"/>
      <c r="FJ53"/>
      <c r="FK53"/>
      <c r="GN53"/>
      <c r="GO53"/>
      <c r="GW53" s="161" t="s">
        <v>32</v>
      </c>
      <c r="GX53" s="161">
        <v>12369</v>
      </c>
      <c r="GY53" s="161">
        <v>14923</v>
      </c>
      <c r="GZ53" s="161">
        <v>9326</v>
      </c>
      <c r="HA53" s="161">
        <v>36618</v>
      </c>
      <c r="HB53" s="29"/>
      <c r="HC53" s="167" t="s">
        <v>632</v>
      </c>
      <c r="HD53" s="167">
        <v>2003</v>
      </c>
      <c r="HE53" s="167">
        <v>2004</v>
      </c>
      <c r="HF53" s="167">
        <v>2005</v>
      </c>
      <c r="HG53" s="177" t="s">
        <v>623</v>
      </c>
      <c r="HH53" s="177" t="s">
        <v>704</v>
      </c>
      <c r="HI53" s="174"/>
      <c r="HJ53" s="174"/>
      <c r="HK53"/>
      <c r="HL53"/>
      <c r="HM53"/>
      <c r="HN53"/>
      <c r="HO53"/>
      <c r="HP53"/>
      <c r="HQ53"/>
      <c r="HR53"/>
      <c r="HS53"/>
      <c r="HT53"/>
      <c r="HU53"/>
      <c r="HV53"/>
      <c r="HW53"/>
      <c r="HX53"/>
      <c r="HY53"/>
      <c r="HZ53"/>
      <c r="IA53" s="59"/>
      <c r="IB53" s="59"/>
      <c r="IC53" s="59"/>
      <c r="ID53" s="59"/>
      <c r="IE53" s="59"/>
      <c r="IF53" s="59"/>
      <c r="IG53" s="59"/>
      <c r="IH53" s="59"/>
      <c r="II53" s="59"/>
      <c r="IJ53" s="59"/>
      <c r="JA53"/>
      <c r="JB53"/>
      <c r="JC53"/>
    </row>
    <row r="54" spans="59:263" x14ac:dyDescent="0.3">
      <c r="BG54"/>
      <c r="BH54"/>
      <c r="BI54"/>
      <c r="BJ54"/>
      <c r="CI54"/>
      <c r="CJ54"/>
      <c r="CK54"/>
      <c r="DJ54"/>
      <c r="DK54"/>
      <c r="FJ54"/>
      <c r="FK54"/>
      <c r="GN54"/>
      <c r="GO54"/>
      <c r="GW54" s="161" t="s">
        <v>17</v>
      </c>
      <c r="GX54" s="161">
        <v>7364</v>
      </c>
      <c r="GY54" s="161">
        <v>9605</v>
      </c>
      <c r="GZ54" s="161">
        <v>4624</v>
      </c>
      <c r="HA54" s="161">
        <v>21593</v>
      </c>
      <c r="HB54" s="29"/>
      <c r="HC54" s="161" t="s">
        <v>32</v>
      </c>
      <c r="HD54" s="168">
        <f t="shared" ref="HD54:HG61" si="5">GX42/HD43</f>
        <v>8.3380101018199308E-3</v>
      </c>
      <c r="HE54" s="168">
        <f t="shared" si="5"/>
        <v>3.2105331430795171E-2</v>
      </c>
      <c r="HF54" s="168">
        <f t="shared" si="5"/>
        <v>0.13359345968041619</v>
      </c>
      <c r="HG54" s="178">
        <f t="shared" si="5"/>
        <v>5.2696934419868065E-2</v>
      </c>
      <c r="HH54" s="178">
        <f>(GZ42/GX42)^(1/2)-1</f>
        <v>2.7184570828400152</v>
      </c>
      <c r="HI54" s="174"/>
      <c r="HJ54" s="174"/>
      <c r="HK54"/>
      <c r="HL54"/>
      <c r="HM54"/>
      <c r="HN54"/>
      <c r="HO54"/>
      <c r="HP54"/>
      <c r="HQ54"/>
      <c r="HR54"/>
      <c r="HS54"/>
      <c r="HT54"/>
      <c r="HU54"/>
      <c r="HV54"/>
      <c r="HW54"/>
      <c r="HX54"/>
      <c r="HY54"/>
      <c r="HZ54"/>
      <c r="IA54" s="59"/>
      <c r="IB54" s="59"/>
      <c r="IC54" s="59"/>
      <c r="ID54" s="59"/>
      <c r="IE54" s="59"/>
      <c r="IF54" s="59"/>
      <c r="IG54" s="59"/>
      <c r="IH54" s="59"/>
      <c r="II54" s="59"/>
      <c r="IJ54" s="59"/>
      <c r="JA54"/>
      <c r="JB54"/>
      <c r="JC54"/>
    </row>
    <row r="55" spans="59:263" x14ac:dyDescent="0.3">
      <c r="BG55"/>
      <c r="BH55"/>
      <c r="BI55"/>
      <c r="BJ55"/>
      <c r="CI55"/>
      <c r="CJ55"/>
      <c r="CK55"/>
      <c r="DJ55"/>
      <c r="DK55"/>
      <c r="FJ55"/>
      <c r="FK55"/>
      <c r="GN55"/>
      <c r="GO55"/>
      <c r="GW55" s="161" t="s">
        <v>47</v>
      </c>
      <c r="GX55" s="161">
        <v>1000</v>
      </c>
      <c r="GY55" s="161">
        <v>1261</v>
      </c>
      <c r="GZ55" s="161">
        <v>722</v>
      </c>
      <c r="HA55" s="161">
        <v>2983</v>
      </c>
      <c r="HB55" s="29"/>
      <c r="HC55" s="161" t="s">
        <v>17</v>
      </c>
      <c r="HD55" s="168">
        <f t="shared" si="5"/>
        <v>1.8656716417910446E-2</v>
      </c>
      <c r="HE55" s="168">
        <f t="shared" si="5"/>
        <v>3.4673366834170855E-2</v>
      </c>
      <c r="HF55" s="168">
        <f t="shared" si="5"/>
        <v>0.21984140374557112</v>
      </c>
      <c r="HG55" s="178">
        <f t="shared" si="5"/>
        <v>7.6472349343484028E-2</v>
      </c>
      <c r="HH55" s="178">
        <f>(GZ43/GX43)^(1/2)-1</f>
        <v>2.0507610291766309</v>
      </c>
      <c r="HI55" s="174"/>
      <c r="HJ55" s="174"/>
      <c r="HK55"/>
      <c r="HL55"/>
      <c r="HM55"/>
      <c r="HN55"/>
      <c r="HO55"/>
      <c r="HP55"/>
      <c r="HQ55"/>
      <c r="HR55"/>
      <c r="HS55"/>
      <c r="HT55"/>
      <c r="HU55"/>
      <c r="HV55"/>
      <c r="HW55"/>
      <c r="HX55"/>
      <c r="HY55"/>
      <c r="HZ55"/>
      <c r="IA55" s="59"/>
      <c r="IB55" s="59"/>
      <c r="IC55" s="59"/>
      <c r="ID55" s="59"/>
      <c r="IE55" s="59"/>
      <c r="IF55" s="59"/>
      <c r="IG55" s="59"/>
      <c r="IH55" s="59"/>
      <c r="II55" s="59"/>
      <c r="IJ55" s="59"/>
      <c r="JA55"/>
      <c r="JB55"/>
      <c r="JC55"/>
    </row>
    <row r="56" spans="59:263" x14ac:dyDescent="0.3">
      <c r="BG56"/>
      <c r="BH56"/>
      <c r="BI56"/>
      <c r="BJ56"/>
      <c r="CI56"/>
      <c r="CJ56"/>
      <c r="CK56"/>
      <c r="DJ56"/>
      <c r="DK56"/>
      <c r="FJ56"/>
      <c r="FK56"/>
      <c r="GN56"/>
      <c r="GO56"/>
      <c r="GW56" s="161" t="s">
        <v>54</v>
      </c>
      <c r="GX56" s="161">
        <v>2557</v>
      </c>
      <c r="GY56" s="161">
        <v>3413</v>
      </c>
      <c r="GZ56" s="161">
        <v>1644</v>
      </c>
      <c r="HA56" s="161">
        <v>7614</v>
      </c>
      <c r="HB56" s="29"/>
      <c r="HC56" s="161" t="s">
        <v>47</v>
      </c>
      <c r="HD56" s="168">
        <f t="shared" si="5"/>
        <v>0</v>
      </c>
      <c r="HE56" s="168">
        <f t="shared" si="5"/>
        <v>3.2233307751343053E-2</v>
      </c>
      <c r="HF56" s="168">
        <f t="shared" si="5"/>
        <v>6.2337662337662338E-2</v>
      </c>
      <c r="HG56" s="178">
        <f t="shared" si="5"/>
        <v>2.9287341360234299E-2</v>
      </c>
      <c r="HH56" s="178">
        <f>(GZ44/GY44)^(1/2)-1</f>
        <v>6.9044967649697586E-2</v>
      </c>
      <c r="HI56" s="174"/>
      <c r="HJ56" s="174"/>
      <c r="HK56"/>
      <c r="HL56"/>
      <c r="HM56"/>
      <c r="HN56"/>
      <c r="HO56"/>
      <c r="HP56"/>
      <c r="HQ56"/>
      <c r="HR56"/>
      <c r="HS56"/>
      <c r="HT56"/>
      <c r="HU56"/>
      <c r="HV56"/>
      <c r="HW56"/>
      <c r="HX56"/>
      <c r="HY56"/>
      <c r="HZ56"/>
      <c r="IA56" s="59"/>
      <c r="IB56" s="59"/>
      <c r="IC56" s="59"/>
      <c r="ID56" s="59"/>
      <c r="IE56" s="59"/>
      <c r="IF56" s="59"/>
      <c r="IG56" s="59"/>
      <c r="IH56" s="59"/>
      <c r="II56" s="59"/>
      <c r="IJ56" s="59"/>
      <c r="JA56"/>
      <c r="JB56"/>
      <c r="JC56"/>
    </row>
    <row r="57" spans="59:263" x14ac:dyDescent="0.3">
      <c r="BG57"/>
      <c r="BH57"/>
      <c r="BI57"/>
      <c r="BJ57"/>
      <c r="CI57"/>
      <c r="CJ57"/>
      <c r="CK57"/>
      <c r="DJ57"/>
      <c r="DK57"/>
      <c r="FJ57"/>
      <c r="FK57"/>
      <c r="GN57"/>
      <c r="GO57"/>
      <c r="GW57" s="161" t="s">
        <v>68</v>
      </c>
      <c r="GX57" s="161">
        <v>3739</v>
      </c>
      <c r="GY57" s="161">
        <v>5690</v>
      </c>
      <c r="GZ57" s="161">
        <v>3852</v>
      </c>
      <c r="HA57" s="161">
        <v>13281</v>
      </c>
      <c r="HB57" s="29"/>
      <c r="HC57" s="161" t="s">
        <v>54</v>
      </c>
      <c r="HD57" s="168">
        <f t="shared" si="5"/>
        <v>0.10091420534458509</v>
      </c>
      <c r="HE57" s="168">
        <f t="shared" si="5"/>
        <v>0.1330962661925324</v>
      </c>
      <c r="HF57" s="168">
        <f t="shared" si="5"/>
        <v>0.24169741697416974</v>
      </c>
      <c r="HG57" s="178">
        <f t="shared" si="5"/>
        <v>0.14917867918203151</v>
      </c>
      <c r="HH57" s="178">
        <f>(GZ45/GX45)^(1/2)-1</f>
        <v>0.3512157385574799</v>
      </c>
      <c r="HI57" s="174"/>
      <c r="HJ57" s="174"/>
      <c r="HK57"/>
      <c r="HL57"/>
      <c r="HM57"/>
      <c r="HN57"/>
      <c r="HO57"/>
      <c r="HP57"/>
      <c r="HQ57"/>
      <c r="HR57"/>
      <c r="HS57"/>
      <c r="HT57"/>
      <c r="HU57"/>
      <c r="HV57"/>
      <c r="HW57"/>
      <c r="HX57"/>
      <c r="HY57"/>
      <c r="HZ57"/>
      <c r="IA57" s="59"/>
      <c r="IB57" s="59"/>
      <c r="IC57" s="59"/>
      <c r="ID57" s="59"/>
      <c r="IE57" s="59"/>
      <c r="IF57" s="59"/>
      <c r="IG57" s="59"/>
      <c r="IH57" s="59"/>
      <c r="II57" s="59"/>
      <c r="IJ57" s="59"/>
      <c r="JA57"/>
      <c r="JB57"/>
      <c r="JC57"/>
    </row>
    <row r="58" spans="59:263" x14ac:dyDescent="0.3">
      <c r="BG58"/>
      <c r="BH58"/>
      <c r="BI58"/>
      <c r="BJ58"/>
      <c r="CI58"/>
      <c r="CJ58"/>
      <c r="CK58"/>
      <c r="DJ58"/>
      <c r="DK58"/>
      <c r="FJ58"/>
      <c r="FK58"/>
      <c r="GN58"/>
      <c r="GO58"/>
      <c r="GW58" s="161" t="s">
        <v>35</v>
      </c>
      <c r="GX58" s="161">
        <v>3853</v>
      </c>
      <c r="GY58" s="161">
        <v>4831</v>
      </c>
      <c r="GZ58" s="161">
        <v>2650</v>
      </c>
      <c r="HA58" s="161">
        <v>11334</v>
      </c>
      <c r="HB58" s="29"/>
      <c r="HC58" s="161" t="s">
        <v>68</v>
      </c>
      <c r="HD58" s="168">
        <f t="shared" si="5"/>
        <v>0</v>
      </c>
      <c r="HE58" s="168">
        <f t="shared" si="5"/>
        <v>0</v>
      </c>
      <c r="HF58" s="168">
        <f t="shared" si="5"/>
        <v>7.4038461538461539E-2</v>
      </c>
      <c r="HG58" s="178">
        <f t="shared" si="5"/>
        <v>2.2665391125174773E-2</v>
      </c>
      <c r="HH58" s="178" t="s">
        <v>386</v>
      </c>
      <c r="HI58" s="174"/>
      <c r="HJ58" s="174"/>
      <c r="HK58"/>
      <c r="HL58"/>
      <c r="HM58"/>
      <c r="HN58"/>
      <c r="HO58"/>
      <c r="HP58"/>
      <c r="HQ58"/>
      <c r="HR58"/>
      <c r="HS58"/>
      <c r="HT58"/>
      <c r="HU58"/>
      <c r="HV58"/>
      <c r="HW58"/>
      <c r="HX58"/>
      <c r="HY58"/>
      <c r="HZ58"/>
      <c r="IA58" s="59"/>
      <c r="IB58" s="59"/>
      <c r="IC58" s="59"/>
      <c r="ID58" s="59"/>
      <c r="IE58" s="59"/>
      <c r="IF58" s="59"/>
      <c r="IG58" s="59"/>
      <c r="IH58">
        <f>IB68+IE68</f>
        <v>2959</v>
      </c>
      <c r="II58" s="41">
        <f>IB68/IH58</f>
        <v>1.4869888475836431E-2</v>
      </c>
      <c r="IJ58" s="59"/>
      <c r="JA58"/>
      <c r="JB58"/>
      <c r="JC58"/>
    </row>
    <row r="59" spans="59:263" x14ac:dyDescent="0.3">
      <c r="BG59"/>
      <c r="BH59"/>
      <c r="BI59"/>
      <c r="BJ59"/>
      <c r="CI59"/>
      <c r="CJ59"/>
      <c r="CK59"/>
      <c r="DJ59"/>
      <c r="DK59"/>
      <c r="FJ59"/>
      <c r="FK59"/>
      <c r="GW59" s="161" t="s">
        <v>61</v>
      </c>
      <c r="GX59" s="161">
        <v>2892</v>
      </c>
      <c r="GY59" s="161">
        <v>5143</v>
      </c>
      <c r="GZ59" s="161">
        <v>2708</v>
      </c>
      <c r="HA59" s="161">
        <v>10743</v>
      </c>
      <c r="HB59" s="29"/>
      <c r="HC59" s="161" t="s">
        <v>35</v>
      </c>
      <c r="HD59" s="168">
        <f t="shared" si="5"/>
        <v>5.0049309664694279E-2</v>
      </c>
      <c r="HE59" s="168">
        <f t="shared" si="5"/>
        <v>3.4186325469812075E-2</v>
      </c>
      <c r="HF59" s="168">
        <f t="shared" si="5"/>
        <v>0.12943495400788435</v>
      </c>
      <c r="HG59" s="178">
        <f t="shared" si="5"/>
        <v>6.3460585027268215E-2</v>
      </c>
      <c r="HH59" s="178">
        <f>(GZ47/GX47)^(1/2)-1</f>
        <v>0.39315709792807985</v>
      </c>
      <c r="HI59" s="174"/>
      <c r="HJ59" s="174"/>
      <c r="HK59"/>
      <c r="HL59"/>
      <c r="HM59"/>
      <c r="HN59"/>
      <c r="HO59"/>
      <c r="HP59"/>
      <c r="HQ59"/>
      <c r="HR59"/>
      <c r="HS59"/>
      <c r="HT59"/>
      <c r="HU59"/>
      <c r="HV59"/>
      <c r="HW59"/>
      <c r="HX59"/>
      <c r="HY59"/>
      <c r="HZ59"/>
      <c r="IA59" s="59"/>
      <c r="IB59" s="253" t="s">
        <v>697</v>
      </c>
      <c r="IC59" s="254"/>
      <c r="ID59" s="255"/>
      <c r="IE59" s="59"/>
      <c r="IF59" s="59"/>
      <c r="IG59" s="59"/>
      <c r="IH59" s="59"/>
      <c r="II59" s="59"/>
      <c r="IJ59" s="59"/>
      <c r="JA59"/>
      <c r="JB59"/>
      <c r="JC59"/>
    </row>
    <row r="60" spans="59:263" x14ac:dyDescent="0.3">
      <c r="BG60"/>
      <c r="BH60"/>
      <c r="BI60"/>
      <c r="BJ60"/>
      <c r="CI60"/>
      <c r="CJ60"/>
      <c r="CK60"/>
      <c r="DJ60"/>
      <c r="DK60"/>
      <c r="FJ60"/>
      <c r="FK60"/>
      <c r="GW60" s="173" t="s">
        <v>623</v>
      </c>
      <c r="GX60" s="173">
        <v>33774</v>
      </c>
      <c r="GY60" s="173">
        <v>44866</v>
      </c>
      <c r="GZ60" s="173">
        <v>25526</v>
      </c>
      <c r="HA60" s="173">
        <v>104166</v>
      </c>
      <c r="HB60" s="29"/>
      <c r="HC60" s="161" t="s">
        <v>61</v>
      </c>
      <c r="HD60" s="168">
        <f t="shared" si="5"/>
        <v>3.4712950600801068E-2</v>
      </c>
      <c r="HE60" s="168">
        <f t="shared" si="5"/>
        <v>6.8971759594496737E-2</v>
      </c>
      <c r="HF60" s="168">
        <f t="shared" si="5"/>
        <v>0.23953945520921088</v>
      </c>
      <c r="HG60" s="178">
        <f t="shared" si="5"/>
        <v>0.11075242115718897</v>
      </c>
      <c r="HH60" s="178">
        <f>(GZ48/GX48)^(1/2)-1</f>
        <v>1.8638999767664854</v>
      </c>
      <c r="HI60" s="174"/>
      <c r="HJ60" s="174"/>
      <c r="HK60"/>
      <c r="HL60"/>
      <c r="HM60"/>
      <c r="HN60"/>
      <c r="HO60"/>
      <c r="HP60"/>
      <c r="HQ60"/>
      <c r="HR60"/>
      <c r="HS60"/>
      <c r="HT60"/>
      <c r="HU60"/>
      <c r="HV60"/>
      <c r="HW60"/>
      <c r="HX60"/>
      <c r="HY60"/>
      <c r="HZ60"/>
      <c r="IA60" s="59"/>
      <c r="IB60" s="59"/>
      <c r="IC60" s="59"/>
      <c r="ID60" s="59"/>
      <c r="IE60" s="59"/>
      <c r="IF60" s="59"/>
      <c r="IG60" s="59"/>
      <c r="IH60" s="59"/>
      <c r="II60" s="59"/>
      <c r="IJ60" s="59"/>
      <c r="JA60"/>
      <c r="JB60"/>
      <c r="JC60"/>
    </row>
    <row r="61" spans="59:263" x14ac:dyDescent="0.3">
      <c r="BG61"/>
      <c r="BH61"/>
      <c r="BI61"/>
      <c r="BJ61"/>
      <c r="CI61"/>
      <c r="CJ61"/>
      <c r="CK61"/>
      <c r="DJ61"/>
      <c r="DK61"/>
      <c r="FJ61"/>
      <c r="FK61"/>
      <c r="HA61"/>
      <c r="HB61" s="29"/>
      <c r="HC61" s="173" t="s">
        <v>623</v>
      </c>
      <c r="HD61" s="176">
        <f t="shared" si="5"/>
        <v>2.421125621171848E-2</v>
      </c>
      <c r="HE61" s="176">
        <f t="shared" si="5"/>
        <v>4.1816162651631641E-2</v>
      </c>
      <c r="HF61" s="176">
        <f t="shared" si="5"/>
        <v>0.16016319010330987</v>
      </c>
      <c r="HG61" s="179">
        <f t="shared" si="5"/>
        <v>6.8532594116069032E-2</v>
      </c>
      <c r="HH61" s="178">
        <f>(GZ49/GX49)^(1/2)-1</f>
        <v>1.410201073024925</v>
      </c>
      <c r="HI61" s="174"/>
      <c r="HJ61" s="174"/>
      <c r="HK61"/>
      <c r="HL61"/>
      <c r="HM61"/>
      <c r="HN61"/>
      <c r="HO61"/>
      <c r="HP61"/>
      <c r="HQ61"/>
      <c r="HR61"/>
      <c r="HS61"/>
      <c r="HT61"/>
      <c r="HU61"/>
      <c r="HV61"/>
      <c r="HW61"/>
      <c r="HX61"/>
      <c r="HY61"/>
      <c r="HZ61"/>
      <c r="IA61" s="59"/>
      <c r="IB61" s="59"/>
      <c r="IC61" s="59"/>
      <c r="ID61" s="59"/>
      <c r="IE61" s="59"/>
      <c r="IF61" s="59"/>
      <c r="IG61" s="59"/>
      <c r="IH61" s="59"/>
      <c r="II61" s="59"/>
      <c r="IJ61" s="59"/>
      <c r="JA61"/>
      <c r="JB61"/>
      <c r="JC61"/>
    </row>
    <row r="62" spans="59:263" x14ac:dyDescent="0.3">
      <c r="BG62"/>
      <c r="BH62"/>
      <c r="BI62"/>
      <c r="BJ62"/>
      <c r="CI62"/>
      <c r="CJ62"/>
      <c r="CK62"/>
      <c r="DJ62"/>
      <c r="DK62"/>
      <c r="FJ62"/>
      <c r="FK62"/>
      <c r="HA62"/>
      <c r="HB62" s="29"/>
      <c r="HC62"/>
      <c r="HD62"/>
      <c r="HE62"/>
      <c r="HF62"/>
      <c r="HG62"/>
      <c r="HH62" s="174"/>
      <c r="HI62" s="174"/>
      <c r="HJ62" s="174"/>
      <c r="HK62"/>
      <c r="HL62"/>
      <c r="HM62"/>
      <c r="HN62"/>
      <c r="HO62"/>
      <c r="HP62"/>
      <c r="HQ62"/>
      <c r="HR62"/>
      <c r="HS62"/>
      <c r="HT62"/>
      <c r="HU62"/>
      <c r="HV62"/>
      <c r="HW62"/>
      <c r="HX62"/>
      <c r="HY62"/>
      <c r="HZ62"/>
      <c r="IA62" s="59"/>
      <c r="IB62" s="59"/>
      <c r="IC62" s="59"/>
      <c r="ID62" s="59"/>
      <c r="IE62" s="59"/>
      <c r="IF62" s="59"/>
      <c r="IG62" s="59"/>
      <c r="IH62" s="59"/>
      <c r="II62" s="59"/>
      <c r="IJ62" s="59"/>
      <c r="IM62" s="188"/>
      <c r="IN62" s="188"/>
      <c r="IO62" s="188"/>
      <c r="JA62"/>
      <c r="JB62"/>
      <c r="JC62"/>
    </row>
    <row r="63" spans="59:263" x14ac:dyDescent="0.3">
      <c r="BG63"/>
      <c r="BH63"/>
      <c r="BI63"/>
      <c r="BJ63"/>
      <c r="CI63"/>
      <c r="CJ63"/>
      <c r="CK63"/>
      <c r="DJ63"/>
      <c r="DK63"/>
      <c r="FJ63"/>
      <c r="FK63"/>
      <c r="HA63"/>
      <c r="HB63" s="29"/>
      <c r="HC63"/>
      <c r="HD63"/>
      <c r="HE63"/>
      <c r="HF63"/>
      <c r="HG63" s="258" t="s">
        <v>843</v>
      </c>
      <c r="HH63" s="258"/>
      <c r="HI63" s="258"/>
      <c r="HJ63" s="258"/>
      <c r="HK63" s="258"/>
      <c r="HL63" s="258"/>
      <c r="HM63" s="258"/>
      <c r="HN63" s="258"/>
      <c r="HO63" s="258"/>
      <c r="HP63"/>
      <c r="HQ63" s="258" t="s">
        <v>844</v>
      </c>
      <c r="HR63" s="258"/>
      <c r="HS63" s="258"/>
      <c r="HT63" s="258"/>
      <c r="HU63" s="258"/>
      <c r="HV63" s="258"/>
      <c r="HW63" s="258"/>
      <c r="HX63" s="258"/>
      <c r="HY63" s="258"/>
      <c r="HZ63"/>
      <c r="IA63" s="257" t="s">
        <v>842</v>
      </c>
      <c r="IB63" s="257"/>
      <c r="IC63" s="257"/>
      <c r="ID63" s="257"/>
      <c r="IE63" s="257"/>
      <c r="IF63" s="257"/>
      <c r="IG63" s="257"/>
      <c r="IH63" s="257"/>
      <c r="II63" s="257"/>
      <c r="IJ63" s="257"/>
      <c r="IL63" s="258" t="s">
        <v>691</v>
      </c>
      <c r="IM63" s="258"/>
      <c r="IN63" s="258"/>
      <c r="IO63" s="258"/>
      <c r="IP63" s="258"/>
      <c r="IQ63" s="258"/>
      <c r="IR63" s="258"/>
      <c r="IS63" s="258"/>
      <c r="IT63" s="258"/>
      <c r="IX63"/>
      <c r="IY63"/>
      <c r="IZ63"/>
    </row>
    <row r="64" spans="59:263" x14ac:dyDescent="0.3">
      <c r="BG64"/>
      <c r="BH64"/>
      <c r="BI64"/>
      <c r="BJ64"/>
      <c r="CI64"/>
      <c r="CJ64"/>
      <c r="CK64"/>
      <c r="DJ64"/>
      <c r="DK64"/>
      <c r="FJ64"/>
      <c r="FK64"/>
      <c r="HA64"/>
      <c r="HB64" s="29"/>
      <c r="HC64"/>
      <c r="HD64"/>
      <c r="HE64"/>
      <c r="HF64"/>
      <c r="HG64"/>
      <c r="HH64" s="174"/>
      <c r="HI64" s="174"/>
      <c r="HJ64" s="174"/>
      <c r="HK64"/>
      <c r="HL64"/>
      <c r="HM64"/>
      <c r="HN64"/>
      <c r="HO64"/>
      <c r="HP64"/>
      <c r="HQ64"/>
      <c r="HR64"/>
      <c r="HS64"/>
      <c r="HT64"/>
      <c r="HU64"/>
      <c r="HV64"/>
      <c r="HW64"/>
      <c r="HX64"/>
      <c r="HY64"/>
      <c r="HZ64"/>
      <c r="IA64" s="59"/>
      <c r="IB64" s="59"/>
      <c r="IC64" s="59"/>
      <c r="ID64" s="59"/>
      <c r="IE64" s="59"/>
      <c r="IF64" s="59"/>
      <c r="IG64" s="59"/>
      <c r="IH64" s="59"/>
      <c r="II64" s="59"/>
      <c r="IJ64" s="59"/>
      <c r="JA64"/>
      <c r="JB64"/>
      <c r="JC64"/>
    </row>
    <row r="65" spans="59:261" x14ac:dyDescent="0.3">
      <c r="BG65"/>
      <c r="BH65"/>
      <c r="BI65"/>
      <c r="BJ65"/>
      <c r="CI65"/>
      <c r="CJ65"/>
      <c r="CK65"/>
      <c r="DJ65"/>
      <c r="DK65"/>
      <c r="FJ65"/>
      <c r="FK65"/>
      <c r="HB65"/>
      <c r="HC65" s="174" t="s">
        <v>632</v>
      </c>
      <c r="HD65" s="174" t="s">
        <v>679</v>
      </c>
      <c r="HE65" s="174" t="s">
        <v>679</v>
      </c>
      <c r="HF65" s="174"/>
      <c r="HG65" s="180"/>
      <c r="HH65" s="181" t="s">
        <v>828</v>
      </c>
      <c r="HI65" s="180"/>
      <c r="HJ65" s="180"/>
      <c r="HK65" s="180"/>
      <c r="HL65" s="180"/>
      <c r="HM65" s="180"/>
      <c r="HN65" s="180"/>
      <c r="HO65" s="180"/>
      <c r="HP65"/>
      <c r="HQ65" s="182"/>
      <c r="HR65" s="253" t="s">
        <v>840</v>
      </c>
      <c r="HS65" s="254"/>
      <c r="HT65" s="255"/>
      <c r="HU65" s="253" t="s">
        <v>679</v>
      </c>
      <c r="HV65" s="254"/>
      <c r="HW65" s="255"/>
      <c r="HX65" s="182" t="s">
        <v>841</v>
      </c>
      <c r="HY65" s="184" t="s">
        <v>836</v>
      </c>
      <c r="HZ65" s="59"/>
      <c r="IA65" s="182"/>
      <c r="IB65" s="253" t="s">
        <v>697</v>
      </c>
      <c r="IC65" s="254"/>
      <c r="ID65" s="255"/>
      <c r="IE65" s="250" t="s">
        <v>842</v>
      </c>
      <c r="IF65" s="251"/>
      <c r="IG65" s="252"/>
      <c r="IH65" s="182" t="s">
        <v>845</v>
      </c>
      <c r="II65" s="182" t="s">
        <v>846</v>
      </c>
      <c r="IJ65" s="189" t="s">
        <v>847</v>
      </c>
      <c r="IL65" s="182"/>
      <c r="IM65" s="253" t="s">
        <v>840</v>
      </c>
      <c r="IN65" s="254"/>
      <c r="IO65" s="255"/>
      <c r="IP65" s="253" t="s">
        <v>839</v>
      </c>
      <c r="IQ65" s="254"/>
      <c r="IR65" s="255"/>
      <c r="IS65" s="192" t="s">
        <v>623</v>
      </c>
      <c r="IT65" s="189" t="s">
        <v>704</v>
      </c>
      <c r="IV65" s="199" t="s">
        <v>848</v>
      </c>
      <c r="IW65" s="198" t="s">
        <v>679</v>
      </c>
      <c r="IX65" s="205" t="s">
        <v>733</v>
      </c>
      <c r="IY65"/>
    </row>
    <row r="66" spans="59:261" x14ac:dyDescent="0.3">
      <c r="BG66"/>
      <c r="BH66"/>
      <c r="BI66"/>
      <c r="BJ66"/>
      <c r="CI66"/>
      <c r="CJ66"/>
      <c r="CK66"/>
      <c r="FJ66"/>
      <c r="FK66"/>
      <c r="GQ66" s="5" t="s">
        <v>828</v>
      </c>
      <c r="HB66"/>
      <c r="HC66" s="174" t="s">
        <v>265</v>
      </c>
      <c r="HD66" s="160">
        <v>483</v>
      </c>
      <c r="HE66" s="160">
        <v>2175</v>
      </c>
      <c r="HF66" s="174"/>
      <c r="HG66" s="180"/>
      <c r="HH66" s="180" t="s">
        <v>840</v>
      </c>
      <c r="HI66" s="180"/>
      <c r="HJ66" s="180"/>
      <c r="HK66" s="180" t="s">
        <v>679</v>
      </c>
      <c r="HL66" s="180"/>
      <c r="HM66" s="180"/>
      <c r="HN66" s="180" t="s">
        <v>841</v>
      </c>
      <c r="HO66" s="180" t="s">
        <v>836</v>
      </c>
      <c r="HP66"/>
      <c r="HQ66" s="182" t="s">
        <v>632</v>
      </c>
      <c r="HR66" s="182">
        <v>2003</v>
      </c>
      <c r="HS66" s="182">
        <v>2004</v>
      </c>
      <c r="HT66" s="182">
        <v>2005</v>
      </c>
      <c r="HU66" s="182">
        <v>2003</v>
      </c>
      <c r="HV66" s="182">
        <v>2004</v>
      </c>
      <c r="HW66" s="182">
        <v>2005</v>
      </c>
      <c r="HX66" s="182"/>
      <c r="HY66" s="182"/>
      <c r="HZ66" s="59"/>
      <c r="IA66" s="186" t="s">
        <v>632</v>
      </c>
      <c r="IB66" s="182">
        <v>2003</v>
      </c>
      <c r="IC66" s="182">
        <v>2004</v>
      </c>
      <c r="ID66" s="182">
        <v>2005</v>
      </c>
      <c r="IE66" s="182">
        <v>2003</v>
      </c>
      <c r="IF66" s="182">
        <v>2004</v>
      </c>
      <c r="IG66" s="182">
        <v>2005</v>
      </c>
      <c r="IH66" s="182"/>
      <c r="II66" s="182"/>
      <c r="IJ66" s="182"/>
      <c r="IL66" s="186" t="s">
        <v>632</v>
      </c>
      <c r="IM66" s="182">
        <v>2003</v>
      </c>
      <c r="IN66" s="182">
        <v>2004</v>
      </c>
      <c r="IO66" s="182">
        <v>2005</v>
      </c>
      <c r="IP66" s="182">
        <v>2003</v>
      </c>
      <c r="IQ66" s="182">
        <v>2004</v>
      </c>
      <c r="IR66" s="182">
        <v>2005</v>
      </c>
      <c r="IS66" s="182"/>
      <c r="IT66" s="182"/>
      <c r="IV66" s="200" t="s">
        <v>47</v>
      </c>
      <c r="IW66" s="160">
        <v>90</v>
      </c>
      <c r="IX66" s="206">
        <f>GETPIVOTDATA("[Measures].[Sum of Quantity_Ordered]",$GN$6,"[Returns_Table].[Product_Category]","[Returns_Table].[Product_Category].&amp;[Frozen Foods]")/GETPIVOTDATA("[Measures].[Sum of Quantity_Ordered]",$GN$6)</f>
        <v>1.174321503131524E-2</v>
      </c>
      <c r="IY66"/>
    </row>
    <row r="67" spans="59:261" x14ac:dyDescent="0.3">
      <c r="BG67"/>
      <c r="BH67"/>
      <c r="BI67"/>
      <c r="BJ67"/>
      <c r="CI67"/>
      <c r="CJ67"/>
      <c r="CK67"/>
      <c r="FJ67"/>
      <c r="FK67"/>
      <c r="GQ67" s="5" t="s">
        <v>840</v>
      </c>
      <c r="GT67" s="5" t="s">
        <v>679</v>
      </c>
      <c r="GW67" s="5" t="s">
        <v>841</v>
      </c>
      <c r="GX67" s="5" t="s">
        <v>836</v>
      </c>
      <c r="HB67"/>
      <c r="HC67" s="174" t="s">
        <v>261</v>
      </c>
      <c r="HD67" s="160">
        <v>543</v>
      </c>
      <c r="HE67" s="160">
        <v>5575</v>
      </c>
      <c r="HF67" s="174"/>
      <c r="HG67" s="181" t="s">
        <v>632</v>
      </c>
      <c r="HH67" s="180">
        <v>2003</v>
      </c>
      <c r="HI67" s="180">
        <v>2004</v>
      </c>
      <c r="HJ67" s="180">
        <v>2005</v>
      </c>
      <c r="HK67" s="180">
        <v>2003</v>
      </c>
      <c r="HL67" s="180">
        <v>2004</v>
      </c>
      <c r="HM67" s="180">
        <v>2005</v>
      </c>
      <c r="HN67" s="180"/>
      <c r="HO67" s="180"/>
      <c r="HP67"/>
      <c r="HQ67" s="183" t="s">
        <v>32</v>
      </c>
      <c r="HR67" s="183"/>
      <c r="HS67" s="183"/>
      <c r="HT67" s="183"/>
      <c r="HU67" s="183"/>
      <c r="HV67" s="183"/>
      <c r="HW67" s="183"/>
      <c r="HX67" s="183"/>
      <c r="HY67" s="183"/>
      <c r="HZ67" s="59"/>
      <c r="IA67" s="183" t="s">
        <v>32</v>
      </c>
      <c r="IB67" s="183"/>
      <c r="IC67" s="183"/>
      <c r="ID67" s="183"/>
      <c r="IE67" s="183"/>
      <c r="IF67" s="183"/>
      <c r="IG67" s="183"/>
      <c r="IH67" s="183"/>
      <c r="II67" s="183"/>
      <c r="IJ67" s="183"/>
      <c r="IL67" s="183" t="s">
        <v>32</v>
      </c>
      <c r="IM67" s="183"/>
      <c r="IN67" s="183"/>
      <c r="IO67" s="183"/>
      <c r="IP67" s="183"/>
      <c r="IQ67" s="183"/>
      <c r="IR67" s="183"/>
      <c r="IS67" s="183"/>
      <c r="IT67" s="183"/>
      <c r="IU67" s="193"/>
      <c r="IV67" s="201" t="s">
        <v>68</v>
      </c>
      <c r="IW67" s="160">
        <v>308</v>
      </c>
      <c r="IX67" s="206">
        <f>GETPIVOTDATA("[Measures].[Sum of Quantity_Ordered]",$GN$6,"[Returns_Table].[Product_Category]","[Returns_Table].[Product_Category].&amp;[Instant Foods]")/GETPIVOTDATA("[Measures].[Sum of Quantity_Ordered]",$GN$6)</f>
        <v>4.0187891440501042E-2</v>
      </c>
    </row>
    <row r="68" spans="59:261" x14ac:dyDescent="0.3">
      <c r="BG68"/>
      <c r="BH68"/>
      <c r="BI68"/>
      <c r="BJ68"/>
      <c r="CI68"/>
      <c r="CJ68"/>
      <c r="CK68"/>
      <c r="FJ68"/>
      <c r="FK68"/>
      <c r="GP68" s="5" t="s">
        <v>632</v>
      </c>
      <c r="GQ68" s="5">
        <v>2003</v>
      </c>
      <c r="GR68" s="5">
        <v>2004</v>
      </c>
      <c r="GS68" s="5">
        <v>2005</v>
      </c>
      <c r="GT68" s="5">
        <v>2003</v>
      </c>
      <c r="GU68" s="5">
        <v>2004</v>
      </c>
      <c r="GV68" s="5">
        <v>2005</v>
      </c>
      <c r="HB68"/>
      <c r="HC68" s="174" t="s">
        <v>260</v>
      </c>
      <c r="HD68" s="160">
        <v>668</v>
      </c>
      <c r="HE68" s="160">
        <v>2419</v>
      </c>
      <c r="HF68" s="174"/>
      <c r="HG68" s="180" t="s">
        <v>32</v>
      </c>
      <c r="HH68" s="180"/>
      <c r="HI68" s="180"/>
      <c r="HJ68" s="180"/>
      <c r="HK68" s="180"/>
      <c r="HL68" s="180"/>
      <c r="HM68" s="180"/>
      <c r="HN68" s="180"/>
      <c r="HO68" s="180"/>
      <c r="HP68"/>
      <c r="HQ68" s="180" t="s">
        <v>245</v>
      </c>
      <c r="HR68" s="180">
        <v>44</v>
      </c>
      <c r="HS68" s="180">
        <v>124</v>
      </c>
      <c r="HT68" s="180">
        <v>421</v>
      </c>
      <c r="HU68" s="180">
        <v>2871</v>
      </c>
      <c r="HV68" s="180">
        <v>3104</v>
      </c>
      <c r="HW68" s="180">
        <v>2124</v>
      </c>
      <c r="HX68" s="180">
        <v>589</v>
      </c>
      <c r="HY68" s="180">
        <v>8099</v>
      </c>
      <c r="HZ68" s="59"/>
      <c r="IA68" s="185" t="s">
        <v>245</v>
      </c>
      <c r="IB68" s="180">
        <v>44</v>
      </c>
      <c r="IC68" s="180">
        <v>124</v>
      </c>
      <c r="ID68" s="180">
        <v>421</v>
      </c>
      <c r="IE68" s="180">
        <f>HR68+HU68</f>
        <v>2915</v>
      </c>
      <c r="IF68" s="180">
        <f t="shared" ref="IF68:IG68" si="6">HS68+HV68</f>
        <v>3228</v>
      </c>
      <c r="IG68" s="180">
        <f t="shared" si="6"/>
        <v>2545</v>
      </c>
      <c r="IH68" s="180">
        <v>589</v>
      </c>
      <c r="II68" s="180">
        <v>8099</v>
      </c>
      <c r="IJ68" s="180">
        <f>IH68+II68</f>
        <v>8688</v>
      </c>
      <c r="IL68" s="185" t="s">
        <v>245</v>
      </c>
      <c r="IM68" s="180">
        <v>44</v>
      </c>
      <c r="IN68" s="180">
        <v>124</v>
      </c>
      <c r="IO68" s="180">
        <v>421</v>
      </c>
      <c r="IP68" s="190">
        <f t="shared" ref="IP68:IR73" si="7">IM68/IE68</f>
        <v>1.509433962264151E-2</v>
      </c>
      <c r="IQ68" s="190">
        <f t="shared" si="7"/>
        <v>3.8413878562577448E-2</v>
      </c>
      <c r="IR68" s="190">
        <f t="shared" si="7"/>
        <v>0.16542239685658153</v>
      </c>
      <c r="IS68" s="190">
        <f>IH68/IJ68</f>
        <v>6.7794659300184162E-2</v>
      </c>
      <c r="IT68" s="197">
        <f>IF(COUNT(IM68:IO68)&lt;=1,"-", (IO68/IF(ISBLANK(IM68),IN68,IM68))^(1/(COUNT(IM68:IO68)-1))-1)</f>
        <v>2.0932477783361971</v>
      </c>
      <c r="IU68" s="193"/>
      <c r="IV68" s="200" t="s">
        <v>35</v>
      </c>
      <c r="IW68" s="160">
        <v>768</v>
      </c>
      <c r="IX68" s="206">
        <f>GETPIVOTDATA("[Measures].[Sum of Quantity_Ordered]",$GN$6,"[Returns_Table].[Product_Category]","[Returns_Table].[Product_Category].&amp;[Snacks]")/GETPIVOTDATA("[Measures].[Sum of Quantity_Ordered]",$GN$6)</f>
        <v>0.10020876826722339</v>
      </c>
      <c r="JA68" s="29"/>
    </row>
    <row r="69" spans="59:261" x14ac:dyDescent="0.3">
      <c r="BG69"/>
      <c r="BH69"/>
      <c r="BI69"/>
      <c r="BJ69"/>
      <c r="CI69"/>
      <c r="CJ69"/>
      <c r="CK69"/>
      <c r="FJ69"/>
      <c r="FK69"/>
      <c r="GP69" s="5" t="s">
        <v>32</v>
      </c>
      <c r="GX69" s="29"/>
      <c r="HB69"/>
      <c r="HC69" s="174" t="s">
        <v>259</v>
      </c>
      <c r="HD69" s="160">
        <v>303</v>
      </c>
      <c r="HE69" s="160">
        <v>2529</v>
      </c>
      <c r="HF69" s="174"/>
      <c r="HG69" s="180" t="s">
        <v>245</v>
      </c>
      <c r="HH69" s="180">
        <v>44</v>
      </c>
      <c r="HI69" s="180">
        <v>124</v>
      </c>
      <c r="HJ69" s="180">
        <v>421</v>
      </c>
      <c r="HK69" s="180">
        <v>2871</v>
      </c>
      <c r="HL69" s="180">
        <v>3104</v>
      </c>
      <c r="HM69" s="180">
        <v>2124</v>
      </c>
      <c r="HN69" s="180">
        <v>589</v>
      </c>
      <c r="HO69" s="180">
        <v>8099</v>
      </c>
      <c r="HP69"/>
      <c r="HQ69" s="180" t="s">
        <v>246</v>
      </c>
      <c r="HR69" s="180">
        <v>21</v>
      </c>
      <c r="HS69" s="180">
        <v>108</v>
      </c>
      <c r="HT69" s="180">
        <v>357</v>
      </c>
      <c r="HU69" s="180">
        <v>3372</v>
      </c>
      <c r="HV69" s="180">
        <v>4523</v>
      </c>
      <c r="HW69" s="180">
        <v>1732</v>
      </c>
      <c r="HX69" s="180">
        <v>486</v>
      </c>
      <c r="HY69" s="180">
        <v>9627</v>
      </c>
      <c r="HZ69" s="59"/>
      <c r="IA69" s="185" t="s">
        <v>246</v>
      </c>
      <c r="IB69" s="180">
        <v>21</v>
      </c>
      <c r="IC69" s="180">
        <v>108</v>
      </c>
      <c r="ID69" s="180">
        <v>357</v>
      </c>
      <c r="IE69" s="180">
        <f t="shared" ref="IE69:IE114" si="8">HR69+HU69</f>
        <v>3393</v>
      </c>
      <c r="IF69" s="180">
        <f t="shared" ref="IF69:IF114" si="9">HS69+HV69</f>
        <v>4631</v>
      </c>
      <c r="IG69" s="180">
        <f t="shared" ref="IG69:IG114" si="10">HT69+HW69</f>
        <v>2089</v>
      </c>
      <c r="IH69" s="180">
        <v>486</v>
      </c>
      <c r="II69" s="180">
        <v>9627</v>
      </c>
      <c r="IJ69" s="180">
        <f t="shared" ref="IJ69:IJ114" si="11">IH69+II69</f>
        <v>10113</v>
      </c>
      <c r="IL69" s="185" t="s">
        <v>246</v>
      </c>
      <c r="IM69" s="180">
        <v>21</v>
      </c>
      <c r="IN69" s="180">
        <v>108</v>
      </c>
      <c r="IO69" s="180">
        <v>357</v>
      </c>
      <c r="IP69" s="190">
        <f t="shared" si="7"/>
        <v>6.18921308576481E-3</v>
      </c>
      <c r="IQ69" s="190">
        <f t="shared" si="7"/>
        <v>2.332109695530123E-2</v>
      </c>
      <c r="IR69" s="190">
        <f t="shared" si="7"/>
        <v>0.17089516515078984</v>
      </c>
      <c r="IS69" s="190">
        <f t="shared" ref="IS69:IS114" si="12">IH69/IJ69</f>
        <v>4.8056956392761793E-2</v>
      </c>
      <c r="IT69" s="197">
        <f t="shared" ref="IT69:IT114" si="13">IF(COUNT(IM69:IO69)&lt;=1,"-", (IO69/IF(ISBLANK(IM69),IN69,IM69))^(1/(COUNT(IM69:IO69)-1))-1)</f>
        <v>3.1231056256176606</v>
      </c>
      <c r="IU69" s="193"/>
      <c r="IV69" s="200" t="s">
        <v>54</v>
      </c>
      <c r="IW69" s="160">
        <v>1335</v>
      </c>
      <c r="IX69" s="206">
        <f>GETPIVOTDATA("[Measures].[Sum of Quantity_Ordered]",$GN$6,"[Returns_Table].[Product_Category]","[Returns_Table].[Product_Category].&amp;[Infant Nutrition]")/GETPIVOTDATA("[Measures].[Sum of Quantity_Ordered]",$GN$6)</f>
        <v>0.17419102296450939</v>
      </c>
    </row>
    <row r="70" spans="59:261" x14ac:dyDescent="0.3">
      <c r="BG70"/>
      <c r="BH70"/>
      <c r="BI70"/>
      <c r="BJ70"/>
      <c r="CI70"/>
      <c r="CJ70"/>
      <c r="CK70"/>
      <c r="FJ70"/>
      <c r="FK70"/>
      <c r="GP70" s="5" t="s">
        <v>245</v>
      </c>
      <c r="GQ70" s="5">
        <v>44</v>
      </c>
      <c r="GR70" s="5">
        <v>124</v>
      </c>
      <c r="GS70" s="5">
        <v>421</v>
      </c>
      <c r="GT70" s="5">
        <v>2871</v>
      </c>
      <c r="GU70" s="5">
        <v>3104</v>
      </c>
      <c r="GV70" s="5">
        <v>2124</v>
      </c>
      <c r="GW70" s="5">
        <v>589</v>
      </c>
      <c r="GX70" s="5">
        <v>8099</v>
      </c>
      <c r="HB70"/>
      <c r="HC70" s="174" t="s">
        <v>263</v>
      </c>
      <c r="HD70" s="160">
        <v>58</v>
      </c>
      <c r="HE70" s="160">
        <v>724</v>
      </c>
      <c r="HF70" s="174"/>
      <c r="HG70" s="180" t="s">
        <v>246</v>
      </c>
      <c r="HH70" s="180">
        <v>21</v>
      </c>
      <c r="HI70" s="180">
        <v>108</v>
      </c>
      <c r="HJ70" s="180">
        <v>357</v>
      </c>
      <c r="HK70" s="180">
        <v>3372</v>
      </c>
      <c r="HL70" s="180">
        <v>4523</v>
      </c>
      <c r="HM70" s="180">
        <v>1732</v>
      </c>
      <c r="HN70" s="180">
        <v>486</v>
      </c>
      <c r="HO70" s="180">
        <v>9627</v>
      </c>
      <c r="HP70"/>
      <c r="HQ70" s="180" t="s">
        <v>254</v>
      </c>
      <c r="HR70" s="180"/>
      <c r="HS70" s="180">
        <v>148</v>
      </c>
      <c r="HT70" s="180">
        <v>387</v>
      </c>
      <c r="HU70" s="180">
        <v>2573</v>
      </c>
      <c r="HV70" s="180">
        <v>2817</v>
      </c>
      <c r="HW70" s="180">
        <v>2468</v>
      </c>
      <c r="HX70" s="180">
        <v>535</v>
      </c>
      <c r="HY70" s="180">
        <v>7858</v>
      </c>
      <c r="HZ70" s="59"/>
      <c r="IA70" s="185" t="s">
        <v>254</v>
      </c>
      <c r="IB70" s="180"/>
      <c r="IC70" s="180">
        <v>148</v>
      </c>
      <c r="ID70" s="180">
        <v>387</v>
      </c>
      <c r="IE70" s="180">
        <f t="shared" si="8"/>
        <v>2573</v>
      </c>
      <c r="IF70" s="180">
        <f t="shared" si="9"/>
        <v>2965</v>
      </c>
      <c r="IG70" s="180">
        <f t="shared" si="10"/>
        <v>2855</v>
      </c>
      <c r="IH70" s="180">
        <v>535</v>
      </c>
      <c r="II70" s="180">
        <v>7858</v>
      </c>
      <c r="IJ70" s="180">
        <f t="shared" si="11"/>
        <v>8393</v>
      </c>
      <c r="IL70" s="185" t="s">
        <v>254</v>
      </c>
      <c r="IM70" s="180"/>
      <c r="IN70" s="180">
        <v>148</v>
      </c>
      <c r="IO70" s="180">
        <v>387</v>
      </c>
      <c r="IP70" s="190">
        <f t="shared" si="7"/>
        <v>0</v>
      </c>
      <c r="IQ70" s="190">
        <f t="shared" si="7"/>
        <v>4.9915682967959528E-2</v>
      </c>
      <c r="IR70" s="190">
        <f t="shared" si="7"/>
        <v>0.13555166374781086</v>
      </c>
      <c r="IS70" s="190">
        <f t="shared" si="12"/>
        <v>6.3743595853687593E-2</v>
      </c>
      <c r="IT70" s="197">
        <f t="shared" si="13"/>
        <v>1.6148648648648649</v>
      </c>
      <c r="IU70" s="193"/>
      <c r="IV70" s="202" t="s">
        <v>61</v>
      </c>
      <c r="IW70" s="160">
        <v>1338</v>
      </c>
      <c r="IX70" s="206">
        <f>GETPIVOTDATA("[Measures].[Sum of Quantity_Ordered]",$GN$6,"[Returns_Table].[Product_Category]","[Returns_Table].[Product_Category].&amp;[Water &amp; Juices]")/GETPIVOTDATA("[Measures].[Sum of Quantity_Ordered]",$GN$6)</f>
        <v>0.17458246346555323</v>
      </c>
    </row>
    <row r="71" spans="59:261" x14ac:dyDescent="0.3">
      <c r="BG71"/>
      <c r="BH71"/>
      <c r="BI71"/>
      <c r="BJ71"/>
      <c r="CI71"/>
      <c r="CJ71"/>
      <c r="CK71"/>
      <c r="FJ71"/>
      <c r="FK71"/>
      <c r="GP71" s="5" t="s">
        <v>246</v>
      </c>
      <c r="GQ71" s="5">
        <v>21</v>
      </c>
      <c r="GR71" s="5">
        <v>108</v>
      </c>
      <c r="GS71" s="5">
        <v>357</v>
      </c>
      <c r="GT71" s="5">
        <v>3372</v>
      </c>
      <c r="GU71" s="5">
        <v>4523</v>
      </c>
      <c r="GV71" s="5">
        <v>1732</v>
      </c>
      <c r="GW71" s="5">
        <v>486</v>
      </c>
      <c r="GX71" s="5">
        <v>9627</v>
      </c>
      <c r="HB71"/>
      <c r="HC71" s="174" t="s">
        <v>245</v>
      </c>
      <c r="HD71" s="160">
        <v>589</v>
      </c>
      <c r="HE71" s="160">
        <v>8099</v>
      </c>
      <c r="HF71" s="174"/>
      <c r="HG71" s="180" t="s">
        <v>254</v>
      </c>
      <c r="HH71" s="180"/>
      <c r="HI71" s="180">
        <v>148</v>
      </c>
      <c r="HJ71" s="180">
        <v>387</v>
      </c>
      <c r="HK71" s="180">
        <v>2573</v>
      </c>
      <c r="HL71" s="180">
        <v>2817</v>
      </c>
      <c r="HM71" s="180">
        <v>2468</v>
      </c>
      <c r="HN71" s="180">
        <v>535</v>
      </c>
      <c r="HO71" s="180">
        <v>7858</v>
      </c>
      <c r="HP71"/>
      <c r="HQ71" s="180" t="s">
        <v>253</v>
      </c>
      <c r="HR71" s="180"/>
      <c r="HS71" s="180">
        <v>44</v>
      </c>
      <c r="HT71" s="180">
        <v>193</v>
      </c>
      <c r="HU71" s="180">
        <v>1449</v>
      </c>
      <c r="HV71" s="180">
        <v>1896</v>
      </c>
      <c r="HW71" s="180">
        <v>1380</v>
      </c>
      <c r="HX71" s="180">
        <v>237</v>
      </c>
      <c r="HY71" s="180">
        <v>4725</v>
      </c>
      <c r="HZ71" s="59"/>
      <c r="IA71" s="185" t="s">
        <v>253</v>
      </c>
      <c r="IB71" s="180"/>
      <c r="IC71" s="180">
        <v>44</v>
      </c>
      <c r="ID71" s="180">
        <v>193</v>
      </c>
      <c r="IE71" s="180">
        <f t="shared" si="8"/>
        <v>1449</v>
      </c>
      <c r="IF71" s="180">
        <f t="shared" si="9"/>
        <v>1940</v>
      </c>
      <c r="IG71" s="180">
        <f t="shared" si="10"/>
        <v>1573</v>
      </c>
      <c r="IH71" s="180">
        <v>237</v>
      </c>
      <c r="II71" s="180">
        <v>4725</v>
      </c>
      <c r="IJ71" s="180">
        <f t="shared" si="11"/>
        <v>4962</v>
      </c>
      <c r="IL71" s="185" t="s">
        <v>253</v>
      </c>
      <c r="IM71" s="180"/>
      <c r="IN71" s="180">
        <v>44</v>
      </c>
      <c r="IO71" s="180">
        <v>193</v>
      </c>
      <c r="IP71" s="190">
        <f t="shared" si="7"/>
        <v>0</v>
      </c>
      <c r="IQ71" s="190">
        <f t="shared" si="7"/>
        <v>2.268041237113402E-2</v>
      </c>
      <c r="IR71" s="190">
        <f t="shared" si="7"/>
        <v>0.12269548633184997</v>
      </c>
      <c r="IS71" s="190">
        <f t="shared" si="12"/>
        <v>4.7762998790810154E-2</v>
      </c>
      <c r="IT71" s="197">
        <f t="shared" si="13"/>
        <v>3.3863636363636367</v>
      </c>
      <c r="IU71" s="193"/>
      <c r="IV71" s="200" t="s">
        <v>17</v>
      </c>
      <c r="IW71" s="160">
        <v>1788</v>
      </c>
      <c r="IX71" s="206">
        <f>GETPIVOTDATA("[Measures].[Sum of Quantity_Ordered]",$GN$6,"[Returns_Table].[Product_Category]","[Returns_Table].[Product_Category].&amp;[Dairy Products]")/GETPIVOTDATA("[Measures].[Sum of Quantity_Ordered]",$GN$6)</f>
        <v>0.23329853862212943</v>
      </c>
    </row>
    <row r="72" spans="59:261" x14ac:dyDescent="0.3">
      <c r="BG72"/>
      <c r="BH72"/>
      <c r="BI72"/>
      <c r="BJ72"/>
      <c r="CI72"/>
      <c r="CJ72"/>
      <c r="CK72"/>
      <c r="FJ72"/>
      <c r="FK72"/>
      <c r="GP72" s="5" t="s">
        <v>254</v>
      </c>
      <c r="GR72" s="5">
        <v>148</v>
      </c>
      <c r="GS72" s="5">
        <v>387</v>
      </c>
      <c r="GT72" s="5">
        <v>2573</v>
      </c>
      <c r="GU72" s="5">
        <v>2817</v>
      </c>
      <c r="GV72" s="5">
        <v>2468</v>
      </c>
      <c r="GW72" s="5">
        <v>535</v>
      </c>
      <c r="GX72" s="5">
        <v>7858</v>
      </c>
      <c r="HC72" s="174" t="s">
        <v>246</v>
      </c>
      <c r="HD72" s="160">
        <v>486</v>
      </c>
      <c r="HE72" s="160">
        <v>9627</v>
      </c>
      <c r="HF72" s="174"/>
      <c r="HG72" s="180" t="s">
        <v>253</v>
      </c>
      <c r="HH72" s="180"/>
      <c r="HI72" s="180">
        <v>44</v>
      </c>
      <c r="HJ72" s="180">
        <v>193</v>
      </c>
      <c r="HK72" s="180">
        <v>1449</v>
      </c>
      <c r="HL72" s="180">
        <v>1896</v>
      </c>
      <c r="HM72" s="180">
        <v>1380</v>
      </c>
      <c r="HN72" s="180">
        <v>237</v>
      </c>
      <c r="HO72" s="180">
        <v>4725</v>
      </c>
      <c r="HP72"/>
      <c r="HQ72" s="180" t="s">
        <v>252</v>
      </c>
      <c r="HR72" s="180">
        <v>39</v>
      </c>
      <c r="HS72" s="180">
        <v>71</v>
      </c>
      <c r="HT72" s="180">
        <v>80</v>
      </c>
      <c r="HU72" s="180">
        <v>2104</v>
      </c>
      <c r="HV72" s="180">
        <v>2583</v>
      </c>
      <c r="HW72" s="180">
        <v>1622</v>
      </c>
      <c r="HX72" s="180">
        <v>190</v>
      </c>
      <c r="HY72" s="180">
        <v>6309</v>
      </c>
      <c r="HZ72" s="59"/>
      <c r="IA72" s="185" t="s">
        <v>252</v>
      </c>
      <c r="IB72" s="180">
        <v>39</v>
      </c>
      <c r="IC72" s="180">
        <v>71</v>
      </c>
      <c r="ID72" s="180">
        <v>80</v>
      </c>
      <c r="IE72" s="180">
        <f t="shared" si="8"/>
        <v>2143</v>
      </c>
      <c r="IF72" s="180">
        <f t="shared" si="9"/>
        <v>2654</v>
      </c>
      <c r="IG72" s="180">
        <f t="shared" si="10"/>
        <v>1702</v>
      </c>
      <c r="IH72" s="180">
        <v>190</v>
      </c>
      <c r="II72" s="180">
        <v>6309</v>
      </c>
      <c r="IJ72" s="180">
        <f t="shared" si="11"/>
        <v>6499</v>
      </c>
      <c r="IL72" s="185" t="s">
        <v>252</v>
      </c>
      <c r="IM72" s="180">
        <v>39</v>
      </c>
      <c r="IN72" s="180">
        <v>71</v>
      </c>
      <c r="IO72" s="180">
        <v>80</v>
      </c>
      <c r="IP72" s="190">
        <f t="shared" si="7"/>
        <v>1.8198786747550162E-2</v>
      </c>
      <c r="IQ72" s="190">
        <f t="shared" si="7"/>
        <v>2.6752072343632253E-2</v>
      </c>
      <c r="IR72" s="190">
        <f t="shared" si="7"/>
        <v>4.700352526439483E-2</v>
      </c>
      <c r="IS72" s="190">
        <f t="shared" si="12"/>
        <v>2.923526696414833E-2</v>
      </c>
      <c r="IT72" s="197">
        <f t="shared" si="13"/>
        <v>0.43222974807886572</v>
      </c>
      <c r="IU72" s="193"/>
      <c r="IV72" s="200" t="s">
        <v>32</v>
      </c>
      <c r="IW72" s="160">
        <v>2037</v>
      </c>
      <c r="IX72" s="206">
        <f>GETPIVOTDATA("[Measures].[Sum of Quantity_Ordered]",$GN$6,"[Returns_Table].[Product_Category]","[Returns_Table].[Product_Category].&amp;[Beverages]")/GETPIVOTDATA("[Measures].[Sum of Quantity_Ordered]",$GN$6)</f>
        <v>0.26578810020876825</v>
      </c>
    </row>
    <row r="73" spans="59:261" x14ac:dyDescent="0.3">
      <c r="BG73"/>
      <c r="BH73"/>
      <c r="BI73"/>
      <c r="BJ73"/>
      <c r="CI73"/>
      <c r="CJ73"/>
      <c r="CK73"/>
      <c r="FJ73"/>
      <c r="FK73"/>
      <c r="GP73" s="5" t="s">
        <v>253</v>
      </c>
      <c r="GR73" s="5">
        <v>44</v>
      </c>
      <c r="GS73" s="5">
        <v>193</v>
      </c>
      <c r="GT73" s="5">
        <v>1449</v>
      </c>
      <c r="GU73" s="5">
        <v>1896</v>
      </c>
      <c r="GV73" s="5">
        <v>1380</v>
      </c>
      <c r="GW73" s="5">
        <v>237</v>
      </c>
      <c r="GX73" s="5">
        <v>4725</v>
      </c>
      <c r="HC73" s="174" t="s">
        <v>244</v>
      </c>
      <c r="HD73" s="160">
        <v>459</v>
      </c>
      <c r="HE73" s="160">
        <v>3382</v>
      </c>
      <c r="HF73" s="174"/>
      <c r="HG73" s="180" t="s">
        <v>252</v>
      </c>
      <c r="HH73" s="180">
        <v>39</v>
      </c>
      <c r="HI73" s="180">
        <v>71</v>
      </c>
      <c r="HJ73" s="180">
        <v>80</v>
      </c>
      <c r="HK73" s="180">
        <v>2104</v>
      </c>
      <c r="HL73" s="180">
        <v>2583</v>
      </c>
      <c r="HM73" s="180">
        <v>1622</v>
      </c>
      <c r="HN73" s="180">
        <v>190</v>
      </c>
      <c r="HO73" s="180">
        <v>6309</v>
      </c>
      <c r="HQ73" s="183" t="s">
        <v>835</v>
      </c>
      <c r="HR73" s="183">
        <v>104</v>
      </c>
      <c r="HS73" s="183">
        <v>495</v>
      </c>
      <c r="HT73" s="183">
        <v>1438</v>
      </c>
      <c r="HU73" s="183">
        <v>12369</v>
      </c>
      <c r="HV73" s="183">
        <v>14923</v>
      </c>
      <c r="HW73" s="183">
        <v>9326</v>
      </c>
      <c r="HX73" s="183">
        <v>2037</v>
      </c>
      <c r="HY73" s="183">
        <v>36618</v>
      </c>
      <c r="HZ73" s="59"/>
      <c r="IA73" s="187" t="s">
        <v>835</v>
      </c>
      <c r="IB73" s="183">
        <v>104</v>
      </c>
      <c r="IC73" s="183">
        <v>495</v>
      </c>
      <c r="ID73" s="183">
        <v>1438</v>
      </c>
      <c r="IE73" s="183">
        <f t="shared" si="8"/>
        <v>12473</v>
      </c>
      <c r="IF73" s="183">
        <f t="shared" si="9"/>
        <v>15418</v>
      </c>
      <c r="IG73" s="183">
        <f t="shared" si="10"/>
        <v>10764</v>
      </c>
      <c r="IH73" s="183">
        <v>2037</v>
      </c>
      <c r="II73" s="183">
        <v>36618</v>
      </c>
      <c r="IJ73" s="183">
        <f t="shared" si="11"/>
        <v>38655</v>
      </c>
      <c r="IL73" s="187" t="s">
        <v>835</v>
      </c>
      <c r="IM73" s="183">
        <v>104</v>
      </c>
      <c r="IN73" s="183">
        <v>495</v>
      </c>
      <c r="IO73" s="183">
        <v>1438</v>
      </c>
      <c r="IP73" s="191">
        <f t="shared" si="7"/>
        <v>8.3380101018199308E-3</v>
      </c>
      <c r="IQ73" s="191">
        <f t="shared" si="7"/>
        <v>3.2105331430795171E-2</v>
      </c>
      <c r="IR73" s="191">
        <f t="shared" si="7"/>
        <v>0.13359345968041619</v>
      </c>
      <c r="IS73" s="191">
        <f t="shared" si="12"/>
        <v>5.2696934419868065E-2</v>
      </c>
      <c r="IT73" s="197">
        <f t="shared" si="13"/>
        <v>2.7184570828400152</v>
      </c>
      <c r="IU73" s="193"/>
      <c r="IV73" s="203" t="s">
        <v>623</v>
      </c>
      <c r="IW73" s="204">
        <v>7664</v>
      </c>
      <c r="IX73" s="207">
        <v>1</v>
      </c>
    </row>
    <row r="74" spans="59:261" x14ac:dyDescent="0.3">
      <c r="BG74"/>
      <c r="BH74"/>
      <c r="BI74"/>
      <c r="BJ74"/>
      <c r="CI74"/>
      <c r="CJ74"/>
      <c r="CK74"/>
      <c r="FJ74"/>
      <c r="FK74"/>
      <c r="GP74" s="5" t="s">
        <v>252</v>
      </c>
      <c r="GQ74" s="5">
        <v>39</v>
      </c>
      <c r="GR74" s="5">
        <v>71</v>
      </c>
      <c r="GS74" s="5">
        <v>80</v>
      </c>
      <c r="GT74" s="5">
        <v>2104</v>
      </c>
      <c r="GU74" s="5">
        <v>2583</v>
      </c>
      <c r="GV74" s="5">
        <v>1622</v>
      </c>
      <c r="GW74" s="5">
        <v>190</v>
      </c>
      <c r="GX74" s="5">
        <v>6309</v>
      </c>
      <c r="HC74" s="174" t="s">
        <v>250</v>
      </c>
      <c r="HD74" s="160">
        <v>172</v>
      </c>
      <c r="HE74" s="161">
        <v>4003</v>
      </c>
      <c r="HF74"/>
      <c r="HG74" s="180" t="s">
        <v>835</v>
      </c>
      <c r="HH74" s="180">
        <v>104</v>
      </c>
      <c r="HI74" s="180">
        <v>495</v>
      </c>
      <c r="HJ74" s="180">
        <v>1438</v>
      </c>
      <c r="HK74" s="180">
        <v>12369</v>
      </c>
      <c r="HL74" s="180">
        <v>14923</v>
      </c>
      <c r="HM74" s="180">
        <v>9326</v>
      </c>
      <c r="HN74" s="180">
        <v>2037</v>
      </c>
      <c r="HO74" s="180">
        <v>36618</v>
      </c>
      <c r="HQ74" s="183" t="s">
        <v>17</v>
      </c>
      <c r="HR74" s="183"/>
      <c r="HS74" s="183"/>
      <c r="HT74" s="183"/>
      <c r="HU74" s="183"/>
      <c r="HV74" s="183"/>
      <c r="HW74" s="183"/>
      <c r="HX74" s="183"/>
      <c r="HY74" s="183"/>
      <c r="IA74" s="183" t="s">
        <v>17</v>
      </c>
      <c r="IB74" s="183"/>
      <c r="IC74" s="183"/>
      <c r="ID74" s="183"/>
      <c r="IE74" s="180"/>
      <c r="IF74" s="180"/>
      <c r="IG74" s="180"/>
      <c r="IH74" s="183"/>
      <c r="II74" s="183"/>
      <c r="IJ74" s="183">
        <f t="shared" si="11"/>
        <v>0</v>
      </c>
      <c r="IK74" s="59"/>
      <c r="IL74" s="183" t="s">
        <v>17</v>
      </c>
      <c r="IM74" s="183"/>
      <c r="IN74" s="183"/>
      <c r="IO74" s="183"/>
      <c r="IP74" s="190"/>
      <c r="IQ74" s="190"/>
      <c r="IR74" s="190"/>
      <c r="IS74" s="190"/>
      <c r="IT74" s="197" t="str">
        <f t="shared" si="13"/>
        <v>-</v>
      </c>
      <c r="IU74" s="193"/>
      <c r="IW74" s="29"/>
    </row>
    <row r="75" spans="59:261" x14ac:dyDescent="0.3">
      <c r="BG75"/>
      <c r="BH75"/>
      <c r="BI75"/>
      <c r="BJ75"/>
      <c r="CI75"/>
      <c r="CJ75"/>
      <c r="CK75"/>
      <c r="FJ75"/>
      <c r="FK75"/>
      <c r="GP75" s="5" t="s">
        <v>835</v>
      </c>
      <c r="GQ75" s="5">
        <v>104</v>
      </c>
      <c r="GR75" s="5">
        <v>495</v>
      </c>
      <c r="GS75" s="5">
        <v>1438</v>
      </c>
      <c r="GT75" s="5">
        <v>12369</v>
      </c>
      <c r="GU75" s="5">
        <v>14923</v>
      </c>
      <c r="GV75" s="5">
        <v>9326</v>
      </c>
      <c r="GW75" s="5">
        <v>2037</v>
      </c>
      <c r="GX75" s="5">
        <v>36618</v>
      </c>
      <c r="HC75" s="174" t="s">
        <v>254</v>
      </c>
      <c r="HD75" s="160">
        <v>535</v>
      </c>
      <c r="HE75" s="161">
        <v>7858</v>
      </c>
      <c r="HF75"/>
      <c r="HG75" s="180" t="s">
        <v>17</v>
      </c>
      <c r="HH75" s="180"/>
      <c r="HI75" s="180"/>
      <c r="HJ75" s="180"/>
      <c r="HK75" s="180"/>
      <c r="HL75" s="180"/>
      <c r="HM75" s="180"/>
      <c r="HN75" s="180"/>
      <c r="HO75" s="180"/>
      <c r="HQ75" s="180" t="s">
        <v>244</v>
      </c>
      <c r="HR75" s="180">
        <v>25</v>
      </c>
      <c r="HS75" s="180">
        <v>160</v>
      </c>
      <c r="HT75" s="180">
        <v>274</v>
      </c>
      <c r="HU75" s="180">
        <v>1163</v>
      </c>
      <c r="HV75" s="180">
        <v>1557</v>
      </c>
      <c r="HW75" s="180">
        <v>662</v>
      </c>
      <c r="HX75" s="180">
        <v>459</v>
      </c>
      <c r="HY75" s="180">
        <v>3382</v>
      </c>
      <c r="IA75" s="185" t="s">
        <v>244</v>
      </c>
      <c r="IB75" s="180">
        <v>25</v>
      </c>
      <c r="IC75" s="180">
        <v>160</v>
      </c>
      <c r="ID75" s="180">
        <v>274</v>
      </c>
      <c r="IE75" s="180">
        <f t="shared" si="8"/>
        <v>1188</v>
      </c>
      <c r="IF75" s="180">
        <f t="shared" si="9"/>
        <v>1717</v>
      </c>
      <c r="IG75" s="180">
        <f t="shared" si="10"/>
        <v>936</v>
      </c>
      <c r="IH75" s="180">
        <v>459</v>
      </c>
      <c r="II75" s="180">
        <v>3382</v>
      </c>
      <c r="IJ75" s="180">
        <f t="shared" si="11"/>
        <v>3841</v>
      </c>
      <c r="IK75" s="59"/>
      <c r="IL75" s="185" t="s">
        <v>244</v>
      </c>
      <c r="IM75" s="180">
        <v>25</v>
      </c>
      <c r="IN75" s="180">
        <v>160</v>
      </c>
      <c r="IO75" s="180">
        <v>274</v>
      </c>
      <c r="IP75" s="190">
        <f t="shared" ref="IP75:IR81" si="14">IM75/IE75</f>
        <v>2.1043771043771045E-2</v>
      </c>
      <c r="IQ75" s="190">
        <f t="shared" si="14"/>
        <v>9.3185789167152006E-2</v>
      </c>
      <c r="IR75" s="190">
        <f t="shared" si="14"/>
        <v>0.29273504273504275</v>
      </c>
      <c r="IS75" s="190">
        <f t="shared" si="12"/>
        <v>0.11950013017443374</v>
      </c>
      <c r="IT75" s="197">
        <f t="shared" si="13"/>
        <v>2.3105890714493698</v>
      </c>
      <c r="IU75" s="193"/>
      <c r="IW75" s="29"/>
    </row>
    <row r="76" spans="59:261" x14ac:dyDescent="0.3">
      <c r="BG76"/>
      <c r="BH76"/>
      <c r="BI76"/>
      <c r="BJ76"/>
      <c r="CI76"/>
      <c r="CJ76"/>
      <c r="CK76"/>
      <c r="FJ76"/>
      <c r="FK76"/>
      <c r="GP76" s="5" t="s">
        <v>17</v>
      </c>
      <c r="HC76" s="174" t="s">
        <v>248</v>
      </c>
      <c r="HD76" s="160">
        <v>147</v>
      </c>
      <c r="HE76" s="161">
        <v>805</v>
      </c>
      <c r="HF76"/>
      <c r="HG76" s="180" t="s">
        <v>244</v>
      </c>
      <c r="HH76" s="180">
        <v>25</v>
      </c>
      <c r="HI76" s="180">
        <v>160</v>
      </c>
      <c r="HJ76" s="180">
        <v>274</v>
      </c>
      <c r="HK76" s="180">
        <v>1163</v>
      </c>
      <c r="HL76" s="180">
        <v>1557</v>
      </c>
      <c r="HM76" s="180">
        <v>662</v>
      </c>
      <c r="HN76" s="180">
        <v>459</v>
      </c>
      <c r="HO76" s="180">
        <v>3382</v>
      </c>
      <c r="HQ76" s="180" t="s">
        <v>241</v>
      </c>
      <c r="HR76" s="180"/>
      <c r="HS76" s="180"/>
      <c r="HT76" s="180">
        <v>119</v>
      </c>
      <c r="HU76" s="180">
        <v>697</v>
      </c>
      <c r="HV76" s="180">
        <v>769</v>
      </c>
      <c r="HW76" s="180">
        <v>380</v>
      </c>
      <c r="HX76" s="180">
        <v>119</v>
      </c>
      <c r="HY76" s="180">
        <v>1846</v>
      </c>
      <c r="IA76" s="185" t="s">
        <v>241</v>
      </c>
      <c r="IB76" s="180"/>
      <c r="IC76" s="180"/>
      <c r="ID76" s="180">
        <v>119</v>
      </c>
      <c r="IE76" s="180">
        <f t="shared" si="8"/>
        <v>697</v>
      </c>
      <c r="IF76" s="180">
        <f t="shared" si="9"/>
        <v>769</v>
      </c>
      <c r="IG76" s="180">
        <f t="shared" si="10"/>
        <v>499</v>
      </c>
      <c r="IH76" s="180">
        <v>119</v>
      </c>
      <c r="II76" s="180">
        <v>1846</v>
      </c>
      <c r="IJ76" s="180">
        <f t="shared" si="11"/>
        <v>1965</v>
      </c>
      <c r="IK76" s="59"/>
      <c r="IL76" s="185" t="s">
        <v>241</v>
      </c>
      <c r="IM76" s="180"/>
      <c r="IN76" s="180"/>
      <c r="IO76" s="180">
        <v>119</v>
      </c>
      <c r="IP76" s="190">
        <f t="shared" si="14"/>
        <v>0</v>
      </c>
      <c r="IQ76" s="190">
        <f t="shared" si="14"/>
        <v>0</v>
      </c>
      <c r="IR76" s="190">
        <f t="shared" si="14"/>
        <v>0.23847695390781562</v>
      </c>
      <c r="IS76" s="190">
        <f t="shared" si="12"/>
        <v>6.0559796437659033E-2</v>
      </c>
      <c r="IT76" s="197" t="str">
        <f t="shared" si="13"/>
        <v>-</v>
      </c>
      <c r="IU76" s="193"/>
      <c r="IV76" s="194"/>
    </row>
    <row r="77" spans="59:261" x14ac:dyDescent="0.3">
      <c r="BG77"/>
      <c r="BH77"/>
      <c r="BI77"/>
      <c r="BJ77"/>
      <c r="CI77"/>
      <c r="CJ77"/>
      <c r="CK77"/>
      <c r="FJ77"/>
      <c r="FK77"/>
      <c r="GP77" s="5" t="s">
        <v>244</v>
      </c>
      <c r="GQ77" s="5">
        <v>25</v>
      </c>
      <c r="GR77" s="5">
        <v>160</v>
      </c>
      <c r="GS77" s="5">
        <v>274</v>
      </c>
      <c r="GT77" s="5">
        <v>1163</v>
      </c>
      <c r="GU77" s="5">
        <v>1557</v>
      </c>
      <c r="GV77" s="5">
        <v>662</v>
      </c>
      <c r="GW77" s="5">
        <v>459</v>
      </c>
      <c r="GX77" s="5">
        <v>3382</v>
      </c>
      <c r="HC77" s="174" t="s">
        <v>253</v>
      </c>
      <c r="HD77" s="160">
        <v>237</v>
      </c>
      <c r="HE77" s="161">
        <v>4725</v>
      </c>
      <c r="HF77"/>
      <c r="HG77" s="180" t="s">
        <v>241</v>
      </c>
      <c r="HH77" s="180"/>
      <c r="HI77" s="180"/>
      <c r="HJ77" s="180">
        <v>119</v>
      </c>
      <c r="HK77" s="180">
        <v>697</v>
      </c>
      <c r="HL77" s="180">
        <v>769</v>
      </c>
      <c r="HM77" s="180">
        <v>380</v>
      </c>
      <c r="HN77" s="180">
        <v>119</v>
      </c>
      <c r="HO77" s="180">
        <v>1846</v>
      </c>
      <c r="HQ77" s="180" t="s">
        <v>243</v>
      </c>
      <c r="HR77" s="180"/>
      <c r="HS77" s="180">
        <v>34</v>
      </c>
      <c r="HT77" s="180">
        <v>21</v>
      </c>
      <c r="HU77" s="180">
        <v>560</v>
      </c>
      <c r="HV77" s="180">
        <v>632</v>
      </c>
      <c r="HW77" s="180">
        <v>192</v>
      </c>
      <c r="HX77" s="180">
        <v>55</v>
      </c>
      <c r="HY77" s="180">
        <v>1384</v>
      </c>
      <c r="IA77" s="185" t="s">
        <v>243</v>
      </c>
      <c r="IB77" s="180"/>
      <c r="IC77" s="180">
        <v>34</v>
      </c>
      <c r="ID77" s="180">
        <v>21</v>
      </c>
      <c r="IE77" s="180">
        <f t="shared" si="8"/>
        <v>560</v>
      </c>
      <c r="IF77" s="180">
        <f t="shared" si="9"/>
        <v>666</v>
      </c>
      <c r="IG77" s="180">
        <f t="shared" si="10"/>
        <v>213</v>
      </c>
      <c r="IH77" s="180">
        <v>55</v>
      </c>
      <c r="II77" s="180">
        <v>1384</v>
      </c>
      <c r="IJ77" s="180">
        <f t="shared" si="11"/>
        <v>1439</v>
      </c>
      <c r="IK77" s="59"/>
      <c r="IL77" s="185" t="s">
        <v>243</v>
      </c>
      <c r="IM77" s="180"/>
      <c r="IN77" s="180">
        <v>34</v>
      </c>
      <c r="IO77" s="180">
        <v>21</v>
      </c>
      <c r="IP77" s="190">
        <f t="shared" si="14"/>
        <v>0</v>
      </c>
      <c r="IQ77" s="190">
        <f t="shared" si="14"/>
        <v>5.1051051051051052E-2</v>
      </c>
      <c r="IR77" s="190">
        <f t="shared" si="14"/>
        <v>9.8591549295774641E-2</v>
      </c>
      <c r="IS77" s="190">
        <f t="shared" si="12"/>
        <v>3.8220986796386379E-2</v>
      </c>
      <c r="IT77" s="197">
        <f t="shared" si="13"/>
        <v>-0.38235294117647056</v>
      </c>
      <c r="IU77" s="193"/>
      <c r="IV77" s="78"/>
    </row>
    <row r="78" spans="59:261" x14ac:dyDescent="0.3">
      <c r="BG78"/>
      <c r="BH78"/>
      <c r="BI78"/>
      <c r="BJ78"/>
      <c r="CI78"/>
      <c r="CJ78"/>
      <c r="CK78"/>
      <c r="FJ78"/>
      <c r="FK78"/>
      <c r="GP78" s="5" t="s">
        <v>241</v>
      </c>
      <c r="GS78" s="5">
        <v>119</v>
      </c>
      <c r="GT78" s="5">
        <v>697</v>
      </c>
      <c r="GU78" s="5">
        <v>769</v>
      </c>
      <c r="GV78" s="5">
        <v>380</v>
      </c>
      <c r="GW78" s="5">
        <v>119</v>
      </c>
      <c r="GX78" s="5">
        <v>1846</v>
      </c>
      <c r="HC78" s="174" t="s">
        <v>272</v>
      </c>
      <c r="HD78" s="160"/>
      <c r="HE78" s="161">
        <v>836</v>
      </c>
      <c r="HF78"/>
      <c r="HG78" s="180" t="s">
        <v>243</v>
      </c>
      <c r="HH78" s="180"/>
      <c r="HI78" s="180">
        <v>34</v>
      </c>
      <c r="HJ78" s="180">
        <v>21</v>
      </c>
      <c r="HK78" s="180">
        <v>560</v>
      </c>
      <c r="HL78" s="180">
        <v>632</v>
      </c>
      <c r="HM78" s="180">
        <v>192</v>
      </c>
      <c r="HN78" s="180">
        <v>55</v>
      </c>
      <c r="HO78" s="180">
        <v>1384</v>
      </c>
      <c r="HQ78" s="180" t="s">
        <v>242</v>
      </c>
      <c r="HR78" s="180">
        <v>115</v>
      </c>
      <c r="HS78" s="180">
        <v>121</v>
      </c>
      <c r="HT78" s="180">
        <v>695</v>
      </c>
      <c r="HU78" s="180">
        <v>3844</v>
      </c>
      <c r="HV78" s="180">
        <v>5097</v>
      </c>
      <c r="HW78" s="180">
        <v>2630</v>
      </c>
      <c r="HX78" s="180">
        <v>931</v>
      </c>
      <c r="HY78" s="180">
        <v>11571</v>
      </c>
      <c r="IA78" s="185" t="s">
        <v>242</v>
      </c>
      <c r="IB78" s="180">
        <v>115</v>
      </c>
      <c r="IC78" s="180">
        <v>121</v>
      </c>
      <c r="ID78" s="180">
        <v>695</v>
      </c>
      <c r="IE78" s="180">
        <f t="shared" si="8"/>
        <v>3959</v>
      </c>
      <c r="IF78" s="180">
        <f t="shared" si="9"/>
        <v>5218</v>
      </c>
      <c r="IG78" s="180">
        <f t="shared" si="10"/>
        <v>3325</v>
      </c>
      <c r="IH78" s="180">
        <v>931</v>
      </c>
      <c r="II78" s="180">
        <v>11571</v>
      </c>
      <c r="IJ78" s="180">
        <f t="shared" si="11"/>
        <v>12502</v>
      </c>
      <c r="IK78" s="59"/>
      <c r="IL78" s="185" t="s">
        <v>242</v>
      </c>
      <c r="IM78" s="180">
        <v>115</v>
      </c>
      <c r="IN78" s="180">
        <v>121</v>
      </c>
      <c r="IO78" s="180">
        <v>695</v>
      </c>
      <c r="IP78" s="190">
        <f t="shared" si="14"/>
        <v>2.9047739328113161E-2</v>
      </c>
      <c r="IQ78" s="190">
        <f t="shared" si="14"/>
        <v>2.3188961287849752E-2</v>
      </c>
      <c r="IR78" s="190">
        <f t="shared" si="14"/>
        <v>0.20902255639097744</v>
      </c>
      <c r="IS78" s="190">
        <f t="shared" si="12"/>
        <v>7.4468085106382975E-2</v>
      </c>
      <c r="IT78" s="197">
        <f t="shared" si="13"/>
        <v>1.4583486857786396</v>
      </c>
      <c r="IU78" s="193"/>
    </row>
    <row r="79" spans="59:261" x14ac:dyDescent="0.3">
      <c r="BG79"/>
      <c r="BH79"/>
      <c r="BI79"/>
      <c r="BJ79"/>
      <c r="CI79"/>
      <c r="CJ79"/>
      <c r="CK79"/>
      <c r="FJ79"/>
      <c r="FK79"/>
      <c r="GP79" s="5" t="s">
        <v>243</v>
      </c>
      <c r="GR79" s="5">
        <v>34</v>
      </c>
      <c r="GS79" s="5">
        <v>21</v>
      </c>
      <c r="GT79" s="5">
        <v>560</v>
      </c>
      <c r="GU79" s="5">
        <v>632</v>
      </c>
      <c r="GV79" s="5">
        <v>192</v>
      </c>
      <c r="GW79" s="5">
        <v>55</v>
      </c>
      <c r="GX79" s="5">
        <v>1384</v>
      </c>
      <c r="HC79" s="174" t="s">
        <v>241</v>
      </c>
      <c r="HD79" s="160">
        <v>119</v>
      </c>
      <c r="HE79" s="161">
        <v>1846</v>
      </c>
      <c r="HF79"/>
      <c r="HG79" s="180" t="s">
        <v>242</v>
      </c>
      <c r="HH79" s="180">
        <v>115</v>
      </c>
      <c r="HI79" s="180">
        <v>121</v>
      </c>
      <c r="HJ79" s="180">
        <v>695</v>
      </c>
      <c r="HK79" s="180">
        <v>3844</v>
      </c>
      <c r="HL79" s="180">
        <v>5097</v>
      </c>
      <c r="HM79" s="180">
        <v>2630</v>
      </c>
      <c r="HN79" s="180">
        <v>931</v>
      </c>
      <c r="HO79" s="180">
        <v>11571</v>
      </c>
      <c r="HQ79" s="180" t="s">
        <v>270</v>
      </c>
      <c r="HR79" s="180"/>
      <c r="HS79" s="180">
        <v>30</v>
      </c>
      <c r="HT79" s="180">
        <v>166</v>
      </c>
      <c r="HU79" s="180">
        <v>805</v>
      </c>
      <c r="HV79" s="180">
        <v>893</v>
      </c>
      <c r="HW79" s="180">
        <v>490</v>
      </c>
      <c r="HX79" s="180">
        <v>196</v>
      </c>
      <c r="HY79" s="180">
        <v>2188</v>
      </c>
      <c r="IA79" s="185" t="s">
        <v>270</v>
      </c>
      <c r="IB79" s="180"/>
      <c r="IC79" s="180">
        <v>30</v>
      </c>
      <c r="ID79" s="180">
        <v>166</v>
      </c>
      <c r="IE79" s="180">
        <f t="shared" si="8"/>
        <v>805</v>
      </c>
      <c r="IF79" s="180">
        <f t="shared" si="9"/>
        <v>923</v>
      </c>
      <c r="IG79" s="180">
        <f t="shared" si="10"/>
        <v>656</v>
      </c>
      <c r="IH79" s="180">
        <v>196</v>
      </c>
      <c r="II79" s="180">
        <v>2188</v>
      </c>
      <c r="IJ79" s="180">
        <f t="shared" si="11"/>
        <v>2384</v>
      </c>
      <c r="IK79" s="59"/>
      <c r="IL79" s="185" t="s">
        <v>270</v>
      </c>
      <c r="IM79" s="180"/>
      <c r="IN79" s="180">
        <v>30</v>
      </c>
      <c r="IO79" s="180">
        <v>166</v>
      </c>
      <c r="IP79" s="190">
        <f t="shared" si="14"/>
        <v>0</v>
      </c>
      <c r="IQ79" s="190">
        <f t="shared" si="14"/>
        <v>3.2502708559046585E-2</v>
      </c>
      <c r="IR79" s="190">
        <f t="shared" si="14"/>
        <v>0.25304878048780488</v>
      </c>
      <c r="IS79" s="190">
        <f t="shared" si="12"/>
        <v>8.2214765100671147E-2</v>
      </c>
      <c r="IT79" s="197">
        <f t="shared" si="13"/>
        <v>4.5333333333333332</v>
      </c>
      <c r="IU79" s="193"/>
    </row>
    <row r="80" spans="59:261" x14ac:dyDescent="0.3">
      <c r="BG80"/>
      <c r="BH80"/>
      <c r="BI80"/>
      <c r="BJ80"/>
      <c r="CI80"/>
      <c r="CJ80"/>
      <c r="CK80"/>
      <c r="FJ80"/>
      <c r="FK80"/>
      <c r="GP80" s="5" t="s">
        <v>242</v>
      </c>
      <c r="GQ80" s="5">
        <v>115</v>
      </c>
      <c r="GR80" s="5">
        <v>121</v>
      </c>
      <c r="GS80" s="5">
        <v>695</v>
      </c>
      <c r="GT80" s="5">
        <v>3844</v>
      </c>
      <c r="GU80" s="5">
        <v>5097</v>
      </c>
      <c r="GV80" s="5">
        <v>2630</v>
      </c>
      <c r="GW80" s="5">
        <v>931</v>
      </c>
      <c r="GX80" s="5">
        <v>11571</v>
      </c>
      <c r="HC80" s="174" t="s">
        <v>243</v>
      </c>
      <c r="HD80" s="160">
        <v>55</v>
      </c>
      <c r="HE80" s="161">
        <v>1384</v>
      </c>
      <c r="HF80"/>
      <c r="HG80" s="180" t="s">
        <v>270</v>
      </c>
      <c r="HH80" s="180"/>
      <c r="HI80" s="180">
        <v>30</v>
      </c>
      <c r="HJ80" s="180">
        <v>166</v>
      </c>
      <c r="HK80" s="180">
        <v>805</v>
      </c>
      <c r="HL80" s="180">
        <v>893</v>
      </c>
      <c r="HM80" s="180">
        <v>490</v>
      </c>
      <c r="HN80" s="180">
        <v>196</v>
      </c>
      <c r="HO80" s="180">
        <v>2188</v>
      </c>
      <c r="HQ80" s="180" t="s">
        <v>256</v>
      </c>
      <c r="HR80" s="180"/>
      <c r="HS80" s="180"/>
      <c r="HT80" s="180">
        <v>28</v>
      </c>
      <c r="HU80" s="180">
        <v>295</v>
      </c>
      <c r="HV80" s="180">
        <v>657</v>
      </c>
      <c r="HW80" s="180">
        <v>270</v>
      </c>
      <c r="HX80" s="180">
        <v>28</v>
      </c>
      <c r="HY80" s="180">
        <v>1222</v>
      </c>
      <c r="IA80" s="185" t="s">
        <v>256</v>
      </c>
      <c r="IB80" s="180"/>
      <c r="IC80" s="180"/>
      <c r="ID80" s="180">
        <v>28</v>
      </c>
      <c r="IE80" s="180">
        <f t="shared" si="8"/>
        <v>295</v>
      </c>
      <c r="IF80" s="180">
        <f t="shared" si="9"/>
        <v>657</v>
      </c>
      <c r="IG80" s="180">
        <f t="shared" si="10"/>
        <v>298</v>
      </c>
      <c r="IH80" s="180">
        <v>28</v>
      </c>
      <c r="II80" s="180">
        <v>1222</v>
      </c>
      <c r="IJ80" s="180">
        <f t="shared" si="11"/>
        <v>1250</v>
      </c>
      <c r="IK80" s="59"/>
      <c r="IL80" s="185" t="s">
        <v>256</v>
      </c>
      <c r="IM80" s="180"/>
      <c r="IN80" s="180"/>
      <c r="IO80" s="180">
        <v>28</v>
      </c>
      <c r="IP80" s="190">
        <f t="shared" si="14"/>
        <v>0</v>
      </c>
      <c r="IQ80" s="190">
        <f t="shared" si="14"/>
        <v>0</v>
      </c>
      <c r="IR80" s="190">
        <f t="shared" si="14"/>
        <v>9.3959731543624164E-2</v>
      </c>
      <c r="IS80" s="190">
        <f t="shared" si="12"/>
        <v>2.24E-2</v>
      </c>
      <c r="IT80" s="197" t="str">
        <f t="shared" si="13"/>
        <v>-</v>
      </c>
      <c r="IU80" s="193"/>
      <c r="IW80" s="195"/>
      <c r="IX80" s="29"/>
    </row>
    <row r="81" spans="59:258" x14ac:dyDescent="0.3">
      <c r="BG81"/>
      <c r="BH81"/>
      <c r="BI81"/>
      <c r="BJ81"/>
      <c r="CI81"/>
      <c r="CJ81"/>
      <c r="CK81"/>
      <c r="FJ81"/>
      <c r="FK81"/>
      <c r="GP81" s="5" t="s">
        <v>270</v>
      </c>
      <c r="GR81" s="5">
        <v>30</v>
      </c>
      <c r="GS81" s="5">
        <v>166</v>
      </c>
      <c r="GT81" s="5">
        <v>805</v>
      </c>
      <c r="GU81" s="5">
        <v>893</v>
      </c>
      <c r="GV81" s="5">
        <v>490</v>
      </c>
      <c r="GW81" s="5">
        <v>196</v>
      </c>
      <c r="GX81" s="5">
        <v>2188</v>
      </c>
      <c r="HC81" s="174" t="s">
        <v>264</v>
      </c>
      <c r="HD81" s="160">
        <v>167</v>
      </c>
      <c r="HE81" s="161">
        <v>1341</v>
      </c>
      <c r="HF81"/>
      <c r="HG81" s="180" t="s">
        <v>256</v>
      </c>
      <c r="HH81" s="180"/>
      <c r="HI81" s="180"/>
      <c r="HJ81" s="180">
        <v>28</v>
      </c>
      <c r="HK81" s="180">
        <v>295</v>
      </c>
      <c r="HL81" s="180">
        <v>657</v>
      </c>
      <c r="HM81" s="180">
        <v>270</v>
      </c>
      <c r="HN81" s="180">
        <v>28</v>
      </c>
      <c r="HO81" s="180">
        <v>1222</v>
      </c>
      <c r="HQ81" s="183" t="s">
        <v>834</v>
      </c>
      <c r="HR81" s="183">
        <v>140</v>
      </c>
      <c r="HS81" s="183">
        <v>345</v>
      </c>
      <c r="HT81" s="183">
        <v>1303</v>
      </c>
      <c r="HU81" s="183">
        <v>7364</v>
      </c>
      <c r="HV81" s="183">
        <v>9605</v>
      </c>
      <c r="HW81" s="183">
        <v>4624</v>
      </c>
      <c r="HX81" s="183">
        <v>1788</v>
      </c>
      <c r="HY81" s="183">
        <v>21593</v>
      </c>
      <c r="IA81" s="187" t="s">
        <v>834</v>
      </c>
      <c r="IB81" s="183">
        <v>140</v>
      </c>
      <c r="IC81" s="183">
        <v>345</v>
      </c>
      <c r="ID81" s="183">
        <v>1303</v>
      </c>
      <c r="IE81" s="183">
        <f t="shared" si="8"/>
        <v>7504</v>
      </c>
      <c r="IF81" s="183">
        <f t="shared" si="9"/>
        <v>9950</v>
      </c>
      <c r="IG81" s="183">
        <f t="shared" si="10"/>
        <v>5927</v>
      </c>
      <c r="IH81" s="183">
        <v>1788</v>
      </c>
      <c r="II81" s="183">
        <v>21593</v>
      </c>
      <c r="IJ81" s="183">
        <f t="shared" si="11"/>
        <v>23381</v>
      </c>
      <c r="IK81" s="59"/>
      <c r="IL81" s="187" t="s">
        <v>834</v>
      </c>
      <c r="IM81" s="183">
        <v>140</v>
      </c>
      <c r="IN81" s="183">
        <v>345</v>
      </c>
      <c r="IO81" s="183">
        <v>1303</v>
      </c>
      <c r="IP81" s="191">
        <f t="shared" si="14"/>
        <v>1.8656716417910446E-2</v>
      </c>
      <c r="IQ81" s="191">
        <f t="shared" si="14"/>
        <v>3.4673366834170855E-2</v>
      </c>
      <c r="IR81" s="191">
        <f t="shared" si="14"/>
        <v>0.21984140374557112</v>
      </c>
      <c r="IS81" s="191">
        <f t="shared" si="12"/>
        <v>7.6472349343484028E-2</v>
      </c>
      <c r="IT81" s="197">
        <f t="shared" si="13"/>
        <v>2.0507610291766309</v>
      </c>
      <c r="IU81" s="193"/>
      <c r="IX81" s="29"/>
    </row>
    <row r="82" spans="59:258" x14ac:dyDescent="0.3">
      <c r="BG82"/>
      <c r="BH82"/>
      <c r="BI82"/>
      <c r="BJ82"/>
      <c r="CI82"/>
      <c r="CJ82"/>
      <c r="CK82"/>
      <c r="FJ82"/>
      <c r="FK82"/>
      <c r="GP82" s="5" t="s">
        <v>256</v>
      </c>
      <c r="GS82" s="5">
        <v>28</v>
      </c>
      <c r="GT82" s="5">
        <v>295</v>
      </c>
      <c r="GU82" s="5">
        <v>657</v>
      </c>
      <c r="GV82" s="5">
        <v>270</v>
      </c>
      <c r="GW82" s="5">
        <v>28</v>
      </c>
      <c r="GX82" s="5">
        <v>1222</v>
      </c>
      <c r="HC82" s="174" t="s">
        <v>271</v>
      </c>
      <c r="HD82" s="160"/>
      <c r="HE82" s="161">
        <v>1067</v>
      </c>
      <c r="HF82"/>
      <c r="HG82" s="180" t="s">
        <v>834</v>
      </c>
      <c r="HH82" s="180">
        <v>140</v>
      </c>
      <c r="HI82" s="180">
        <v>345</v>
      </c>
      <c r="HJ82" s="180">
        <v>1303</v>
      </c>
      <c r="HK82" s="180">
        <v>7364</v>
      </c>
      <c r="HL82" s="180">
        <v>9605</v>
      </c>
      <c r="HM82" s="180">
        <v>4624</v>
      </c>
      <c r="HN82" s="180">
        <v>1788</v>
      </c>
      <c r="HO82" s="180">
        <v>21593</v>
      </c>
      <c r="HQ82" s="183" t="s">
        <v>47</v>
      </c>
      <c r="HR82" s="183"/>
      <c r="HS82" s="183"/>
      <c r="HT82" s="183"/>
      <c r="HU82" s="183"/>
      <c r="HV82" s="183"/>
      <c r="HW82" s="183"/>
      <c r="HX82" s="183"/>
      <c r="HY82" s="183"/>
      <c r="IA82" s="183" t="s">
        <v>47</v>
      </c>
      <c r="IB82" s="183"/>
      <c r="IC82" s="183"/>
      <c r="ID82" s="183"/>
      <c r="IE82" s="180"/>
      <c r="IF82" s="180"/>
      <c r="IG82" s="180"/>
      <c r="IH82" s="183"/>
      <c r="II82" s="183"/>
      <c r="IJ82" s="183">
        <f t="shared" si="11"/>
        <v>0</v>
      </c>
      <c r="IK82" s="59"/>
      <c r="IL82" s="183" t="s">
        <v>47</v>
      </c>
      <c r="IM82" s="183"/>
      <c r="IN82" s="183"/>
      <c r="IO82" s="183"/>
      <c r="IP82" s="190"/>
      <c r="IQ82" s="190"/>
      <c r="IR82" s="190"/>
      <c r="IS82" s="190"/>
      <c r="IT82" s="197" t="str">
        <f t="shared" si="13"/>
        <v>-</v>
      </c>
      <c r="IU82" s="193"/>
      <c r="IX82" s="29"/>
    </row>
    <row r="83" spans="59:258" x14ac:dyDescent="0.3">
      <c r="BG83"/>
      <c r="BH83"/>
      <c r="BI83"/>
      <c r="BJ83"/>
      <c r="CI83"/>
      <c r="CJ83"/>
      <c r="CK83"/>
      <c r="FJ83"/>
      <c r="FK83"/>
      <c r="GP83" s="5" t="s">
        <v>834</v>
      </c>
      <c r="GQ83" s="5">
        <v>140</v>
      </c>
      <c r="GR83" s="5">
        <v>345</v>
      </c>
      <c r="GS83" s="5">
        <v>1303</v>
      </c>
      <c r="GT83" s="5">
        <v>7364</v>
      </c>
      <c r="GU83" s="5">
        <v>9605</v>
      </c>
      <c r="GV83" s="5">
        <v>4624</v>
      </c>
      <c r="GW83" s="5">
        <v>1788</v>
      </c>
      <c r="GX83" s="5">
        <v>21593</v>
      </c>
      <c r="HC83" s="174" t="s">
        <v>242</v>
      </c>
      <c r="HD83" s="160">
        <v>931</v>
      </c>
      <c r="HE83" s="160">
        <v>11571</v>
      </c>
      <c r="HF83" s="174"/>
      <c r="HG83" s="180" t="s">
        <v>47</v>
      </c>
      <c r="HH83" s="180"/>
      <c r="HI83" s="180"/>
      <c r="HJ83" s="180"/>
      <c r="HK83" s="180"/>
      <c r="HL83" s="180"/>
      <c r="HM83" s="180"/>
      <c r="HN83" s="180"/>
      <c r="HO83" s="180"/>
      <c r="HQ83" s="180" t="s">
        <v>272</v>
      </c>
      <c r="HR83" s="180"/>
      <c r="HS83" s="180"/>
      <c r="HT83" s="180"/>
      <c r="HU83" s="180">
        <v>202</v>
      </c>
      <c r="HV83" s="180">
        <v>350</v>
      </c>
      <c r="HW83" s="180">
        <v>284</v>
      </c>
      <c r="HX83" s="180"/>
      <c r="HY83" s="180">
        <v>836</v>
      </c>
      <c r="IA83" s="185" t="s">
        <v>272</v>
      </c>
      <c r="IB83" s="180"/>
      <c r="IC83" s="180"/>
      <c r="ID83" s="180"/>
      <c r="IE83" s="180">
        <f t="shared" si="8"/>
        <v>202</v>
      </c>
      <c r="IF83" s="180">
        <f t="shared" si="9"/>
        <v>350</v>
      </c>
      <c r="IG83" s="180">
        <f t="shared" si="10"/>
        <v>284</v>
      </c>
      <c r="IH83" s="180"/>
      <c r="II83" s="180">
        <v>836</v>
      </c>
      <c r="IJ83" s="180">
        <f t="shared" si="11"/>
        <v>836</v>
      </c>
      <c r="IK83" s="59"/>
      <c r="IL83" s="185" t="s">
        <v>272</v>
      </c>
      <c r="IM83" s="180"/>
      <c r="IN83" s="180"/>
      <c r="IO83" s="180"/>
      <c r="IP83" s="190">
        <f t="shared" ref="IP83:IR86" si="15">IM83/IE83</f>
        <v>0</v>
      </c>
      <c r="IQ83" s="190">
        <f t="shared" si="15"/>
        <v>0</v>
      </c>
      <c r="IR83" s="190">
        <f t="shared" si="15"/>
        <v>0</v>
      </c>
      <c r="IS83" s="190">
        <f t="shared" si="12"/>
        <v>0</v>
      </c>
      <c r="IT83" s="197" t="str">
        <f t="shared" si="13"/>
        <v>-</v>
      </c>
      <c r="IU83" s="193"/>
      <c r="IW83" s="196"/>
      <c r="IX83" s="193"/>
    </row>
    <row r="84" spans="59:258" x14ac:dyDescent="0.3">
      <c r="BG84"/>
      <c r="BH84"/>
      <c r="BI84"/>
      <c r="BJ84"/>
      <c r="CI84"/>
      <c r="CJ84"/>
      <c r="CK84"/>
      <c r="FJ84"/>
      <c r="FK84"/>
      <c r="GP84" s="5" t="s">
        <v>47</v>
      </c>
      <c r="HC84" s="174" t="s">
        <v>273</v>
      </c>
      <c r="HD84" s="160">
        <v>161</v>
      </c>
      <c r="HE84" s="160">
        <v>691</v>
      </c>
      <c r="HF84" s="174"/>
      <c r="HG84" s="180" t="s">
        <v>272</v>
      </c>
      <c r="HH84" s="180"/>
      <c r="HI84" s="180"/>
      <c r="HJ84" s="180"/>
      <c r="HK84" s="180">
        <v>202</v>
      </c>
      <c r="HL84" s="180">
        <v>350</v>
      </c>
      <c r="HM84" s="180">
        <v>284</v>
      </c>
      <c r="HN84" s="180"/>
      <c r="HO84" s="180">
        <v>836</v>
      </c>
      <c r="HQ84" s="180" t="s">
        <v>257</v>
      </c>
      <c r="HR84" s="180"/>
      <c r="HS84" s="180"/>
      <c r="HT84" s="180">
        <v>48</v>
      </c>
      <c r="HU84" s="180">
        <v>339</v>
      </c>
      <c r="HV84" s="180">
        <v>347</v>
      </c>
      <c r="HW84" s="180">
        <v>110</v>
      </c>
      <c r="HX84" s="180">
        <v>48</v>
      </c>
      <c r="HY84" s="180">
        <v>796</v>
      </c>
      <c r="IA84" s="185" t="s">
        <v>257</v>
      </c>
      <c r="IB84" s="180"/>
      <c r="IC84" s="180"/>
      <c r="ID84" s="180">
        <v>48</v>
      </c>
      <c r="IE84" s="180">
        <f t="shared" si="8"/>
        <v>339</v>
      </c>
      <c r="IF84" s="180">
        <f t="shared" si="9"/>
        <v>347</v>
      </c>
      <c r="IG84" s="180">
        <f t="shared" si="10"/>
        <v>158</v>
      </c>
      <c r="IH84" s="180">
        <v>48</v>
      </c>
      <c r="II84" s="180">
        <v>796</v>
      </c>
      <c r="IJ84" s="180">
        <f t="shared" si="11"/>
        <v>844</v>
      </c>
      <c r="IK84" s="59"/>
      <c r="IL84" s="185" t="s">
        <v>257</v>
      </c>
      <c r="IM84" s="180"/>
      <c r="IN84" s="180"/>
      <c r="IO84" s="180">
        <v>48</v>
      </c>
      <c r="IP84" s="190">
        <f t="shared" si="15"/>
        <v>0</v>
      </c>
      <c r="IQ84" s="190">
        <f t="shared" si="15"/>
        <v>0</v>
      </c>
      <c r="IR84" s="190">
        <f t="shared" si="15"/>
        <v>0.30379746835443039</v>
      </c>
      <c r="IS84" s="190">
        <f t="shared" si="12"/>
        <v>5.6872037914691941E-2</v>
      </c>
      <c r="IT84" s="197" t="str">
        <f t="shared" si="13"/>
        <v>-</v>
      </c>
      <c r="IU84" s="193"/>
    </row>
    <row r="85" spans="59:258" x14ac:dyDescent="0.3">
      <c r="BG85"/>
      <c r="BH85"/>
      <c r="BI85"/>
      <c r="BJ85"/>
      <c r="CI85"/>
      <c r="CJ85"/>
      <c r="CK85"/>
      <c r="FJ85"/>
      <c r="FK85"/>
      <c r="GP85" s="5" t="s">
        <v>272</v>
      </c>
      <c r="GT85" s="5">
        <v>202</v>
      </c>
      <c r="GU85" s="5">
        <v>350</v>
      </c>
      <c r="GV85" s="5">
        <v>284</v>
      </c>
      <c r="GX85" s="5">
        <v>836</v>
      </c>
      <c r="HC85" s="174" t="s">
        <v>268</v>
      </c>
      <c r="HD85" s="160"/>
      <c r="HE85" s="160">
        <v>952</v>
      </c>
      <c r="HF85" s="174"/>
      <c r="HG85" s="180" t="s">
        <v>257</v>
      </c>
      <c r="HH85" s="180"/>
      <c r="HI85" s="180"/>
      <c r="HJ85" s="180">
        <v>48</v>
      </c>
      <c r="HK85" s="180">
        <v>339</v>
      </c>
      <c r="HL85" s="180">
        <v>347</v>
      </c>
      <c r="HM85" s="180">
        <v>110</v>
      </c>
      <c r="HN85" s="180">
        <v>48</v>
      </c>
      <c r="HO85" s="180">
        <v>796</v>
      </c>
      <c r="HQ85" s="180" t="s">
        <v>255</v>
      </c>
      <c r="HR85" s="180"/>
      <c r="HS85" s="180">
        <v>42</v>
      </c>
      <c r="HT85" s="180"/>
      <c r="HU85" s="180">
        <v>459</v>
      </c>
      <c r="HV85" s="180">
        <v>564</v>
      </c>
      <c r="HW85" s="180">
        <v>328</v>
      </c>
      <c r="HX85" s="180">
        <v>42</v>
      </c>
      <c r="HY85" s="180">
        <v>1351</v>
      </c>
      <c r="IA85" s="185" t="s">
        <v>255</v>
      </c>
      <c r="IB85" s="180"/>
      <c r="IC85" s="180">
        <v>42</v>
      </c>
      <c r="ID85" s="180"/>
      <c r="IE85" s="180">
        <f t="shared" si="8"/>
        <v>459</v>
      </c>
      <c r="IF85" s="180">
        <f t="shared" si="9"/>
        <v>606</v>
      </c>
      <c r="IG85" s="180">
        <f t="shared" si="10"/>
        <v>328</v>
      </c>
      <c r="IH85" s="180">
        <v>42</v>
      </c>
      <c r="II85" s="180">
        <v>1351</v>
      </c>
      <c r="IJ85" s="180">
        <f t="shared" si="11"/>
        <v>1393</v>
      </c>
      <c r="IK85" s="59"/>
      <c r="IL85" s="185" t="s">
        <v>255</v>
      </c>
      <c r="IM85" s="180"/>
      <c r="IN85" s="180">
        <v>42</v>
      </c>
      <c r="IO85" s="180"/>
      <c r="IP85" s="190">
        <f t="shared" si="15"/>
        <v>0</v>
      </c>
      <c r="IQ85" s="190">
        <f t="shared" si="15"/>
        <v>6.9306930693069313E-2</v>
      </c>
      <c r="IR85" s="190">
        <f t="shared" si="15"/>
        <v>0</v>
      </c>
      <c r="IS85" s="190">
        <f t="shared" si="12"/>
        <v>3.015075376884422E-2</v>
      </c>
      <c r="IT85" s="197" t="str">
        <f t="shared" si="13"/>
        <v>-</v>
      </c>
      <c r="IU85" s="193"/>
    </row>
    <row r="86" spans="59:258" x14ac:dyDescent="0.3">
      <c r="BG86"/>
      <c r="BH86"/>
      <c r="BI86"/>
      <c r="BJ86"/>
      <c r="CI86"/>
      <c r="CJ86"/>
      <c r="CK86"/>
      <c r="FJ86"/>
      <c r="FK86"/>
      <c r="GP86" s="5" t="s">
        <v>257</v>
      </c>
      <c r="GS86" s="5">
        <v>48</v>
      </c>
      <c r="GT86" s="5">
        <v>339</v>
      </c>
      <c r="GU86" s="5">
        <v>347</v>
      </c>
      <c r="GV86" s="5">
        <v>110</v>
      </c>
      <c r="GW86" s="5">
        <v>48</v>
      </c>
      <c r="GX86" s="5">
        <v>796</v>
      </c>
      <c r="HC86" s="174" t="s">
        <v>257</v>
      </c>
      <c r="HD86" s="160">
        <v>48</v>
      </c>
      <c r="HE86" s="160">
        <v>796</v>
      </c>
      <c r="HF86" s="166"/>
      <c r="HG86" s="180" t="s">
        <v>255</v>
      </c>
      <c r="HH86" s="180"/>
      <c r="HI86" s="180">
        <v>42</v>
      </c>
      <c r="HJ86" s="180"/>
      <c r="HK86" s="180">
        <v>459</v>
      </c>
      <c r="HL86" s="180">
        <v>564</v>
      </c>
      <c r="HM86" s="180">
        <v>328</v>
      </c>
      <c r="HN86" s="180">
        <v>42</v>
      </c>
      <c r="HO86" s="180">
        <v>1351</v>
      </c>
      <c r="HQ86" s="183" t="s">
        <v>829</v>
      </c>
      <c r="HR86" s="183"/>
      <c r="HS86" s="183">
        <v>42</v>
      </c>
      <c r="HT86" s="183">
        <v>48</v>
      </c>
      <c r="HU86" s="183">
        <v>1000</v>
      </c>
      <c r="HV86" s="183">
        <v>1261</v>
      </c>
      <c r="HW86" s="183">
        <v>722</v>
      </c>
      <c r="HX86" s="183">
        <v>90</v>
      </c>
      <c r="HY86" s="183">
        <v>2983</v>
      </c>
      <c r="IA86" s="187" t="s">
        <v>829</v>
      </c>
      <c r="IB86" s="183"/>
      <c r="IC86" s="183">
        <v>42</v>
      </c>
      <c r="ID86" s="183">
        <v>48</v>
      </c>
      <c r="IE86" s="180">
        <f t="shared" si="8"/>
        <v>1000</v>
      </c>
      <c r="IF86" s="180">
        <f t="shared" si="9"/>
        <v>1303</v>
      </c>
      <c r="IG86" s="180">
        <f t="shared" si="10"/>
        <v>770</v>
      </c>
      <c r="IH86" s="183">
        <v>90</v>
      </c>
      <c r="II86" s="183">
        <v>2983</v>
      </c>
      <c r="IJ86" s="183">
        <f t="shared" si="11"/>
        <v>3073</v>
      </c>
      <c r="IK86" s="59"/>
      <c r="IL86" s="187" t="s">
        <v>829</v>
      </c>
      <c r="IM86" s="183"/>
      <c r="IN86" s="183">
        <v>42</v>
      </c>
      <c r="IO86" s="183">
        <v>48</v>
      </c>
      <c r="IP86" s="191">
        <f t="shared" si="15"/>
        <v>0</v>
      </c>
      <c r="IQ86" s="191">
        <f t="shared" si="15"/>
        <v>3.2233307751343053E-2</v>
      </c>
      <c r="IR86" s="191">
        <f t="shared" si="15"/>
        <v>6.2337662337662338E-2</v>
      </c>
      <c r="IS86" s="191">
        <f t="shared" si="12"/>
        <v>2.9287341360234299E-2</v>
      </c>
      <c r="IT86" s="197">
        <f t="shared" si="13"/>
        <v>0.14285714285714279</v>
      </c>
      <c r="IU86" s="193"/>
    </row>
    <row r="87" spans="59:258" x14ac:dyDescent="0.3">
      <c r="BG87"/>
      <c r="BH87"/>
      <c r="BI87"/>
      <c r="BJ87"/>
      <c r="CI87"/>
      <c r="CJ87"/>
      <c r="CK87"/>
      <c r="FJ87"/>
      <c r="FK87"/>
      <c r="GP87" s="5" t="s">
        <v>255</v>
      </c>
      <c r="GR87" s="5">
        <v>42</v>
      </c>
      <c r="GT87" s="5">
        <v>459</v>
      </c>
      <c r="GU87" s="5">
        <v>564</v>
      </c>
      <c r="GV87" s="5">
        <v>328</v>
      </c>
      <c r="GW87" s="5">
        <v>42</v>
      </c>
      <c r="GX87" s="5">
        <v>1351</v>
      </c>
      <c r="HC87" s="174" t="s">
        <v>267</v>
      </c>
      <c r="HD87" s="160">
        <v>146</v>
      </c>
      <c r="HE87" s="160">
        <v>4447</v>
      </c>
      <c r="HF87" s="174"/>
      <c r="HG87" s="180" t="s">
        <v>829</v>
      </c>
      <c r="HH87" s="180"/>
      <c r="HI87" s="180">
        <v>42</v>
      </c>
      <c r="HJ87" s="180">
        <v>48</v>
      </c>
      <c r="HK87" s="180">
        <v>1000</v>
      </c>
      <c r="HL87" s="180">
        <v>1261</v>
      </c>
      <c r="HM87" s="180">
        <v>722</v>
      </c>
      <c r="HN87" s="180">
        <v>90</v>
      </c>
      <c r="HO87" s="180">
        <v>2983</v>
      </c>
      <c r="HQ87" s="183" t="s">
        <v>54</v>
      </c>
      <c r="HR87" s="183"/>
      <c r="HS87" s="183"/>
      <c r="HT87" s="183"/>
      <c r="HU87" s="183"/>
      <c r="HV87" s="183"/>
      <c r="HW87" s="183"/>
      <c r="HX87" s="183"/>
      <c r="HY87" s="183"/>
      <c r="IA87" s="183" t="s">
        <v>54</v>
      </c>
      <c r="IB87" s="183"/>
      <c r="IC87" s="183"/>
      <c r="ID87" s="183"/>
      <c r="IE87" s="180">
        <f t="shared" si="8"/>
        <v>0</v>
      </c>
      <c r="IF87" s="180">
        <f t="shared" si="9"/>
        <v>0</v>
      </c>
      <c r="IG87" s="180">
        <f t="shared" si="10"/>
        <v>0</v>
      </c>
      <c r="IH87" s="183"/>
      <c r="II87" s="183"/>
      <c r="IJ87" s="183">
        <f t="shared" si="11"/>
        <v>0</v>
      </c>
      <c r="IK87" s="59"/>
      <c r="IL87" s="183" t="s">
        <v>54</v>
      </c>
      <c r="IM87" s="183"/>
      <c r="IN87" s="183"/>
      <c r="IO87" s="183"/>
      <c r="IP87" s="190"/>
      <c r="IQ87" s="190"/>
      <c r="IR87" s="190"/>
      <c r="IS87" s="190"/>
      <c r="IT87" s="197" t="str">
        <f t="shared" si="13"/>
        <v>-</v>
      </c>
      <c r="IU87" s="193"/>
    </row>
    <row r="88" spans="59:258" x14ac:dyDescent="0.3">
      <c r="BG88"/>
      <c r="BH88"/>
      <c r="BI88"/>
      <c r="BJ88"/>
      <c r="CI88"/>
      <c r="CJ88"/>
      <c r="CK88"/>
      <c r="FJ88"/>
      <c r="FK88"/>
      <c r="GP88" s="5" t="s">
        <v>829</v>
      </c>
      <c r="GR88" s="5">
        <v>42</v>
      </c>
      <c r="GS88" s="5">
        <v>48</v>
      </c>
      <c r="GT88" s="5">
        <v>1000</v>
      </c>
      <c r="GU88" s="5">
        <v>1261</v>
      </c>
      <c r="GV88" s="5">
        <v>722</v>
      </c>
      <c r="GW88" s="5">
        <v>90</v>
      </c>
      <c r="GX88" s="5">
        <v>2983</v>
      </c>
      <c r="HC88" s="174" t="s">
        <v>247</v>
      </c>
      <c r="HD88" s="160">
        <v>42</v>
      </c>
      <c r="HE88" s="160">
        <v>931</v>
      </c>
      <c r="HF88" s="174"/>
      <c r="HG88" s="180" t="s">
        <v>54</v>
      </c>
      <c r="HH88" s="180"/>
      <c r="HI88" s="180"/>
      <c r="HJ88" s="180"/>
      <c r="HK88" s="180"/>
      <c r="HL88" s="180"/>
      <c r="HM88" s="180"/>
      <c r="HN88" s="180"/>
      <c r="HO88" s="180"/>
      <c r="HQ88" s="180" t="s">
        <v>260</v>
      </c>
      <c r="HR88" s="180">
        <v>110</v>
      </c>
      <c r="HS88" s="180">
        <v>277</v>
      </c>
      <c r="HT88" s="180">
        <v>281</v>
      </c>
      <c r="HU88" s="180">
        <v>874</v>
      </c>
      <c r="HV88" s="180">
        <v>951</v>
      </c>
      <c r="HW88" s="180">
        <v>594</v>
      </c>
      <c r="HX88" s="180">
        <v>668</v>
      </c>
      <c r="HY88" s="180">
        <v>2419</v>
      </c>
      <c r="IA88" s="185" t="s">
        <v>260</v>
      </c>
      <c r="IB88" s="180">
        <v>110</v>
      </c>
      <c r="IC88" s="180">
        <v>277</v>
      </c>
      <c r="ID88" s="180">
        <v>281</v>
      </c>
      <c r="IE88" s="180">
        <f t="shared" si="8"/>
        <v>984</v>
      </c>
      <c r="IF88" s="180">
        <f t="shared" si="9"/>
        <v>1228</v>
      </c>
      <c r="IG88" s="180">
        <f t="shared" si="10"/>
        <v>875</v>
      </c>
      <c r="IH88" s="180">
        <v>668</v>
      </c>
      <c r="II88" s="180">
        <v>2419</v>
      </c>
      <c r="IJ88" s="180">
        <f t="shared" si="11"/>
        <v>3087</v>
      </c>
      <c r="IK88" s="59"/>
      <c r="IL88" s="185" t="s">
        <v>260</v>
      </c>
      <c r="IM88" s="180">
        <v>110</v>
      </c>
      <c r="IN88" s="180">
        <v>277</v>
      </c>
      <c r="IO88" s="180">
        <v>281</v>
      </c>
      <c r="IP88" s="190">
        <f t="shared" ref="IP88:IR92" si="16">IM88/IE88</f>
        <v>0.11178861788617886</v>
      </c>
      <c r="IQ88" s="190">
        <f t="shared" si="16"/>
        <v>0.22557003257328989</v>
      </c>
      <c r="IR88" s="190">
        <f t="shared" si="16"/>
        <v>0.32114285714285712</v>
      </c>
      <c r="IS88" s="190">
        <f t="shared" si="12"/>
        <v>0.21639131843213477</v>
      </c>
      <c r="IT88" s="197">
        <f t="shared" si="13"/>
        <v>0.59829454561587458</v>
      </c>
      <c r="IU88" s="193"/>
    </row>
    <row r="89" spans="59:258" x14ac:dyDescent="0.3">
      <c r="BH89"/>
      <c r="BI89"/>
      <c r="BJ89"/>
      <c r="CI89"/>
      <c r="CJ89"/>
      <c r="CK89"/>
      <c r="FJ89"/>
      <c r="FK89"/>
      <c r="GP89" s="5" t="s">
        <v>54</v>
      </c>
      <c r="HC89" s="174" t="s">
        <v>266</v>
      </c>
      <c r="HD89" s="160">
        <v>162</v>
      </c>
      <c r="HE89" s="160">
        <v>5142</v>
      </c>
      <c r="HF89" s="174"/>
      <c r="HG89" s="180" t="s">
        <v>260</v>
      </c>
      <c r="HH89" s="180">
        <v>110</v>
      </c>
      <c r="HI89" s="180">
        <v>277</v>
      </c>
      <c r="HJ89" s="180">
        <v>281</v>
      </c>
      <c r="HK89" s="180">
        <v>874</v>
      </c>
      <c r="HL89" s="180">
        <v>951</v>
      </c>
      <c r="HM89" s="180">
        <v>594</v>
      </c>
      <c r="HN89" s="180">
        <v>668</v>
      </c>
      <c r="HO89" s="180">
        <v>2419</v>
      </c>
      <c r="HQ89" s="180" t="s">
        <v>259</v>
      </c>
      <c r="HR89" s="180">
        <v>33</v>
      </c>
      <c r="HS89" s="180">
        <v>144</v>
      </c>
      <c r="HT89" s="180">
        <v>126</v>
      </c>
      <c r="HU89" s="180">
        <v>862</v>
      </c>
      <c r="HV89" s="180">
        <v>945</v>
      </c>
      <c r="HW89" s="180">
        <v>722</v>
      </c>
      <c r="HX89" s="180">
        <v>303</v>
      </c>
      <c r="HY89" s="180">
        <v>2529</v>
      </c>
      <c r="IA89" s="185" t="s">
        <v>259</v>
      </c>
      <c r="IB89" s="180">
        <v>33</v>
      </c>
      <c r="IC89" s="180">
        <v>144</v>
      </c>
      <c r="ID89" s="180">
        <v>126</v>
      </c>
      <c r="IE89" s="180">
        <f t="shared" si="8"/>
        <v>895</v>
      </c>
      <c r="IF89" s="180">
        <f t="shared" si="9"/>
        <v>1089</v>
      </c>
      <c r="IG89" s="180">
        <f t="shared" si="10"/>
        <v>848</v>
      </c>
      <c r="IH89" s="180">
        <v>303</v>
      </c>
      <c r="II89" s="180">
        <v>2529</v>
      </c>
      <c r="IJ89" s="180">
        <f t="shared" si="11"/>
        <v>2832</v>
      </c>
      <c r="IK89" s="59"/>
      <c r="IL89" s="185" t="s">
        <v>259</v>
      </c>
      <c r="IM89" s="180">
        <v>33</v>
      </c>
      <c r="IN89" s="180">
        <v>144</v>
      </c>
      <c r="IO89" s="180">
        <v>126</v>
      </c>
      <c r="IP89" s="190">
        <f t="shared" si="16"/>
        <v>3.6871508379888271E-2</v>
      </c>
      <c r="IQ89" s="190">
        <f t="shared" si="16"/>
        <v>0.13223140495867769</v>
      </c>
      <c r="IR89" s="190">
        <f t="shared" si="16"/>
        <v>0.14858490566037735</v>
      </c>
      <c r="IS89" s="190">
        <f t="shared" si="12"/>
        <v>0.10699152542372882</v>
      </c>
      <c r="IT89" s="197">
        <f t="shared" si="13"/>
        <v>0.95401684183678892</v>
      </c>
      <c r="IU89" s="193"/>
    </row>
    <row r="90" spans="59:258" x14ac:dyDescent="0.3">
      <c r="BH90"/>
      <c r="BI90"/>
      <c r="BJ90"/>
      <c r="CI90"/>
      <c r="CJ90"/>
      <c r="CK90"/>
      <c r="FJ90"/>
      <c r="FK90"/>
      <c r="GP90" s="5" t="s">
        <v>260</v>
      </c>
      <c r="GQ90" s="5">
        <v>110</v>
      </c>
      <c r="GR90" s="5">
        <v>277</v>
      </c>
      <c r="GS90" s="5">
        <v>281</v>
      </c>
      <c r="GT90" s="5">
        <v>874</v>
      </c>
      <c r="GU90" s="5">
        <v>951</v>
      </c>
      <c r="GV90" s="5">
        <v>594</v>
      </c>
      <c r="GW90" s="5">
        <v>668</v>
      </c>
      <c r="GX90" s="5">
        <v>2419</v>
      </c>
      <c r="HC90" s="174" t="s">
        <v>249</v>
      </c>
      <c r="HD90" s="160">
        <v>205</v>
      </c>
      <c r="HE90" s="160">
        <v>3015</v>
      </c>
      <c r="HF90" s="174"/>
      <c r="HG90" s="180" t="s">
        <v>259</v>
      </c>
      <c r="HH90" s="180">
        <v>33</v>
      </c>
      <c r="HI90" s="180">
        <v>144</v>
      </c>
      <c r="HJ90" s="180">
        <v>126</v>
      </c>
      <c r="HK90" s="180">
        <v>862</v>
      </c>
      <c r="HL90" s="180">
        <v>945</v>
      </c>
      <c r="HM90" s="180">
        <v>722</v>
      </c>
      <c r="HN90" s="180">
        <v>303</v>
      </c>
      <c r="HO90" s="180">
        <v>2529</v>
      </c>
      <c r="HQ90" s="180" t="s">
        <v>273</v>
      </c>
      <c r="HR90" s="180">
        <v>46</v>
      </c>
      <c r="HS90" s="180">
        <v>35</v>
      </c>
      <c r="HT90" s="180">
        <v>80</v>
      </c>
      <c r="HU90" s="180">
        <v>91</v>
      </c>
      <c r="HV90" s="180">
        <v>556</v>
      </c>
      <c r="HW90" s="180">
        <v>44</v>
      </c>
      <c r="HX90" s="180">
        <v>161</v>
      </c>
      <c r="HY90" s="180">
        <v>691</v>
      </c>
      <c r="IA90" s="185" t="s">
        <v>273</v>
      </c>
      <c r="IB90" s="180">
        <v>46</v>
      </c>
      <c r="IC90" s="180">
        <v>35</v>
      </c>
      <c r="ID90" s="180">
        <v>80</v>
      </c>
      <c r="IE90" s="180">
        <f t="shared" si="8"/>
        <v>137</v>
      </c>
      <c r="IF90" s="180">
        <f t="shared" si="9"/>
        <v>591</v>
      </c>
      <c r="IG90" s="180">
        <f t="shared" si="10"/>
        <v>124</v>
      </c>
      <c r="IH90" s="180">
        <v>161</v>
      </c>
      <c r="II90" s="180">
        <v>691</v>
      </c>
      <c r="IJ90" s="180">
        <f t="shared" si="11"/>
        <v>852</v>
      </c>
      <c r="IK90" s="59"/>
      <c r="IL90" s="185" t="s">
        <v>273</v>
      </c>
      <c r="IM90" s="180">
        <v>46</v>
      </c>
      <c r="IN90" s="180">
        <v>35</v>
      </c>
      <c r="IO90" s="180">
        <v>80</v>
      </c>
      <c r="IP90" s="190">
        <f t="shared" si="16"/>
        <v>0.33576642335766421</v>
      </c>
      <c r="IQ90" s="190">
        <f t="shared" si="16"/>
        <v>5.9221658206429779E-2</v>
      </c>
      <c r="IR90" s="190">
        <f t="shared" si="16"/>
        <v>0.64516129032258063</v>
      </c>
      <c r="IS90" s="190">
        <f t="shared" si="12"/>
        <v>0.18896713615023475</v>
      </c>
      <c r="IT90" s="197">
        <f t="shared" si="13"/>
        <v>0.31876094679157396</v>
      </c>
      <c r="IU90" s="193"/>
    </row>
    <row r="91" spans="59:258" x14ac:dyDescent="0.3">
      <c r="BI91"/>
      <c r="BJ91"/>
      <c r="CI91"/>
      <c r="CJ91"/>
      <c r="CK91"/>
      <c r="FJ91"/>
      <c r="FK91"/>
      <c r="GP91" s="5" t="s">
        <v>259</v>
      </c>
      <c r="GQ91" s="5">
        <v>33</v>
      </c>
      <c r="GR91" s="5">
        <v>144</v>
      </c>
      <c r="GS91" s="5">
        <v>126</v>
      </c>
      <c r="GT91" s="5">
        <v>862</v>
      </c>
      <c r="GU91" s="5">
        <v>945</v>
      </c>
      <c r="GV91" s="5">
        <v>722</v>
      </c>
      <c r="GW91" s="5">
        <v>303</v>
      </c>
      <c r="GX91" s="5">
        <v>2529</v>
      </c>
      <c r="HC91" s="174" t="s">
        <v>270</v>
      </c>
      <c r="HD91" s="160">
        <v>196</v>
      </c>
      <c r="HE91" s="160">
        <v>2188</v>
      </c>
      <c r="HF91" s="174"/>
      <c r="HG91" s="180" t="s">
        <v>273</v>
      </c>
      <c r="HH91" s="180">
        <v>46</v>
      </c>
      <c r="HI91" s="180">
        <v>35</v>
      </c>
      <c r="HJ91" s="180">
        <v>80</v>
      </c>
      <c r="HK91" s="180">
        <v>91</v>
      </c>
      <c r="HL91" s="180">
        <v>556</v>
      </c>
      <c r="HM91" s="180">
        <v>44</v>
      </c>
      <c r="HN91" s="180">
        <v>161</v>
      </c>
      <c r="HO91" s="180">
        <v>691</v>
      </c>
      <c r="HQ91" s="180" t="s">
        <v>258</v>
      </c>
      <c r="HR91" s="180">
        <v>98</v>
      </c>
      <c r="HS91" s="180">
        <v>68</v>
      </c>
      <c r="HT91" s="180">
        <v>37</v>
      </c>
      <c r="HU91" s="180">
        <v>730</v>
      </c>
      <c r="HV91" s="180">
        <v>961</v>
      </c>
      <c r="HW91" s="180">
        <v>284</v>
      </c>
      <c r="HX91" s="180">
        <v>203</v>
      </c>
      <c r="HY91" s="180">
        <v>1975</v>
      </c>
      <c r="IA91" s="185" t="s">
        <v>258</v>
      </c>
      <c r="IB91" s="180">
        <v>98</v>
      </c>
      <c r="IC91" s="180">
        <v>68</v>
      </c>
      <c r="ID91" s="180">
        <v>37</v>
      </c>
      <c r="IE91" s="180">
        <f t="shared" si="8"/>
        <v>828</v>
      </c>
      <c r="IF91" s="180">
        <f t="shared" si="9"/>
        <v>1029</v>
      </c>
      <c r="IG91" s="180">
        <f t="shared" si="10"/>
        <v>321</v>
      </c>
      <c r="IH91" s="180">
        <v>203</v>
      </c>
      <c r="II91" s="180">
        <v>1975</v>
      </c>
      <c r="IJ91" s="180">
        <f t="shared" si="11"/>
        <v>2178</v>
      </c>
      <c r="IK91" s="59"/>
      <c r="IL91" s="185" t="s">
        <v>258</v>
      </c>
      <c r="IM91" s="180">
        <v>98</v>
      </c>
      <c r="IN91" s="180">
        <v>68</v>
      </c>
      <c r="IO91" s="180">
        <v>37</v>
      </c>
      <c r="IP91" s="190">
        <f t="shared" si="16"/>
        <v>0.11835748792270531</v>
      </c>
      <c r="IQ91" s="190">
        <f t="shared" si="16"/>
        <v>6.6083576287657916E-2</v>
      </c>
      <c r="IR91" s="190">
        <f t="shared" si="16"/>
        <v>0.11526479750778816</v>
      </c>
      <c r="IS91" s="190">
        <f t="shared" si="12"/>
        <v>9.3204775022956834E-2</v>
      </c>
      <c r="IT91" s="197">
        <f t="shared" si="13"/>
        <v>-0.38554819521124095</v>
      </c>
      <c r="IU91" s="193"/>
    </row>
    <row r="92" spans="59:258" x14ac:dyDescent="0.3">
      <c r="BI92"/>
      <c r="BJ92"/>
      <c r="CI92"/>
      <c r="CJ92"/>
      <c r="CK92"/>
      <c r="FJ92"/>
      <c r="FK92"/>
      <c r="GP92" s="5" t="s">
        <v>273</v>
      </c>
      <c r="GQ92" s="5">
        <v>46</v>
      </c>
      <c r="GR92" s="5">
        <v>35</v>
      </c>
      <c r="GS92" s="5">
        <v>80</v>
      </c>
      <c r="GT92" s="5">
        <v>91</v>
      </c>
      <c r="GU92" s="5">
        <v>556</v>
      </c>
      <c r="GV92" s="5">
        <v>44</v>
      </c>
      <c r="GW92" s="5">
        <v>161</v>
      </c>
      <c r="GX92" s="5">
        <v>691</v>
      </c>
      <c r="HC92" s="174" t="s">
        <v>256</v>
      </c>
      <c r="HD92" s="160">
        <v>28</v>
      </c>
      <c r="HE92" s="160">
        <v>1222</v>
      </c>
      <c r="HF92" s="174"/>
      <c r="HG92" s="180" t="s">
        <v>258</v>
      </c>
      <c r="HH92" s="180">
        <v>98</v>
      </c>
      <c r="HI92" s="180">
        <v>68</v>
      </c>
      <c r="HJ92" s="180">
        <v>37</v>
      </c>
      <c r="HK92" s="180">
        <v>730</v>
      </c>
      <c r="HL92" s="180">
        <v>961</v>
      </c>
      <c r="HM92" s="180">
        <v>284</v>
      </c>
      <c r="HN92" s="180">
        <v>203</v>
      </c>
      <c r="HO92" s="180">
        <v>1975</v>
      </c>
      <c r="HQ92" s="183" t="s">
        <v>832</v>
      </c>
      <c r="HR92" s="183">
        <v>287</v>
      </c>
      <c r="HS92" s="183">
        <v>524</v>
      </c>
      <c r="HT92" s="183">
        <v>524</v>
      </c>
      <c r="HU92" s="183">
        <v>2557</v>
      </c>
      <c r="HV92" s="183">
        <v>3413</v>
      </c>
      <c r="HW92" s="183">
        <v>1644</v>
      </c>
      <c r="HX92" s="183">
        <v>1335</v>
      </c>
      <c r="HY92" s="183">
        <v>7614</v>
      </c>
      <c r="IA92" s="187" t="s">
        <v>832</v>
      </c>
      <c r="IB92" s="183">
        <v>287</v>
      </c>
      <c r="IC92" s="183">
        <v>524</v>
      </c>
      <c r="ID92" s="183">
        <v>524</v>
      </c>
      <c r="IE92" s="183">
        <f t="shared" si="8"/>
        <v>2844</v>
      </c>
      <c r="IF92" s="183">
        <f t="shared" si="9"/>
        <v>3937</v>
      </c>
      <c r="IG92" s="183">
        <f t="shared" si="10"/>
        <v>2168</v>
      </c>
      <c r="IH92" s="183">
        <v>1335</v>
      </c>
      <c r="II92" s="183">
        <v>7614</v>
      </c>
      <c r="IJ92" s="183">
        <f t="shared" si="11"/>
        <v>8949</v>
      </c>
      <c r="IK92" s="59"/>
      <c r="IL92" s="187" t="s">
        <v>832</v>
      </c>
      <c r="IM92" s="183">
        <v>287</v>
      </c>
      <c r="IN92" s="183">
        <v>524</v>
      </c>
      <c r="IO92" s="183">
        <v>524</v>
      </c>
      <c r="IP92" s="191">
        <f t="shared" si="16"/>
        <v>0.10091420534458509</v>
      </c>
      <c r="IQ92" s="191">
        <f t="shared" si="16"/>
        <v>0.1330962661925324</v>
      </c>
      <c r="IR92" s="191">
        <f t="shared" si="16"/>
        <v>0.24169741697416974</v>
      </c>
      <c r="IS92" s="191">
        <f t="shared" si="12"/>
        <v>0.14917867918203151</v>
      </c>
      <c r="IT92" s="197">
        <f t="shared" si="13"/>
        <v>0.3512157385574799</v>
      </c>
      <c r="IU92" s="193"/>
    </row>
    <row r="93" spans="59:258" x14ac:dyDescent="0.3">
      <c r="BI93"/>
      <c r="BJ93"/>
      <c r="CI93"/>
      <c r="CJ93"/>
      <c r="CK93"/>
      <c r="FJ93"/>
      <c r="FK93"/>
      <c r="GP93" s="5" t="s">
        <v>258</v>
      </c>
      <c r="GQ93" s="5">
        <v>98</v>
      </c>
      <c r="GR93" s="5">
        <v>68</v>
      </c>
      <c r="GS93" s="5">
        <v>37</v>
      </c>
      <c r="GT93" s="5">
        <v>730</v>
      </c>
      <c r="GU93" s="5">
        <v>961</v>
      </c>
      <c r="GV93" s="5">
        <v>284</v>
      </c>
      <c r="GW93" s="5">
        <v>203</v>
      </c>
      <c r="GX93" s="5">
        <v>1975</v>
      </c>
      <c r="HC93" s="174" t="s">
        <v>258</v>
      </c>
      <c r="HD93" s="160">
        <v>203</v>
      </c>
      <c r="HE93" s="160">
        <v>1975</v>
      </c>
      <c r="HF93" s="174"/>
      <c r="HG93" s="180" t="s">
        <v>832</v>
      </c>
      <c r="HH93" s="180">
        <v>287</v>
      </c>
      <c r="HI93" s="180">
        <v>524</v>
      </c>
      <c r="HJ93" s="180">
        <v>524</v>
      </c>
      <c r="HK93" s="180">
        <v>2557</v>
      </c>
      <c r="HL93" s="180">
        <v>3413</v>
      </c>
      <c r="HM93" s="180">
        <v>1644</v>
      </c>
      <c r="HN93" s="180">
        <v>1335</v>
      </c>
      <c r="HO93" s="180">
        <v>7614</v>
      </c>
      <c r="HQ93" s="183" t="s">
        <v>68</v>
      </c>
      <c r="HR93" s="183"/>
      <c r="HS93" s="183"/>
      <c r="HT93" s="183"/>
      <c r="HU93" s="183"/>
      <c r="HV93" s="183"/>
      <c r="HW93" s="183"/>
      <c r="HX93" s="183"/>
      <c r="HY93" s="183"/>
      <c r="IA93" s="183" t="s">
        <v>68</v>
      </c>
      <c r="IB93" s="183"/>
      <c r="IC93" s="183"/>
      <c r="ID93" s="183"/>
      <c r="IE93" s="180"/>
      <c r="IF93" s="180"/>
      <c r="IG93" s="180"/>
      <c r="IH93" s="183"/>
      <c r="II93" s="183"/>
      <c r="IJ93" s="183">
        <f t="shared" si="11"/>
        <v>0</v>
      </c>
      <c r="IK93" s="59"/>
      <c r="IL93" s="183" t="s">
        <v>68</v>
      </c>
      <c r="IM93" s="183"/>
      <c r="IN93" s="183"/>
      <c r="IO93" s="183"/>
      <c r="IP93" s="190"/>
      <c r="IQ93" s="190"/>
      <c r="IR93" s="190"/>
      <c r="IS93" s="190"/>
      <c r="IT93" s="197" t="str">
        <f t="shared" si="13"/>
        <v>-</v>
      </c>
      <c r="IU93" s="193"/>
    </row>
    <row r="94" spans="59:258" x14ac:dyDescent="0.3">
      <c r="BI94"/>
      <c r="BJ94"/>
      <c r="CI94"/>
      <c r="CJ94"/>
      <c r="CK94"/>
      <c r="FJ94"/>
      <c r="FK94"/>
      <c r="GP94" s="5" t="s">
        <v>832</v>
      </c>
      <c r="GQ94" s="5">
        <v>287</v>
      </c>
      <c r="GR94" s="5">
        <v>524</v>
      </c>
      <c r="GS94" s="5">
        <v>524</v>
      </c>
      <c r="GT94" s="5">
        <v>2557</v>
      </c>
      <c r="GU94" s="5">
        <v>3413</v>
      </c>
      <c r="GV94" s="5">
        <v>1644</v>
      </c>
      <c r="GW94" s="5">
        <v>1335</v>
      </c>
      <c r="GX94" s="5">
        <v>7614</v>
      </c>
      <c r="HC94" s="174" t="s">
        <v>255</v>
      </c>
      <c r="HD94" s="160">
        <v>42</v>
      </c>
      <c r="HE94" s="160">
        <v>1351</v>
      </c>
      <c r="HF94" s="174"/>
      <c r="HG94" s="180" t="s">
        <v>68</v>
      </c>
      <c r="HH94" s="180"/>
      <c r="HI94" s="180"/>
      <c r="HJ94" s="180"/>
      <c r="HK94" s="180"/>
      <c r="HL94" s="180"/>
      <c r="HM94" s="180"/>
      <c r="HN94" s="180"/>
      <c r="HO94" s="180"/>
      <c r="HQ94" s="180" t="s">
        <v>271</v>
      </c>
      <c r="HR94" s="180"/>
      <c r="HS94" s="180"/>
      <c r="HT94" s="180"/>
      <c r="HU94" s="180">
        <v>261</v>
      </c>
      <c r="HV94" s="180">
        <v>418</v>
      </c>
      <c r="HW94" s="180">
        <v>388</v>
      </c>
      <c r="HX94" s="180"/>
      <c r="HY94" s="180">
        <v>1067</v>
      </c>
      <c r="IA94" s="185" t="s">
        <v>271</v>
      </c>
      <c r="IB94" s="180"/>
      <c r="IC94" s="180"/>
      <c r="ID94" s="180"/>
      <c r="IE94" s="180">
        <f t="shared" si="8"/>
        <v>261</v>
      </c>
      <c r="IF94" s="180">
        <f t="shared" si="9"/>
        <v>418</v>
      </c>
      <c r="IG94" s="180">
        <f t="shared" si="10"/>
        <v>388</v>
      </c>
      <c r="IH94" s="180"/>
      <c r="II94" s="180">
        <v>1067</v>
      </c>
      <c r="IJ94" s="180">
        <f t="shared" si="11"/>
        <v>1067</v>
      </c>
      <c r="IK94" s="59"/>
      <c r="IL94" s="185" t="s">
        <v>271</v>
      </c>
      <c r="IM94" s="180"/>
      <c r="IN94" s="180"/>
      <c r="IO94" s="180"/>
      <c r="IP94" s="190">
        <f t="shared" ref="IP94:IR99" si="17">IM94/IE94</f>
        <v>0</v>
      </c>
      <c r="IQ94" s="190">
        <f t="shared" si="17"/>
        <v>0</v>
      </c>
      <c r="IR94" s="190">
        <f t="shared" si="17"/>
        <v>0</v>
      </c>
      <c r="IS94" s="190">
        <f t="shared" si="12"/>
        <v>0</v>
      </c>
      <c r="IT94" s="197" t="str">
        <f t="shared" si="13"/>
        <v>-</v>
      </c>
      <c r="IU94" s="193"/>
    </row>
    <row r="95" spans="59:258" x14ac:dyDescent="0.3">
      <c r="BI95"/>
      <c r="BJ95"/>
      <c r="CI95"/>
      <c r="CJ95"/>
      <c r="CK95"/>
      <c r="FJ95"/>
      <c r="FK95"/>
      <c r="GP95" s="5" t="s">
        <v>68</v>
      </c>
      <c r="HC95" s="174" t="s">
        <v>269</v>
      </c>
      <c r="HD95" s="160"/>
      <c r="HE95" s="160">
        <v>1673</v>
      </c>
      <c r="HF95" s="174"/>
      <c r="HG95" s="180" t="s">
        <v>271</v>
      </c>
      <c r="HH95" s="180"/>
      <c r="HI95" s="180"/>
      <c r="HJ95" s="180"/>
      <c r="HK95" s="180">
        <v>261</v>
      </c>
      <c r="HL95" s="180">
        <v>418</v>
      </c>
      <c r="HM95" s="180">
        <v>388</v>
      </c>
      <c r="HN95" s="180"/>
      <c r="HO95" s="180">
        <v>1067</v>
      </c>
      <c r="HQ95" s="180" t="s">
        <v>268</v>
      </c>
      <c r="HR95" s="180"/>
      <c r="HS95" s="180"/>
      <c r="HT95" s="180"/>
      <c r="HU95" s="180">
        <v>173</v>
      </c>
      <c r="HV95" s="180">
        <v>375</v>
      </c>
      <c r="HW95" s="180">
        <v>404</v>
      </c>
      <c r="HX95" s="180"/>
      <c r="HY95" s="180">
        <v>952</v>
      </c>
      <c r="IA95" s="185" t="s">
        <v>268</v>
      </c>
      <c r="IB95" s="180"/>
      <c r="IC95" s="180"/>
      <c r="ID95" s="180"/>
      <c r="IE95" s="180">
        <f t="shared" si="8"/>
        <v>173</v>
      </c>
      <c r="IF95" s="180">
        <f t="shared" si="9"/>
        <v>375</v>
      </c>
      <c r="IG95" s="180">
        <f t="shared" si="10"/>
        <v>404</v>
      </c>
      <c r="IH95" s="180"/>
      <c r="II95" s="180">
        <v>952</v>
      </c>
      <c r="IJ95" s="180">
        <f t="shared" si="11"/>
        <v>952</v>
      </c>
      <c r="IK95" s="59"/>
      <c r="IL95" s="185" t="s">
        <v>268</v>
      </c>
      <c r="IM95" s="180"/>
      <c r="IN95" s="180"/>
      <c r="IO95" s="180"/>
      <c r="IP95" s="190">
        <f t="shared" si="17"/>
        <v>0</v>
      </c>
      <c r="IQ95" s="190">
        <f t="shared" si="17"/>
        <v>0</v>
      </c>
      <c r="IR95" s="190">
        <f t="shared" si="17"/>
        <v>0</v>
      </c>
      <c r="IS95" s="190">
        <f t="shared" si="12"/>
        <v>0</v>
      </c>
      <c r="IT95" s="197" t="str">
        <f t="shared" si="13"/>
        <v>-</v>
      </c>
      <c r="IU95" s="193"/>
    </row>
    <row r="96" spans="59:258" x14ac:dyDescent="0.3">
      <c r="BI96"/>
      <c r="BJ96"/>
      <c r="CI96"/>
      <c r="CJ96"/>
      <c r="CK96"/>
      <c r="FJ96"/>
      <c r="FK96"/>
      <c r="GP96" s="5" t="s">
        <v>271</v>
      </c>
      <c r="GT96" s="5">
        <v>261</v>
      </c>
      <c r="GU96" s="5">
        <v>418</v>
      </c>
      <c r="GV96" s="5">
        <v>388</v>
      </c>
      <c r="GX96" s="5">
        <v>1067</v>
      </c>
      <c r="HC96" s="174" t="s">
        <v>262</v>
      </c>
      <c r="HD96" s="160">
        <v>87</v>
      </c>
      <c r="HE96" s="160">
        <v>928</v>
      </c>
      <c r="HF96" s="174"/>
      <c r="HG96" s="180" t="s">
        <v>268</v>
      </c>
      <c r="HH96" s="180"/>
      <c r="HI96" s="180"/>
      <c r="HJ96" s="180"/>
      <c r="HK96" s="180">
        <v>173</v>
      </c>
      <c r="HL96" s="180">
        <v>375</v>
      </c>
      <c r="HM96" s="180">
        <v>404</v>
      </c>
      <c r="HN96" s="180"/>
      <c r="HO96" s="180">
        <v>952</v>
      </c>
      <c r="HQ96" s="180" t="s">
        <v>267</v>
      </c>
      <c r="HR96" s="180"/>
      <c r="HS96" s="180"/>
      <c r="HT96" s="180">
        <v>146</v>
      </c>
      <c r="HU96" s="180">
        <v>1379</v>
      </c>
      <c r="HV96" s="180">
        <v>1782</v>
      </c>
      <c r="HW96" s="180">
        <v>1286</v>
      </c>
      <c r="HX96" s="180">
        <v>146</v>
      </c>
      <c r="HY96" s="180">
        <v>4447</v>
      </c>
      <c r="IA96" s="185" t="s">
        <v>267</v>
      </c>
      <c r="IB96" s="180"/>
      <c r="IC96" s="180"/>
      <c r="ID96" s="180">
        <v>146</v>
      </c>
      <c r="IE96" s="180">
        <f t="shared" si="8"/>
        <v>1379</v>
      </c>
      <c r="IF96" s="180">
        <f t="shared" si="9"/>
        <v>1782</v>
      </c>
      <c r="IG96" s="180">
        <f t="shared" si="10"/>
        <v>1432</v>
      </c>
      <c r="IH96" s="180">
        <v>146</v>
      </c>
      <c r="II96" s="180">
        <v>4447</v>
      </c>
      <c r="IJ96" s="180">
        <f t="shared" si="11"/>
        <v>4593</v>
      </c>
      <c r="IK96" s="59"/>
      <c r="IL96" s="185" t="s">
        <v>267</v>
      </c>
      <c r="IM96" s="180"/>
      <c r="IN96" s="180"/>
      <c r="IO96" s="180">
        <v>146</v>
      </c>
      <c r="IP96" s="190">
        <f t="shared" si="17"/>
        <v>0</v>
      </c>
      <c r="IQ96" s="190">
        <f t="shared" si="17"/>
        <v>0</v>
      </c>
      <c r="IR96" s="190">
        <f t="shared" si="17"/>
        <v>0.10195530726256984</v>
      </c>
      <c r="IS96" s="190">
        <f t="shared" si="12"/>
        <v>3.1787502721532766E-2</v>
      </c>
      <c r="IT96" s="197" t="str">
        <f t="shared" si="13"/>
        <v>-</v>
      </c>
      <c r="IU96" s="193"/>
    </row>
    <row r="97" spans="61:255" x14ac:dyDescent="0.3">
      <c r="BI97"/>
      <c r="BJ97"/>
      <c r="CI97"/>
      <c r="CJ97"/>
      <c r="CK97"/>
      <c r="FJ97"/>
      <c r="FK97"/>
      <c r="GP97" s="5" t="s">
        <v>268</v>
      </c>
      <c r="GT97" s="5">
        <v>173</v>
      </c>
      <c r="GU97" s="5">
        <v>375</v>
      </c>
      <c r="GV97" s="5">
        <v>404</v>
      </c>
      <c r="GX97" s="5">
        <v>952</v>
      </c>
      <c r="HC97" s="174" t="s">
        <v>251</v>
      </c>
      <c r="HD97" s="160">
        <v>202</v>
      </c>
      <c r="HE97" s="160">
        <v>2580</v>
      </c>
      <c r="HF97"/>
      <c r="HG97" s="180" t="s">
        <v>267</v>
      </c>
      <c r="HH97" s="180"/>
      <c r="HI97" s="180"/>
      <c r="HJ97" s="180">
        <v>146</v>
      </c>
      <c r="HK97" s="180">
        <v>1379</v>
      </c>
      <c r="HL97" s="180">
        <v>1782</v>
      </c>
      <c r="HM97" s="180">
        <v>1286</v>
      </c>
      <c r="HN97" s="180">
        <v>146</v>
      </c>
      <c r="HO97" s="180">
        <v>4447</v>
      </c>
      <c r="HQ97" s="180" t="s">
        <v>266</v>
      </c>
      <c r="HR97" s="180"/>
      <c r="HS97" s="180"/>
      <c r="HT97" s="180">
        <v>162</v>
      </c>
      <c r="HU97" s="180">
        <v>1357</v>
      </c>
      <c r="HV97" s="180">
        <v>2269</v>
      </c>
      <c r="HW97" s="180">
        <v>1516</v>
      </c>
      <c r="HX97" s="180">
        <v>162</v>
      </c>
      <c r="HY97" s="180">
        <v>5142</v>
      </c>
      <c r="IA97" s="185" t="s">
        <v>266</v>
      </c>
      <c r="IB97" s="180"/>
      <c r="IC97" s="180"/>
      <c r="ID97" s="180">
        <v>162</v>
      </c>
      <c r="IE97" s="180">
        <f t="shared" si="8"/>
        <v>1357</v>
      </c>
      <c r="IF97" s="180">
        <f t="shared" si="9"/>
        <v>2269</v>
      </c>
      <c r="IG97" s="180">
        <f t="shared" si="10"/>
        <v>1678</v>
      </c>
      <c r="IH97" s="180">
        <v>162</v>
      </c>
      <c r="II97" s="180">
        <v>5142</v>
      </c>
      <c r="IJ97" s="180">
        <f t="shared" si="11"/>
        <v>5304</v>
      </c>
      <c r="IK97" s="59"/>
      <c r="IL97" s="185" t="s">
        <v>266</v>
      </c>
      <c r="IM97" s="180"/>
      <c r="IN97" s="180"/>
      <c r="IO97" s="180">
        <v>162</v>
      </c>
      <c r="IP97" s="190">
        <f t="shared" si="17"/>
        <v>0</v>
      </c>
      <c r="IQ97" s="190">
        <f t="shared" si="17"/>
        <v>0</v>
      </c>
      <c r="IR97" s="190">
        <f t="shared" si="17"/>
        <v>9.6543504171632891E-2</v>
      </c>
      <c r="IS97" s="190">
        <f t="shared" si="12"/>
        <v>3.0542986425339366E-2</v>
      </c>
      <c r="IT97" s="197" t="str">
        <f t="shared" si="13"/>
        <v>-</v>
      </c>
      <c r="IU97" s="193"/>
    </row>
    <row r="98" spans="61:255" x14ac:dyDescent="0.3">
      <c r="CI98"/>
      <c r="CJ98"/>
      <c r="CK98"/>
      <c r="FJ98"/>
      <c r="FK98"/>
      <c r="GP98" s="5" t="s">
        <v>267</v>
      </c>
      <c r="GS98" s="5">
        <v>146</v>
      </c>
      <c r="GT98" s="5">
        <v>1379</v>
      </c>
      <c r="GU98" s="5">
        <v>1782</v>
      </c>
      <c r="GV98" s="5">
        <v>1286</v>
      </c>
      <c r="GW98" s="5">
        <v>146</v>
      </c>
      <c r="GX98" s="5">
        <v>4447</v>
      </c>
      <c r="HC98" s="174" t="s">
        <v>252</v>
      </c>
      <c r="HD98" s="160">
        <v>190</v>
      </c>
      <c r="HE98" s="160">
        <v>6309</v>
      </c>
      <c r="HF98"/>
      <c r="HG98" s="180" t="s">
        <v>266</v>
      </c>
      <c r="HH98" s="180"/>
      <c r="HI98" s="180"/>
      <c r="HJ98" s="180">
        <v>162</v>
      </c>
      <c r="HK98" s="180">
        <v>1357</v>
      </c>
      <c r="HL98" s="180">
        <v>2269</v>
      </c>
      <c r="HM98" s="180">
        <v>1516</v>
      </c>
      <c r="HN98" s="180">
        <v>162</v>
      </c>
      <c r="HO98" s="180">
        <v>5142</v>
      </c>
      <c r="HQ98" s="180" t="s">
        <v>269</v>
      </c>
      <c r="HR98" s="180"/>
      <c r="HS98" s="180"/>
      <c r="HT98" s="180"/>
      <c r="HU98" s="180">
        <v>569</v>
      </c>
      <c r="HV98" s="180">
        <v>846</v>
      </c>
      <c r="HW98" s="180">
        <v>258</v>
      </c>
      <c r="HX98" s="180"/>
      <c r="HY98" s="180">
        <v>1673</v>
      </c>
      <c r="IA98" s="185" t="s">
        <v>269</v>
      </c>
      <c r="IB98" s="180"/>
      <c r="IC98" s="180"/>
      <c r="ID98" s="180"/>
      <c r="IE98" s="180">
        <f t="shared" si="8"/>
        <v>569</v>
      </c>
      <c r="IF98" s="180">
        <f t="shared" si="9"/>
        <v>846</v>
      </c>
      <c r="IG98" s="180">
        <f t="shared" si="10"/>
        <v>258</v>
      </c>
      <c r="IH98" s="180"/>
      <c r="II98" s="180">
        <v>1673</v>
      </c>
      <c r="IJ98" s="180">
        <f t="shared" si="11"/>
        <v>1673</v>
      </c>
      <c r="IK98" s="59"/>
      <c r="IL98" s="185" t="s">
        <v>269</v>
      </c>
      <c r="IM98" s="180"/>
      <c r="IN98" s="180"/>
      <c r="IO98" s="180"/>
      <c r="IP98" s="190">
        <f t="shared" si="17"/>
        <v>0</v>
      </c>
      <c r="IQ98" s="190">
        <f t="shared" si="17"/>
        <v>0</v>
      </c>
      <c r="IR98" s="190">
        <f t="shared" si="17"/>
        <v>0</v>
      </c>
      <c r="IS98" s="190">
        <f t="shared" si="12"/>
        <v>0</v>
      </c>
      <c r="IT98" s="197" t="str">
        <f t="shared" si="13"/>
        <v>-</v>
      </c>
      <c r="IU98" s="193"/>
    </row>
    <row r="99" spans="61:255" x14ac:dyDescent="0.3">
      <c r="CI99"/>
      <c r="CJ99"/>
      <c r="CK99"/>
      <c r="FJ99"/>
      <c r="FK99"/>
      <c r="GP99" s="5" t="s">
        <v>266</v>
      </c>
      <c r="GS99" s="5">
        <v>162</v>
      </c>
      <c r="GT99" s="5">
        <v>1357</v>
      </c>
      <c r="GU99" s="5">
        <v>2269</v>
      </c>
      <c r="GV99" s="5">
        <v>1516</v>
      </c>
      <c r="GW99" s="5">
        <v>162</v>
      </c>
      <c r="GX99" s="5">
        <v>5142</v>
      </c>
      <c r="HC99" s="175" t="s">
        <v>623</v>
      </c>
      <c r="HD99" s="160">
        <v>7664</v>
      </c>
      <c r="HE99" s="160">
        <v>104166</v>
      </c>
      <c r="HF99"/>
      <c r="HG99" s="180" t="s">
        <v>269</v>
      </c>
      <c r="HH99" s="180"/>
      <c r="HI99" s="180"/>
      <c r="HJ99" s="180"/>
      <c r="HK99" s="180">
        <v>569</v>
      </c>
      <c r="HL99" s="180">
        <v>846</v>
      </c>
      <c r="HM99" s="180">
        <v>258</v>
      </c>
      <c r="HN99" s="180"/>
      <c r="HO99" s="180">
        <v>1673</v>
      </c>
      <c r="HQ99" s="183" t="s">
        <v>830</v>
      </c>
      <c r="HR99" s="183"/>
      <c r="HS99" s="183"/>
      <c r="HT99" s="183">
        <v>308</v>
      </c>
      <c r="HU99" s="183">
        <v>3739</v>
      </c>
      <c r="HV99" s="183">
        <v>5690</v>
      </c>
      <c r="HW99" s="183">
        <v>3852</v>
      </c>
      <c r="HX99" s="183">
        <v>308</v>
      </c>
      <c r="HY99" s="183">
        <v>13281</v>
      </c>
      <c r="IA99" s="187" t="s">
        <v>830</v>
      </c>
      <c r="IB99" s="183"/>
      <c r="IC99" s="183"/>
      <c r="ID99" s="183">
        <v>308</v>
      </c>
      <c r="IE99" s="183">
        <f t="shared" si="8"/>
        <v>3739</v>
      </c>
      <c r="IF99" s="183">
        <f t="shared" si="9"/>
        <v>5690</v>
      </c>
      <c r="IG99" s="183">
        <f t="shared" si="10"/>
        <v>4160</v>
      </c>
      <c r="IH99" s="183">
        <v>308</v>
      </c>
      <c r="II99" s="183">
        <v>13281</v>
      </c>
      <c r="IJ99" s="183">
        <f t="shared" si="11"/>
        <v>13589</v>
      </c>
      <c r="IK99" s="59"/>
      <c r="IL99" s="187" t="s">
        <v>830</v>
      </c>
      <c r="IM99" s="183"/>
      <c r="IN99" s="183"/>
      <c r="IO99" s="183">
        <v>308</v>
      </c>
      <c r="IP99" s="191">
        <f t="shared" si="17"/>
        <v>0</v>
      </c>
      <c r="IQ99" s="191">
        <f t="shared" si="17"/>
        <v>0</v>
      </c>
      <c r="IR99" s="191">
        <f t="shared" si="17"/>
        <v>7.4038461538461539E-2</v>
      </c>
      <c r="IS99" s="191">
        <f t="shared" si="12"/>
        <v>2.2665391125174773E-2</v>
      </c>
      <c r="IT99" s="197" t="str">
        <f t="shared" si="13"/>
        <v>-</v>
      </c>
      <c r="IU99" s="193"/>
    </row>
    <row r="100" spans="61:255" x14ac:dyDescent="0.3">
      <c r="CI100"/>
      <c r="CJ100"/>
      <c r="CK100"/>
      <c r="FJ100"/>
      <c r="FK100"/>
      <c r="GP100" s="5" t="s">
        <v>269</v>
      </c>
      <c r="GT100" s="5">
        <v>569</v>
      </c>
      <c r="GU100" s="5">
        <v>846</v>
      </c>
      <c r="GV100" s="5">
        <v>258</v>
      </c>
      <c r="GX100" s="5">
        <v>1673</v>
      </c>
      <c r="HC100"/>
      <c r="HD100"/>
      <c r="HE100" s="174"/>
      <c r="HF100"/>
      <c r="HG100" s="180" t="s">
        <v>830</v>
      </c>
      <c r="HH100" s="180"/>
      <c r="HI100" s="180"/>
      <c r="HJ100" s="180">
        <v>308</v>
      </c>
      <c r="HK100" s="180">
        <v>3739</v>
      </c>
      <c r="HL100" s="180">
        <v>5690</v>
      </c>
      <c r="HM100" s="180">
        <v>3852</v>
      </c>
      <c r="HN100" s="180">
        <v>308</v>
      </c>
      <c r="HO100" s="180">
        <v>13281</v>
      </c>
      <c r="HQ100" s="183" t="s">
        <v>35</v>
      </c>
      <c r="HR100" s="183"/>
      <c r="HS100" s="183"/>
      <c r="HT100" s="183"/>
      <c r="HU100" s="183"/>
      <c r="HV100" s="183"/>
      <c r="HW100" s="183"/>
      <c r="HX100" s="183"/>
      <c r="HY100" s="183"/>
      <c r="IA100" s="183" t="s">
        <v>35</v>
      </c>
      <c r="IB100" s="183"/>
      <c r="IC100" s="183"/>
      <c r="ID100" s="183"/>
      <c r="IE100" s="180"/>
      <c r="IF100" s="180"/>
      <c r="IG100" s="180"/>
      <c r="IH100" s="183"/>
      <c r="II100" s="183"/>
      <c r="IJ100" s="183">
        <f t="shared" si="11"/>
        <v>0</v>
      </c>
      <c r="IK100" s="59"/>
      <c r="IL100" s="183" t="s">
        <v>35</v>
      </c>
      <c r="IM100" s="183"/>
      <c r="IN100" s="183"/>
      <c r="IO100" s="183"/>
      <c r="IP100" s="190"/>
      <c r="IQ100" s="190"/>
      <c r="IR100" s="190"/>
      <c r="IS100" s="190"/>
      <c r="IT100" s="197" t="str">
        <f t="shared" si="13"/>
        <v>-</v>
      </c>
      <c r="IU100" s="193"/>
    </row>
    <row r="101" spans="61:255" x14ac:dyDescent="0.3">
      <c r="CI101"/>
      <c r="CJ101"/>
      <c r="CK101"/>
      <c r="FJ101"/>
      <c r="FK101"/>
      <c r="GP101" s="5" t="s">
        <v>830</v>
      </c>
      <c r="GS101" s="5">
        <v>308</v>
      </c>
      <c r="GT101" s="5">
        <v>3739</v>
      </c>
      <c r="GU101" s="5">
        <v>5690</v>
      </c>
      <c r="GV101" s="5">
        <v>3852</v>
      </c>
      <c r="GW101" s="5">
        <v>308</v>
      </c>
      <c r="GX101" s="5">
        <v>13281</v>
      </c>
      <c r="HC101"/>
      <c r="HD101"/>
      <c r="HE101" s="174"/>
      <c r="HF101"/>
      <c r="HG101" s="180" t="s">
        <v>35</v>
      </c>
      <c r="HH101" s="180"/>
      <c r="HI101" s="180"/>
      <c r="HJ101" s="180"/>
      <c r="HK101" s="180"/>
      <c r="HL101" s="180"/>
      <c r="HM101" s="180"/>
      <c r="HN101" s="180"/>
      <c r="HO101" s="180"/>
      <c r="HQ101" s="180" t="s">
        <v>250</v>
      </c>
      <c r="HR101" s="180">
        <v>24</v>
      </c>
      <c r="HS101" s="180">
        <v>34</v>
      </c>
      <c r="HT101" s="180">
        <v>114</v>
      </c>
      <c r="HU101" s="180">
        <v>1256</v>
      </c>
      <c r="HV101" s="180">
        <v>1431</v>
      </c>
      <c r="HW101" s="180">
        <v>1316</v>
      </c>
      <c r="HX101" s="180">
        <v>172</v>
      </c>
      <c r="HY101" s="180">
        <v>4003</v>
      </c>
      <c r="IA101" s="185" t="s">
        <v>250</v>
      </c>
      <c r="IB101" s="180">
        <v>24</v>
      </c>
      <c r="IC101" s="180">
        <v>34</v>
      </c>
      <c r="ID101" s="180">
        <v>114</v>
      </c>
      <c r="IE101" s="180">
        <f t="shared" si="8"/>
        <v>1280</v>
      </c>
      <c r="IF101" s="180">
        <f t="shared" si="9"/>
        <v>1465</v>
      </c>
      <c r="IG101" s="180">
        <f t="shared" si="10"/>
        <v>1430</v>
      </c>
      <c r="IH101" s="180">
        <v>172</v>
      </c>
      <c r="II101" s="180">
        <v>4003</v>
      </c>
      <c r="IJ101" s="180">
        <f t="shared" si="11"/>
        <v>4175</v>
      </c>
      <c r="IK101" s="59"/>
      <c r="IL101" s="185" t="s">
        <v>250</v>
      </c>
      <c r="IM101" s="180">
        <v>24</v>
      </c>
      <c r="IN101" s="180">
        <v>34</v>
      </c>
      <c r="IO101" s="180">
        <v>114</v>
      </c>
      <c r="IP101" s="190">
        <f t="shared" ref="IP101:IR106" si="18">IM101/IE101</f>
        <v>1.8749999999999999E-2</v>
      </c>
      <c r="IQ101" s="190">
        <f t="shared" si="18"/>
        <v>2.3208191126279865E-2</v>
      </c>
      <c r="IR101" s="190">
        <f t="shared" si="18"/>
        <v>7.9720279720279716E-2</v>
      </c>
      <c r="IS101" s="190">
        <f t="shared" si="12"/>
        <v>4.1197604790419159E-2</v>
      </c>
      <c r="IT101" s="197">
        <f t="shared" si="13"/>
        <v>1.179449471770337</v>
      </c>
      <c r="IU101" s="193"/>
    </row>
    <row r="102" spans="61:255" x14ac:dyDescent="0.3">
      <c r="CI102"/>
      <c r="CJ102"/>
      <c r="CK102"/>
      <c r="FJ102"/>
      <c r="FK102"/>
      <c r="GP102" s="5" t="s">
        <v>35</v>
      </c>
      <c r="HC102"/>
      <c r="HD102"/>
      <c r="HE102" s="174"/>
      <c r="HF102"/>
      <c r="HG102" s="180" t="s">
        <v>250</v>
      </c>
      <c r="HH102" s="180">
        <v>24</v>
      </c>
      <c r="HI102" s="180">
        <v>34</v>
      </c>
      <c r="HJ102" s="180">
        <v>114</v>
      </c>
      <c r="HK102" s="180">
        <v>1256</v>
      </c>
      <c r="HL102" s="180">
        <v>1431</v>
      </c>
      <c r="HM102" s="180">
        <v>1316</v>
      </c>
      <c r="HN102" s="180">
        <v>172</v>
      </c>
      <c r="HO102" s="180">
        <v>4003</v>
      </c>
      <c r="HQ102" s="180" t="s">
        <v>248</v>
      </c>
      <c r="HR102" s="180"/>
      <c r="HS102" s="180"/>
      <c r="HT102" s="180">
        <v>147</v>
      </c>
      <c r="HU102" s="180">
        <v>438</v>
      </c>
      <c r="HV102" s="180">
        <v>271</v>
      </c>
      <c r="HW102" s="180">
        <v>96</v>
      </c>
      <c r="HX102" s="180">
        <v>147</v>
      </c>
      <c r="HY102" s="180">
        <v>805</v>
      </c>
      <c r="IA102" s="185" t="s">
        <v>248</v>
      </c>
      <c r="IB102" s="180"/>
      <c r="IC102" s="180"/>
      <c r="ID102" s="180">
        <v>147</v>
      </c>
      <c r="IE102" s="180">
        <f t="shared" si="8"/>
        <v>438</v>
      </c>
      <c r="IF102" s="180">
        <f t="shared" si="9"/>
        <v>271</v>
      </c>
      <c r="IG102" s="180">
        <f t="shared" si="10"/>
        <v>243</v>
      </c>
      <c r="IH102" s="180">
        <v>147</v>
      </c>
      <c r="II102" s="180">
        <v>805</v>
      </c>
      <c r="IJ102" s="180">
        <f t="shared" si="11"/>
        <v>952</v>
      </c>
      <c r="IK102" s="59"/>
      <c r="IL102" s="185" t="s">
        <v>248</v>
      </c>
      <c r="IM102" s="180"/>
      <c r="IN102" s="180"/>
      <c r="IO102" s="180">
        <v>147</v>
      </c>
      <c r="IP102" s="190">
        <f t="shared" si="18"/>
        <v>0</v>
      </c>
      <c r="IQ102" s="190">
        <f t="shared" si="18"/>
        <v>0</v>
      </c>
      <c r="IR102" s="190">
        <f t="shared" si="18"/>
        <v>0.60493827160493829</v>
      </c>
      <c r="IS102" s="190">
        <f t="shared" si="12"/>
        <v>0.15441176470588236</v>
      </c>
      <c r="IT102" s="197" t="str">
        <f t="shared" si="13"/>
        <v>-</v>
      </c>
      <c r="IU102" s="193"/>
    </row>
    <row r="103" spans="61:255" x14ac:dyDescent="0.3">
      <c r="CI103"/>
      <c r="CJ103"/>
      <c r="CK103"/>
      <c r="FJ103"/>
      <c r="FK103"/>
      <c r="GP103" s="5" t="s">
        <v>250</v>
      </c>
      <c r="GQ103" s="5">
        <v>24</v>
      </c>
      <c r="GR103" s="5">
        <v>34</v>
      </c>
      <c r="GS103" s="5">
        <v>114</v>
      </c>
      <c r="GT103" s="5">
        <v>1256</v>
      </c>
      <c r="GU103" s="5">
        <v>1431</v>
      </c>
      <c r="GV103" s="5">
        <v>1316</v>
      </c>
      <c r="GW103" s="5">
        <v>172</v>
      </c>
      <c r="GX103" s="5">
        <v>4003</v>
      </c>
      <c r="HC103"/>
      <c r="HD103"/>
      <c r="HE103" s="174"/>
      <c r="HF103"/>
      <c r="HG103" s="180" t="s">
        <v>248</v>
      </c>
      <c r="HH103" s="180"/>
      <c r="HI103" s="180"/>
      <c r="HJ103" s="180">
        <v>147</v>
      </c>
      <c r="HK103" s="180">
        <v>438</v>
      </c>
      <c r="HL103" s="180">
        <v>271</v>
      </c>
      <c r="HM103" s="180">
        <v>96</v>
      </c>
      <c r="HN103" s="180">
        <v>147</v>
      </c>
      <c r="HO103" s="180">
        <v>805</v>
      </c>
      <c r="HQ103" s="180" t="s">
        <v>247</v>
      </c>
      <c r="HR103" s="180"/>
      <c r="HS103" s="180">
        <v>42</v>
      </c>
      <c r="HT103" s="180"/>
      <c r="HU103" s="180">
        <v>417</v>
      </c>
      <c r="HV103" s="180">
        <v>306</v>
      </c>
      <c r="HW103" s="180">
        <v>208</v>
      </c>
      <c r="HX103" s="180">
        <v>42</v>
      </c>
      <c r="HY103" s="180">
        <v>931</v>
      </c>
      <c r="IA103" s="185" t="s">
        <v>247</v>
      </c>
      <c r="IB103" s="180"/>
      <c r="IC103" s="180">
        <v>42</v>
      </c>
      <c r="ID103" s="180"/>
      <c r="IE103" s="180">
        <f t="shared" si="8"/>
        <v>417</v>
      </c>
      <c r="IF103" s="180">
        <f t="shared" si="9"/>
        <v>348</v>
      </c>
      <c r="IG103" s="180">
        <f t="shared" si="10"/>
        <v>208</v>
      </c>
      <c r="IH103" s="180">
        <v>42</v>
      </c>
      <c r="II103" s="180">
        <v>931</v>
      </c>
      <c r="IJ103" s="180">
        <f t="shared" si="11"/>
        <v>973</v>
      </c>
      <c r="IK103" s="59"/>
      <c r="IL103" s="185" t="s">
        <v>247</v>
      </c>
      <c r="IM103" s="180"/>
      <c r="IN103" s="180">
        <v>42</v>
      </c>
      <c r="IO103" s="180"/>
      <c r="IP103" s="190">
        <f t="shared" si="18"/>
        <v>0</v>
      </c>
      <c r="IQ103" s="190">
        <f t="shared" si="18"/>
        <v>0.1206896551724138</v>
      </c>
      <c r="IR103" s="190">
        <f t="shared" si="18"/>
        <v>0</v>
      </c>
      <c r="IS103" s="190">
        <f t="shared" si="12"/>
        <v>4.3165467625899283E-2</v>
      </c>
      <c r="IT103" s="197" t="str">
        <f t="shared" si="13"/>
        <v>-</v>
      </c>
      <c r="IU103" s="193"/>
    </row>
    <row r="104" spans="61:255" x14ac:dyDescent="0.3">
      <c r="CI104"/>
      <c r="CJ104"/>
      <c r="CK104"/>
      <c r="FJ104"/>
      <c r="FK104"/>
      <c r="GP104" s="5" t="s">
        <v>248</v>
      </c>
      <c r="GS104" s="5">
        <v>147</v>
      </c>
      <c r="GT104" s="5">
        <v>438</v>
      </c>
      <c r="GU104" s="5">
        <v>271</v>
      </c>
      <c r="GV104" s="5">
        <v>96</v>
      </c>
      <c r="GW104" s="5">
        <v>147</v>
      </c>
      <c r="GX104" s="5">
        <v>805</v>
      </c>
      <c r="HC104"/>
      <c r="HD104"/>
      <c r="HE104" s="174"/>
      <c r="HF104"/>
      <c r="HG104" s="180" t="s">
        <v>247</v>
      </c>
      <c r="HH104" s="180"/>
      <c r="HI104" s="180">
        <v>42</v>
      </c>
      <c r="HJ104" s="180"/>
      <c r="HK104" s="180">
        <v>417</v>
      </c>
      <c r="HL104" s="180">
        <v>306</v>
      </c>
      <c r="HM104" s="180">
        <v>208</v>
      </c>
      <c r="HN104" s="180">
        <v>42</v>
      </c>
      <c r="HO104" s="180">
        <v>931</v>
      </c>
      <c r="HQ104" s="180" t="s">
        <v>249</v>
      </c>
      <c r="HR104" s="180">
        <v>94</v>
      </c>
      <c r="HS104" s="180">
        <v>49</v>
      </c>
      <c r="HT104" s="180">
        <v>62</v>
      </c>
      <c r="HU104" s="180">
        <v>952</v>
      </c>
      <c r="HV104" s="180">
        <v>1455</v>
      </c>
      <c r="HW104" s="180">
        <v>608</v>
      </c>
      <c r="HX104" s="180">
        <v>205</v>
      </c>
      <c r="HY104" s="180">
        <v>3015</v>
      </c>
      <c r="IA104" s="185" t="s">
        <v>249</v>
      </c>
      <c r="IB104" s="180">
        <v>94</v>
      </c>
      <c r="IC104" s="180">
        <v>49</v>
      </c>
      <c r="ID104" s="180">
        <v>62</v>
      </c>
      <c r="IE104" s="180">
        <f t="shared" si="8"/>
        <v>1046</v>
      </c>
      <c r="IF104" s="180">
        <f t="shared" si="9"/>
        <v>1504</v>
      </c>
      <c r="IG104" s="180">
        <f t="shared" si="10"/>
        <v>670</v>
      </c>
      <c r="IH104" s="180">
        <v>205</v>
      </c>
      <c r="II104" s="180">
        <v>3015</v>
      </c>
      <c r="IJ104" s="180">
        <f t="shared" si="11"/>
        <v>3220</v>
      </c>
      <c r="IK104" s="59"/>
      <c r="IL104" s="185" t="s">
        <v>249</v>
      </c>
      <c r="IM104" s="180">
        <v>94</v>
      </c>
      <c r="IN104" s="180">
        <v>49</v>
      </c>
      <c r="IO104" s="180">
        <v>62</v>
      </c>
      <c r="IP104" s="190">
        <f t="shared" si="18"/>
        <v>8.9866156787762913E-2</v>
      </c>
      <c r="IQ104" s="190">
        <f t="shared" si="18"/>
        <v>3.2579787234042555E-2</v>
      </c>
      <c r="IR104" s="190">
        <f t="shared" si="18"/>
        <v>9.2537313432835819E-2</v>
      </c>
      <c r="IS104" s="190">
        <f t="shared" si="12"/>
        <v>6.3664596273291921E-2</v>
      </c>
      <c r="IT104" s="197">
        <f t="shared" si="13"/>
        <v>-0.18785809855351854</v>
      </c>
      <c r="IU104" s="193"/>
    </row>
    <row r="105" spans="61:255" x14ac:dyDescent="0.3">
      <c r="CI105"/>
      <c r="CJ105"/>
      <c r="CK105"/>
      <c r="FJ105"/>
      <c r="FK105"/>
      <c r="GP105" s="5" t="s">
        <v>247</v>
      </c>
      <c r="GR105" s="5">
        <v>42</v>
      </c>
      <c r="GT105" s="5">
        <v>417</v>
      </c>
      <c r="GU105" s="5">
        <v>306</v>
      </c>
      <c r="GV105" s="5">
        <v>208</v>
      </c>
      <c r="GW105" s="5">
        <v>42</v>
      </c>
      <c r="GX105" s="5">
        <v>931</v>
      </c>
      <c r="HB105"/>
      <c r="HC105"/>
      <c r="HD105" s="174"/>
      <c r="HE105"/>
      <c r="HF105"/>
      <c r="HG105" s="180" t="s">
        <v>249</v>
      </c>
      <c r="HH105" s="180">
        <v>94</v>
      </c>
      <c r="HI105" s="180">
        <v>49</v>
      </c>
      <c r="HJ105" s="180">
        <v>62</v>
      </c>
      <c r="HK105" s="180">
        <v>952</v>
      </c>
      <c r="HL105" s="180">
        <v>1455</v>
      </c>
      <c r="HM105" s="180">
        <v>608</v>
      </c>
      <c r="HN105" s="180">
        <v>205</v>
      </c>
      <c r="HO105" s="180">
        <v>3015</v>
      </c>
      <c r="HQ105" s="180" t="s">
        <v>251</v>
      </c>
      <c r="HR105" s="180">
        <v>85</v>
      </c>
      <c r="HS105" s="180">
        <v>46</v>
      </c>
      <c r="HT105" s="180">
        <v>71</v>
      </c>
      <c r="HU105" s="180">
        <v>790</v>
      </c>
      <c r="HV105" s="180">
        <v>1368</v>
      </c>
      <c r="HW105" s="180">
        <v>422</v>
      </c>
      <c r="HX105" s="180">
        <v>202</v>
      </c>
      <c r="HY105" s="180">
        <v>2580</v>
      </c>
      <c r="IA105" s="185" t="s">
        <v>251</v>
      </c>
      <c r="IB105" s="180">
        <v>85</v>
      </c>
      <c r="IC105" s="180">
        <v>46</v>
      </c>
      <c r="ID105" s="180">
        <v>71</v>
      </c>
      <c r="IE105" s="180">
        <f t="shared" si="8"/>
        <v>875</v>
      </c>
      <c r="IF105" s="180">
        <f t="shared" si="9"/>
        <v>1414</v>
      </c>
      <c r="IG105" s="180">
        <f t="shared" si="10"/>
        <v>493</v>
      </c>
      <c r="IH105" s="180">
        <v>202</v>
      </c>
      <c r="II105" s="180">
        <v>2580</v>
      </c>
      <c r="IJ105" s="180">
        <f t="shared" si="11"/>
        <v>2782</v>
      </c>
      <c r="IK105" s="59"/>
      <c r="IL105" s="185" t="s">
        <v>251</v>
      </c>
      <c r="IM105" s="180">
        <v>85</v>
      </c>
      <c r="IN105" s="180">
        <v>46</v>
      </c>
      <c r="IO105" s="180">
        <v>71</v>
      </c>
      <c r="IP105" s="190">
        <f t="shared" si="18"/>
        <v>9.7142857142857142E-2</v>
      </c>
      <c r="IQ105" s="190">
        <f t="shared" si="18"/>
        <v>3.2531824611032531E-2</v>
      </c>
      <c r="IR105" s="190">
        <f t="shared" si="18"/>
        <v>0.1440162271805274</v>
      </c>
      <c r="IS105" s="190">
        <f t="shared" si="12"/>
        <v>7.2609633357296907E-2</v>
      </c>
      <c r="IT105" s="197">
        <f t="shared" si="13"/>
        <v>-8.6055736028143315E-2</v>
      </c>
      <c r="IU105" s="193"/>
    </row>
    <row r="106" spans="61:255" x14ac:dyDescent="0.3">
      <c r="CI106"/>
      <c r="CJ106"/>
      <c r="CK106"/>
      <c r="FJ106"/>
      <c r="FK106"/>
      <c r="GP106" s="5" t="s">
        <v>249</v>
      </c>
      <c r="GQ106" s="5">
        <v>94</v>
      </c>
      <c r="GR106" s="5">
        <v>49</v>
      </c>
      <c r="GS106" s="5">
        <v>62</v>
      </c>
      <c r="GT106" s="5">
        <v>952</v>
      </c>
      <c r="GU106" s="5">
        <v>1455</v>
      </c>
      <c r="GV106" s="5">
        <v>608</v>
      </c>
      <c r="GW106" s="5">
        <v>205</v>
      </c>
      <c r="GX106" s="5">
        <v>3015</v>
      </c>
      <c r="HB106"/>
      <c r="HC106"/>
      <c r="HD106" s="174"/>
      <c r="HE106"/>
      <c r="HF106"/>
      <c r="HG106" s="180" t="s">
        <v>251</v>
      </c>
      <c r="HH106" s="180">
        <v>85</v>
      </c>
      <c r="HI106" s="180">
        <v>46</v>
      </c>
      <c r="HJ106" s="180">
        <v>71</v>
      </c>
      <c r="HK106" s="180">
        <v>790</v>
      </c>
      <c r="HL106" s="180">
        <v>1368</v>
      </c>
      <c r="HM106" s="180">
        <v>422</v>
      </c>
      <c r="HN106" s="180">
        <v>202</v>
      </c>
      <c r="HO106" s="180">
        <v>2580</v>
      </c>
      <c r="HQ106" s="183" t="s">
        <v>831</v>
      </c>
      <c r="HR106" s="183">
        <v>203</v>
      </c>
      <c r="HS106" s="183">
        <v>171</v>
      </c>
      <c r="HT106" s="183">
        <v>394</v>
      </c>
      <c r="HU106" s="183">
        <v>3853</v>
      </c>
      <c r="HV106" s="183">
        <v>4831</v>
      </c>
      <c r="HW106" s="183">
        <v>2650</v>
      </c>
      <c r="HX106" s="183">
        <v>768</v>
      </c>
      <c r="HY106" s="183">
        <v>11334</v>
      </c>
      <c r="IA106" s="187" t="s">
        <v>831</v>
      </c>
      <c r="IB106" s="183">
        <v>203</v>
      </c>
      <c r="IC106" s="183">
        <v>171</v>
      </c>
      <c r="ID106" s="183">
        <v>394</v>
      </c>
      <c r="IE106" s="183">
        <f t="shared" si="8"/>
        <v>4056</v>
      </c>
      <c r="IF106" s="183">
        <f t="shared" si="9"/>
        <v>5002</v>
      </c>
      <c r="IG106" s="183">
        <f t="shared" si="10"/>
        <v>3044</v>
      </c>
      <c r="IH106" s="183">
        <v>768</v>
      </c>
      <c r="II106" s="183">
        <v>11334</v>
      </c>
      <c r="IJ106" s="183">
        <f t="shared" si="11"/>
        <v>12102</v>
      </c>
      <c r="IK106" s="59"/>
      <c r="IL106" s="187" t="s">
        <v>831</v>
      </c>
      <c r="IM106" s="183">
        <v>203</v>
      </c>
      <c r="IN106" s="183">
        <v>171</v>
      </c>
      <c r="IO106" s="183">
        <v>394</v>
      </c>
      <c r="IP106" s="191">
        <f t="shared" si="18"/>
        <v>5.0049309664694279E-2</v>
      </c>
      <c r="IQ106" s="191">
        <f t="shared" si="18"/>
        <v>3.4186325469812075E-2</v>
      </c>
      <c r="IR106" s="191">
        <f t="shared" si="18"/>
        <v>0.12943495400788435</v>
      </c>
      <c r="IS106" s="191">
        <f t="shared" si="12"/>
        <v>6.3460585027268215E-2</v>
      </c>
      <c r="IT106" s="197">
        <f t="shared" si="13"/>
        <v>0.39315709792807985</v>
      </c>
      <c r="IU106" s="193"/>
    </row>
    <row r="107" spans="61:255" x14ac:dyDescent="0.3">
      <c r="CI107"/>
      <c r="CJ107"/>
      <c r="CK107"/>
      <c r="FJ107"/>
      <c r="FK107"/>
      <c r="GP107" s="5" t="s">
        <v>251</v>
      </c>
      <c r="GQ107" s="5">
        <v>85</v>
      </c>
      <c r="GR107" s="5">
        <v>46</v>
      </c>
      <c r="GS107" s="5">
        <v>71</v>
      </c>
      <c r="GT107" s="5">
        <v>790</v>
      </c>
      <c r="GU107" s="5">
        <v>1368</v>
      </c>
      <c r="GV107" s="5">
        <v>422</v>
      </c>
      <c r="GW107" s="5">
        <v>202</v>
      </c>
      <c r="GX107" s="5">
        <v>2580</v>
      </c>
      <c r="HB107"/>
      <c r="HC107"/>
      <c r="HD107" s="174"/>
      <c r="HE107"/>
      <c r="HF107"/>
      <c r="HG107" s="180" t="s">
        <v>831</v>
      </c>
      <c r="HH107" s="180">
        <v>203</v>
      </c>
      <c r="HI107" s="180">
        <v>171</v>
      </c>
      <c r="HJ107" s="180">
        <v>394</v>
      </c>
      <c r="HK107" s="180">
        <v>3853</v>
      </c>
      <c r="HL107" s="180">
        <v>4831</v>
      </c>
      <c r="HM107" s="180">
        <v>2650</v>
      </c>
      <c r="HN107" s="180">
        <v>768</v>
      </c>
      <c r="HO107" s="180">
        <v>11334</v>
      </c>
      <c r="HQ107" s="183" t="s">
        <v>61</v>
      </c>
      <c r="HR107" s="183"/>
      <c r="HS107" s="183"/>
      <c r="HT107" s="183"/>
      <c r="HU107" s="183"/>
      <c r="HV107" s="183"/>
      <c r="HW107" s="183"/>
      <c r="HX107" s="183"/>
      <c r="HY107" s="183"/>
      <c r="IA107" s="183" t="s">
        <v>61</v>
      </c>
      <c r="IB107" s="183"/>
      <c r="IC107" s="183"/>
      <c r="ID107" s="183"/>
      <c r="IE107" s="180"/>
      <c r="IF107" s="180"/>
      <c r="IG107" s="180"/>
      <c r="IH107" s="183"/>
      <c r="II107" s="183"/>
      <c r="IJ107" s="183">
        <f t="shared" si="11"/>
        <v>0</v>
      </c>
      <c r="IK107" s="59"/>
      <c r="IL107" s="183" t="s">
        <v>61</v>
      </c>
      <c r="IM107" s="183"/>
      <c r="IN107" s="183"/>
      <c r="IO107" s="183"/>
      <c r="IP107" s="190"/>
      <c r="IQ107" s="190"/>
      <c r="IR107" s="190"/>
      <c r="IS107" s="190"/>
      <c r="IT107" s="197" t="str">
        <f t="shared" si="13"/>
        <v>-</v>
      </c>
      <c r="IU107" s="193"/>
    </row>
    <row r="108" spans="61:255" x14ac:dyDescent="0.3">
      <c r="CI108"/>
      <c r="CJ108"/>
      <c r="CK108"/>
      <c r="FJ108"/>
      <c r="FK108"/>
      <c r="GP108" s="5" t="s">
        <v>831</v>
      </c>
      <c r="GQ108" s="5">
        <v>203</v>
      </c>
      <c r="GR108" s="5">
        <v>171</v>
      </c>
      <c r="GS108" s="5">
        <v>394</v>
      </c>
      <c r="GT108" s="5">
        <v>3853</v>
      </c>
      <c r="GU108" s="5">
        <v>4831</v>
      </c>
      <c r="GV108" s="5">
        <v>2650</v>
      </c>
      <c r="GW108" s="5">
        <v>768</v>
      </c>
      <c r="GX108" s="5">
        <v>11334</v>
      </c>
      <c r="HB108"/>
      <c r="HC108"/>
      <c r="HD108" s="174"/>
      <c r="HE108"/>
      <c r="HF108"/>
      <c r="HG108" s="180" t="s">
        <v>61</v>
      </c>
      <c r="HH108" s="180"/>
      <c r="HI108" s="180"/>
      <c r="HJ108" s="180"/>
      <c r="HK108" s="180"/>
      <c r="HL108" s="180"/>
      <c r="HM108" s="180"/>
      <c r="HN108" s="180"/>
      <c r="HO108" s="180"/>
      <c r="HQ108" s="180" t="s">
        <v>265</v>
      </c>
      <c r="HR108" s="180">
        <v>40</v>
      </c>
      <c r="HS108" s="180">
        <v>225</v>
      </c>
      <c r="HT108" s="180">
        <v>218</v>
      </c>
      <c r="HU108" s="180">
        <v>576</v>
      </c>
      <c r="HV108" s="180">
        <v>1113</v>
      </c>
      <c r="HW108" s="180">
        <v>486</v>
      </c>
      <c r="HX108" s="180">
        <v>483</v>
      </c>
      <c r="HY108" s="180">
        <v>2175</v>
      </c>
      <c r="IA108" s="185" t="s">
        <v>265</v>
      </c>
      <c r="IB108" s="180">
        <v>40</v>
      </c>
      <c r="IC108" s="180">
        <v>225</v>
      </c>
      <c r="ID108" s="180">
        <v>218</v>
      </c>
      <c r="IE108" s="180">
        <f t="shared" si="8"/>
        <v>616</v>
      </c>
      <c r="IF108" s="180">
        <f t="shared" si="9"/>
        <v>1338</v>
      </c>
      <c r="IG108" s="180">
        <f t="shared" si="10"/>
        <v>704</v>
      </c>
      <c r="IH108" s="180">
        <v>483</v>
      </c>
      <c r="II108" s="180">
        <v>2175</v>
      </c>
      <c r="IJ108" s="180">
        <f t="shared" si="11"/>
        <v>2658</v>
      </c>
      <c r="IK108" s="59"/>
      <c r="IL108" s="185" t="s">
        <v>265</v>
      </c>
      <c r="IM108" s="180">
        <v>40</v>
      </c>
      <c r="IN108" s="180">
        <v>225</v>
      </c>
      <c r="IO108" s="180">
        <v>218</v>
      </c>
      <c r="IP108" s="190">
        <f t="shared" ref="IP108:IR114" si="19">IM108/IE108</f>
        <v>6.4935064935064929E-2</v>
      </c>
      <c r="IQ108" s="190">
        <f t="shared" si="19"/>
        <v>0.16816143497757849</v>
      </c>
      <c r="IR108" s="190">
        <f t="shared" si="19"/>
        <v>0.30965909090909088</v>
      </c>
      <c r="IS108" s="190">
        <f t="shared" si="12"/>
        <v>0.18171557562076748</v>
      </c>
      <c r="IT108" s="197">
        <f t="shared" si="13"/>
        <v>1.3345235059857505</v>
      </c>
      <c r="IU108" s="193"/>
    </row>
    <row r="109" spans="61:255" x14ac:dyDescent="0.3">
      <c r="CI109"/>
      <c r="CJ109"/>
      <c r="CK109"/>
      <c r="FJ109"/>
      <c r="FK109"/>
      <c r="GP109" s="5" t="s">
        <v>61</v>
      </c>
      <c r="HB109"/>
      <c r="HC109"/>
      <c r="HD109" s="174"/>
      <c r="HE109"/>
      <c r="HF109"/>
      <c r="HG109" s="180" t="s">
        <v>265</v>
      </c>
      <c r="HH109" s="180">
        <v>40</v>
      </c>
      <c r="HI109" s="180">
        <v>225</v>
      </c>
      <c r="HJ109" s="180">
        <v>218</v>
      </c>
      <c r="HK109" s="180">
        <v>576</v>
      </c>
      <c r="HL109" s="180">
        <v>1113</v>
      </c>
      <c r="HM109" s="180">
        <v>486</v>
      </c>
      <c r="HN109" s="180">
        <v>483</v>
      </c>
      <c r="HO109" s="180">
        <v>2175</v>
      </c>
      <c r="HQ109" s="180" t="s">
        <v>261</v>
      </c>
      <c r="HR109" s="180">
        <v>64</v>
      </c>
      <c r="HS109" s="180">
        <v>21</v>
      </c>
      <c r="HT109" s="180">
        <v>458</v>
      </c>
      <c r="HU109" s="180">
        <v>1295</v>
      </c>
      <c r="HV109" s="180">
        <v>2856</v>
      </c>
      <c r="HW109" s="180">
        <v>1424</v>
      </c>
      <c r="HX109" s="180">
        <v>543</v>
      </c>
      <c r="HY109" s="180">
        <v>5575</v>
      </c>
      <c r="IA109" s="185" t="s">
        <v>261</v>
      </c>
      <c r="IB109" s="180">
        <v>64</v>
      </c>
      <c r="IC109" s="180">
        <v>21</v>
      </c>
      <c r="ID109" s="180">
        <v>458</v>
      </c>
      <c r="IE109" s="180">
        <f t="shared" si="8"/>
        <v>1359</v>
      </c>
      <c r="IF109" s="180">
        <f t="shared" si="9"/>
        <v>2877</v>
      </c>
      <c r="IG109" s="180">
        <f t="shared" si="10"/>
        <v>1882</v>
      </c>
      <c r="IH109" s="180">
        <v>543</v>
      </c>
      <c r="II109" s="180">
        <v>5575</v>
      </c>
      <c r="IJ109" s="180">
        <f t="shared" si="11"/>
        <v>6118</v>
      </c>
      <c r="IK109" s="59"/>
      <c r="IL109" s="185" t="s">
        <v>261</v>
      </c>
      <c r="IM109" s="180">
        <v>64</v>
      </c>
      <c r="IN109" s="180">
        <v>21</v>
      </c>
      <c r="IO109" s="180">
        <v>458</v>
      </c>
      <c r="IP109" s="190">
        <f t="shared" si="19"/>
        <v>4.7093451066961001E-2</v>
      </c>
      <c r="IQ109" s="190">
        <f t="shared" si="19"/>
        <v>7.2992700729927005E-3</v>
      </c>
      <c r="IR109" s="190">
        <f t="shared" si="19"/>
        <v>0.24335812964930925</v>
      </c>
      <c r="IS109" s="190">
        <f t="shared" si="12"/>
        <v>8.8754494932984637E-2</v>
      </c>
      <c r="IT109" s="197">
        <f t="shared" si="13"/>
        <v>1.6751168198790869</v>
      </c>
      <c r="IU109" s="193"/>
    </row>
    <row r="110" spans="61:255" x14ac:dyDescent="0.3">
      <c r="CI110"/>
      <c r="CJ110"/>
      <c r="CK110"/>
      <c r="FJ110"/>
      <c r="FK110"/>
      <c r="GP110" s="5" t="s">
        <v>265</v>
      </c>
      <c r="GQ110" s="5">
        <v>40</v>
      </c>
      <c r="GR110" s="5">
        <v>225</v>
      </c>
      <c r="GS110" s="5">
        <v>218</v>
      </c>
      <c r="GT110" s="5">
        <v>576</v>
      </c>
      <c r="GU110" s="5">
        <v>1113</v>
      </c>
      <c r="GV110" s="5">
        <v>486</v>
      </c>
      <c r="GW110" s="5">
        <v>483</v>
      </c>
      <c r="GX110" s="5">
        <v>2175</v>
      </c>
      <c r="HB110"/>
      <c r="HC110"/>
      <c r="HD110" s="174"/>
      <c r="HE110"/>
      <c r="HF110"/>
      <c r="HG110" s="180" t="s">
        <v>261</v>
      </c>
      <c r="HH110" s="180">
        <v>64</v>
      </c>
      <c r="HI110" s="180">
        <v>21</v>
      </c>
      <c r="HJ110" s="180">
        <v>458</v>
      </c>
      <c r="HK110" s="180">
        <v>1295</v>
      </c>
      <c r="HL110" s="180">
        <v>2856</v>
      </c>
      <c r="HM110" s="180">
        <v>1424</v>
      </c>
      <c r="HN110" s="180">
        <v>543</v>
      </c>
      <c r="HO110" s="180">
        <v>5575</v>
      </c>
      <c r="HQ110" s="180" t="s">
        <v>263</v>
      </c>
      <c r="HR110" s="180"/>
      <c r="HS110" s="180"/>
      <c r="HT110" s="180">
        <v>58</v>
      </c>
      <c r="HU110" s="180">
        <v>265</v>
      </c>
      <c r="HV110" s="180">
        <v>257</v>
      </c>
      <c r="HW110" s="180">
        <v>202</v>
      </c>
      <c r="HX110" s="180">
        <v>58</v>
      </c>
      <c r="HY110" s="180">
        <v>724</v>
      </c>
      <c r="IA110" s="185" t="s">
        <v>263</v>
      </c>
      <c r="IB110" s="180"/>
      <c r="IC110" s="180"/>
      <c r="ID110" s="180">
        <v>58</v>
      </c>
      <c r="IE110" s="180">
        <f t="shared" si="8"/>
        <v>265</v>
      </c>
      <c r="IF110" s="180">
        <f t="shared" si="9"/>
        <v>257</v>
      </c>
      <c r="IG110" s="180">
        <f t="shared" si="10"/>
        <v>260</v>
      </c>
      <c r="IH110" s="180">
        <v>58</v>
      </c>
      <c r="II110" s="180">
        <v>724</v>
      </c>
      <c r="IJ110" s="180">
        <f t="shared" si="11"/>
        <v>782</v>
      </c>
      <c r="IK110" s="59"/>
      <c r="IL110" s="185" t="s">
        <v>263</v>
      </c>
      <c r="IM110" s="180"/>
      <c r="IN110" s="180"/>
      <c r="IO110" s="180">
        <v>58</v>
      </c>
      <c r="IP110" s="190">
        <f t="shared" si="19"/>
        <v>0</v>
      </c>
      <c r="IQ110" s="190">
        <f t="shared" si="19"/>
        <v>0</v>
      </c>
      <c r="IR110" s="190">
        <f t="shared" si="19"/>
        <v>0.22307692307692309</v>
      </c>
      <c r="IS110" s="190">
        <f t="shared" si="12"/>
        <v>7.4168797953964194E-2</v>
      </c>
      <c r="IT110" s="197" t="str">
        <f t="shared" si="13"/>
        <v>-</v>
      </c>
      <c r="IU110" s="193"/>
    </row>
    <row r="111" spans="61:255" x14ac:dyDescent="0.3">
      <c r="CI111"/>
      <c r="CJ111"/>
      <c r="CK111"/>
      <c r="FJ111"/>
      <c r="FK111"/>
      <c r="GP111" s="5" t="s">
        <v>261</v>
      </c>
      <c r="GQ111" s="5">
        <v>64</v>
      </c>
      <c r="GR111" s="5">
        <v>21</v>
      </c>
      <c r="GS111" s="5">
        <v>458</v>
      </c>
      <c r="GT111" s="5">
        <v>1295</v>
      </c>
      <c r="GU111" s="5">
        <v>2856</v>
      </c>
      <c r="GV111" s="5">
        <v>1424</v>
      </c>
      <c r="GW111" s="5">
        <v>543</v>
      </c>
      <c r="GX111" s="5">
        <v>5575</v>
      </c>
      <c r="HB111"/>
      <c r="HC111"/>
      <c r="HD111" s="174"/>
      <c r="HE111"/>
      <c r="HF111" s="5"/>
      <c r="HG111" s="180" t="s">
        <v>263</v>
      </c>
      <c r="HH111" s="180"/>
      <c r="HI111" s="180"/>
      <c r="HJ111" s="180">
        <v>58</v>
      </c>
      <c r="HK111" s="180">
        <v>265</v>
      </c>
      <c r="HL111" s="180">
        <v>257</v>
      </c>
      <c r="HM111" s="180">
        <v>202</v>
      </c>
      <c r="HN111" s="180">
        <v>58</v>
      </c>
      <c r="HO111" s="180">
        <v>724</v>
      </c>
      <c r="HQ111" s="180" t="s">
        <v>264</v>
      </c>
      <c r="HR111" s="180"/>
      <c r="HS111" s="180">
        <v>48</v>
      </c>
      <c r="HT111" s="180">
        <v>119</v>
      </c>
      <c r="HU111" s="180">
        <v>427</v>
      </c>
      <c r="HV111" s="180">
        <v>524</v>
      </c>
      <c r="HW111" s="180">
        <v>390</v>
      </c>
      <c r="HX111" s="180">
        <v>167</v>
      </c>
      <c r="HY111" s="180">
        <v>1341</v>
      </c>
      <c r="IA111" s="185" t="s">
        <v>264</v>
      </c>
      <c r="IB111" s="180"/>
      <c r="IC111" s="180">
        <v>48</v>
      </c>
      <c r="ID111" s="180">
        <v>119</v>
      </c>
      <c r="IE111" s="180">
        <f t="shared" si="8"/>
        <v>427</v>
      </c>
      <c r="IF111" s="180">
        <f t="shared" si="9"/>
        <v>572</v>
      </c>
      <c r="IG111" s="180">
        <f t="shared" si="10"/>
        <v>509</v>
      </c>
      <c r="IH111" s="180">
        <v>167</v>
      </c>
      <c r="II111" s="180">
        <v>1341</v>
      </c>
      <c r="IJ111" s="180">
        <f t="shared" si="11"/>
        <v>1508</v>
      </c>
      <c r="IK111" s="59"/>
      <c r="IL111" s="185" t="s">
        <v>264</v>
      </c>
      <c r="IM111" s="180"/>
      <c r="IN111" s="180">
        <v>48</v>
      </c>
      <c r="IO111" s="180">
        <v>119</v>
      </c>
      <c r="IP111" s="190">
        <f t="shared" si="19"/>
        <v>0</v>
      </c>
      <c r="IQ111" s="190">
        <f t="shared" si="19"/>
        <v>8.3916083916083919E-2</v>
      </c>
      <c r="IR111" s="190">
        <f t="shared" si="19"/>
        <v>0.2337917485265226</v>
      </c>
      <c r="IS111" s="190">
        <f t="shared" si="12"/>
        <v>0.11074270557029178</v>
      </c>
      <c r="IT111" s="197">
        <f t="shared" si="13"/>
        <v>1.4791666666666665</v>
      </c>
      <c r="IU111" s="193"/>
    </row>
    <row r="112" spans="61:255" x14ac:dyDescent="0.3">
      <c r="CI112"/>
      <c r="CJ112"/>
      <c r="CK112"/>
      <c r="FJ112"/>
      <c r="FK112"/>
      <c r="GP112" s="5" t="s">
        <v>263</v>
      </c>
      <c r="GS112" s="5">
        <v>58</v>
      </c>
      <c r="GT112" s="5">
        <v>265</v>
      </c>
      <c r="GU112" s="5">
        <v>257</v>
      </c>
      <c r="GV112" s="5">
        <v>202</v>
      </c>
      <c r="GW112" s="5">
        <v>58</v>
      </c>
      <c r="GX112" s="5">
        <v>724</v>
      </c>
      <c r="HB112"/>
      <c r="HC112"/>
      <c r="HD112" s="174"/>
      <c r="HE112"/>
      <c r="HF112" s="5"/>
      <c r="HG112" s="180" t="s">
        <v>264</v>
      </c>
      <c r="HH112" s="180"/>
      <c r="HI112" s="180">
        <v>48</v>
      </c>
      <c r="HJ112" s="180">
        <v>119</v>
      </c>
      <c r="HK112" s="180">
        <v>427</v>
      </c>
      <c r="HL112" s="180">
        <v>524</v>
      </c>
      <c r="HM112" s="180">
        <v>390</v>
      </c>
      <c r="HN112" s="180">
        <v>167</v>
      </c>
      <c r="HO112" s="180">
        <v>1341</v>
      </c>
      <c r="HQ112" s="180" t="s">
        <v>262</v>
      </c>
      <c r="HR112" s="180"/>
      <c r="HS112" s="180">
        <v>87</v>
      </c>
      <c r="HT112" s="180"/>
      <c r="HU112" s="180">
        <v>329</v>
      </c>
      <c r="HV112" s="180">
        <v>393</v>
      </c>
      <c r="HW112" s="180">
        <v>206</v>
      </c>
      <c r="HX112" s="180">
        <v>87</v>
      </c>
      <c r="HY112" s="180">
        <v>928</v>
      </c>
      <c r="IA112" s="185" t="s">
        <v>262</v>
      </c>
      <c r="IB112" s="180"/>
      <c r="IC112" s="180">
        <v>87</v>
      </c>
      <c r="ID112" s="180"/>
      <c r="IE112" s="180">
        <f t="shared" si="8"/>
        <v>329</v>
      </c>
      <c r="IF112" s="180">
        <f t="shared" si="9"/>
        <v>480</v>
      </c>
      <c r="IG112" s="180">
        <f t="shared" si="10"/>
        <v>206</v>
      </c>
      <c r="IH112" s="180">
        <v>87</v>
      </c>
      <c r="II112" s="180">
        <v>928</v>
      </c>
      <c r="IJ112" s="180">
        <f t="shared" si="11"/>
        <v>1015</v>
      </c>
      <c r="IK112" s="59"/>
      <c r="IL112" s="185" t="s">
        <v>262</v>
      </c>
      <c r="IM112" s="180"/>
      <c r="IN112" s="180">
        <v>87</v>
      </c>
      <c r="IO112" s="180"/>
      <c r="IP112" s="190">
        <f t="shared" si="19"/>
        <v>0</v>
      </c>
      <c r="IQ112" s="190">
        <f t="shared" si="19"/>
        <v>0.18124999999999999</v>
      </c>
      <c r="IR112" s="190">
        <f t="shared" si="19"/>
        <v>0</v>
      </c>
      <c r="IS112" s="190">
        <f t="shared" si="12"/>
        <v>8.5714285714285715E-2</v>
      </c>
      <c r="IT112" s="197" t="str">
        <f t="shared" si="13"/>
        <v>-</v>
      </c>
      <c r="IU112" s="193"/>
    </row>
    <row r="113" spans="87:255" x14ac:dyDescent="0.3">
      <c r="CI113"/>
      <c r="CJ113"/>
      <c r="CK113"/>
      <c r="FJ113"/>
      <c r="FK113"/>
      <c r="GP113" s="5" t="s">
        <v>264</v>
      </c>
      <c r="GR113" s="5">
        <v>48</v>
      </c>
      <c r="GS113" s="5">
        <v>119</v>
      </c>
      <c r="GT113" s="5">
        <v>427</v>
      </c>
      <c r="GU113" s="5">
        <v>524</v>
      </c>
      <c r="GV113" s="5">
        <v>390</v>
      </c>
      <c r="GW113" s="5">
        <v>167</v>
      </c>
      <c r="GX113" s="5">
        <v>1341</v>
      </c>
      <c r="HB113"/>
      <c r="HC113"/>
      <c r="HD113" s="174"/>
      <c r="HE113"/>
      <c r="HF113" s="5"/>
      <c r="HG113" s="180" t="s">
        <v>262</v>
      </c>
      <c r="HH113" s="180"/>
      <c r="HI113" s="180">
        <v>87</v>
      </c>
      <c r="HJ113" s="180"/>
      <c r="HK113" s="180">
        <v>329</v>
      </c>
      <c r="HL113" s="180">
        <v>393</v>
      </c>
      <c r="HM113" s="180">
        <v>206</v>
      </c>
      <c r="HN113" s="180">
        <v>87</v>
      </c>
      <c r="HO113" s="180">
        <v>928</v>
      </c>
      <c r="HQ113" s="183" t="s">
        <v>833</v>
      </c>
      <c r="HR113" s="183">
        <v>104</v>
      </c>
      <c r="HS113" s="183">
        <v>381</v>
      </c>
      <c r="HT113" s="183">
        <v>853</v>
      </c>
      <c r="HU113" s="183">
        <v>2892</v>
      </c>
      <c r="HV113" s="183">
        <v>5143</v>
      </c>
      <c r="HW113" s="183">
        <v>2708</v>
      </c>
      <c r="HX113" s="183">
        <v>1338</v>
      </c>
      <c r="HY113" s="183">
        <v>10743</v>
      </c>
      <c r="IA113" s="187" t="s">
        <v>833</v>
      </c>
      <c r="IB113" s="183">
        <v>104</v>
      </c>
      <c r="IC113" s="183">
        <v>381</v>
      </c>
      <c r="ID113" s="183">
        <v>853</v>
      </c>
      <c r="IE113" s="183">
        <f t="shared" si="8"/>
        <v>2996</v>
      </c>
      <c r="IF113" s="183">
        <f t="shared" si="9"/>
        <v>5524</v>
      </c>
      <c r="IG113" s="183">
        <f t="shared" si="10"/>
        <v>3561</v>
      </c>
      <c r="IH113" s="183">
        <v>1338</v>
      </c>
      <c r="II113" s="183">
        <v>10743</v>
      </c>
      <c r="IJ113" s="183">
        <f t="shared" si="11"/>
        <v>12081</v>
      </c>
      <c r="IK113" s="59"/>
      <c r="IL113" s="187" t="s">
        <v>833</v>
      </c>
      <c r="IM113" s="183">
        <v>104</v>
      </c>
      <c r="IN113" s="183">
        <v>381</v>
      </c>
      <c r="IO113" s="183">
        <v>853</v>
      </c>
      <c r="IP113" s="191">
        <f t="shared" si="19"/>
        <v>3.4712950600801068E-2</v>
      </c>
      <c r="IQ113" s="191">
        <f t="shared" si="19"/>
        <v>6.8971759594496737E-2</v>
      </c>
      <c r="IR113" s="191">
        <f t="shared" si="19"/>
        <v>0.23953945520921088</v>
      </c>
      <c r="IS113" s="191">
        <f t="shared" si="12"/>
        <v>0.11075242115718897</v>
      </c>
      <c r="IT113" s="197">
        <f t="shared" si="13"/>
        <v>1.8638999767664854</v>
      </c>
      <c r="IU113" s="193"/>
    </row>
    <row r="114" spans="87:255" x14ac:dyDescent="0.3">
      <c r="CI114"/>
      <c r="CJ114"/>
      <c r="CK114"/>
      <c r="FJ114"/>
      <c r="FK114"/>
      <c r="GP114" s="5" t="s">
        <v>262</v>
      </c>
      <c r="GR114" s="5">
        <v>87</v>
      </c>
      <c r="GT114" s="5">
        <v>329</v>
      </c>
      <c r="GU114" s="5">
        <v>393</v>
      </c>
      <c r="GV114" s="5">
        <v>206</v>
      </c>
      <c r="GW114" s="5">
        <v>87</v>
      </c>
      <c r="GX114" s="5">
        <v>928</v>
      </c>
      <c r="HB114"/>
      <c r="HC114"/>
      <c r="HD114" s="174"/>
      <c r="HE114"/>
      <c r="HF114" s="5"/>
      <c r="HG114" s="180" t="s">
        <v>833</v>
      </c>
      <c r="HH114" s="180">
        <v>104</v>
      </c>
      <c r="HI114" s="180">
        <v>381</v>
      </c>
      <c r="HJ114" s="180">
        <v>853</v>
      </c>
      <c r="HK114" s="180">
        <v>2892</v>
      </c>
      <c r="HL114" s="180">
        <v>5143</v>
      </c>
      <c r="HM114" s="180">
        <v>2708</v>
      </c>
      <c r="HN114" s="180">
        <v>1338</v>
      </c>
      <c r="HO114" s="180">
        <v>10743</v>
      </c>
      <c r="HQ114" s="182" t="s">
        <v>623</v>
      </c>
      <c r="HR114" s="182">
        <v>838</v>
      </c>
      <c r="HS114" s="182">
        <v>1958</v>
      </c>
      <c r="HT114" s="182">
        <v>4868</v>
      </c>
      <c r="HU114" s="182">
        <v>33774</v>
      </c>
      <c r="HV114" s="182">
        <v>44866</v>
      </c>
      <c r="HW114" s="182">
        <v>25526</v>
      </c>
      <c r="HX114" s="182">
        <v>7664</v>
      </c>
      <c r="HY114" s="182">
        <v>104166</v>
      </c>
      <c r="IA114" s="186" t="s">
        <v>623</v>
      </c>
      <c r="IB114" s="182">
        <v>838</v>
      </c>
      <c r="IC114" s="182">
        <v>1958</v>
      </c>
      <c r="ID114" s="182">
        <v>4868</v>
      </c>
      <c r="IE114" s="183">
        <f t="shared" si="8"/>
        <v>34612</v>
      </c>
      <c r="IF114" s="183">
        <f t="shared" si="9"/>
        <v>46824</v>
      </c>
      <c r="IG114" s="183">
        <f t="shared" si="10"/>
        <v>30394</v>
      </c>
      <c r="IH114" s="182">
        <v>7664</v>
      </c>
      <c r="II114" s="182">
        <v>104166</v>
      </c>
      <c r="IJ114" s="182">
        <f t="shared" si="11"/>
        <v>111830</v>
      </c>
      <c r="IK114" s="59"/>
      <c r="IL114" s="186" t="s">
        <v>623</v>
      </c>
      <c r="IM114" s="182">
        <v>838</v>
      </c>
      <c r="IN114" s="182">
        <v>1958</v>
      </c>
      <c r="IO114" s="182">
        <v>4868</v>
      </c>
      <c r="IP114" s="191">
        <f t="shared" si="19"/>
        <v>2.421125621171848E-2</v>
      </c>
      <c r="IQ114" s="191">
        <f t="shared" si="19"/>
        <v>4.1816162651631641E-2</v>
      </c>
      <c r="IR114" s="191">
        <f t="shared" si="19"/>
        <v>0.16016319010330987</v>
      </c>
      <c r="IS114" s="191">
        <f t="shared" si="12"/>
        <v>6.8532594116069032E-2</v>
      </c>
      <c r="IT114" s="197">
        <f t="shared" si="13"/>
        <v>1.410201073024925</v>
      </c>
      <c r="IU114" s="193"/>
    </row>
    <row r="115" spans="87:255" x14ac:dyDescent="0.3">
      <c r="CI115"/>
      <c r="CJ115"/>
      <c r="CK115"/>
      <c r="FJ115"/>
      <c r="FK115"/>
      <c r="GP115" s="5" t="s">
        <v>833</v>
      </c>
      <c r="GQ115" s="5">
        <v>104</v>
      </c>
      <c r="GR115" s="5">
        <v>381</v>
      </c>
      <c r="GS115" s="5">
        <v>853</v>
      </c>
      <c r="GT115" s="5">
        <v>2892</v>
      </c>
      <c r="GU115" s="5">
        <v>5143</v>
      </c>
      <c r="GV115" s="5">
        <v>2708</v>
      </c>
      <c r="GW115" s="5">
        <v>1338</v>
      </c>
      <c r="GX115" s="5">
        <v>10743</v>
      </c>
      <c r="HB115"/>
      <c r="HC115"/>
      <c r="HD115" s="174"/>
      <c r="HE115"/>
      <c r="HF115" s="5"/>
      <c r="HG115" s="180" t="s">
        <v>623</v>
      </c>
      <c r="HH115" s="180">
        <v>838</v>
      </c>
      <c r="HI115" s="180">
        <v>1958</v>
      </c>
      <c r="HJ115" s="180">
        <v>4868</v>
      </c>
      <c r="HK115" s="180">
        <v>33774</v>
      </c>
      <c r="HL115" s="180">
        <v>44866</v>
      </c>
      <c r="HM115" s="180">
        <v>25526</v>
      </c>
      <c r="HN115" s="180">
        <v>7664</v>
      </c>
      <c r="HO115" s="180">
        <v>104166</v>
      </c>
      <c r="IB115"/>
      <c r="IC115"/>
      <c r="ID115" s="59"/>
      <c r="IE115" s="59"/>
      <c r="IF115" s="59"/>
      <c r="IG115" s="59"/>
      <c r="IH115" s="59"/>
      <c r="II115" s="59"/>
      <c r="IJ115" s="59"/>
      <c r="IK115" s="59"/>
      <c r="IL115" s="59"/>
      <c r="IM115" s="59"/>
    </row>
    <row r="116" spans="87:255" x14ac:dyDescent="0.3">
      <c r="CI116"/>
      <c r="CJ116"/>
      <c r="CK116"/>
      <c r="FJ116"/>
      <c r="FK116"/>
      <c r="GP116" s="5" t="s">
        <v>623</v>
      </c>
      <c r="GQ116" s="5">
        <v>838</v>
      </c>
      <c r="GR116" s="5">
        <v>1958</v>
      </c>
      <c r="GS116" s="5">
        <v>4868</v>
      </c>
      <c r="GT116" s="5">
        <v>33774</v>
      </c>
      <c r="GU116" s="5">
        <v>44866</v>
      </c>
      <c r="GV116" s="5">
        <v>25526</v>
      </c>
      <c r="GW116" s="5">
        <v>7664</v>
      </c>
      <c r="GX116" s="5">
        <v>104166</v>
      </c>
      <c r="HB116"/>
      <c r="HC116"/>
      <c r="HD116" s="174"/>
      <c r="HE116"/>
      <c r="HF116" s="5"/>
      <c r="HG116"/>
      <c r="HH116"/>
      <c r="HI116"/>
      <c r="HL116" s="5"/>
      <c r="IB116"/>
      <c r="IC116"/>
      <c r="ID116" s="59"/>
      <c r="IE116" s="59"/>
      <c r="IF116" s="59"/>
      <c r="IG116" s="59"/>
      <c r="IH116" s="59"/>
      <c r="II116" s="59"/>
      <c r="IJ116" s="59"/>
      <c r="IK116" s="59"/>
      <c r="IL116" s="59"/>
      <c r="IM116" s="59"/>
    </row>
    <row r="117" spans="87:255" x14ac:dyDescent="0.3">
      <c r="CI117"/>
      <c r="CJ117"/>
      <c r="CK117"/>
      <c r="FJ117"/>
      <c r="FK117"/>
      <c r="HB117"/>
      <c r="HC117"/>
      <c r="HD117" s="174"/>
      <c r="HE117"/>
      <c r="HF117" s="5"/>
      <c r="HG117"/>
      <c r="HH117"/>
      <c r="HI117"/>
      <c r="HL117" s="5"/>
      <c r="IB117"/>
      <c r="IC117"/>
      <c r="ID117" s="59"/>
      <c r="IE117" s="59"/>
      <c r="IF117" s="59"/>
      <c r="IG117" s="59"/>
      <c r="IH117" s="59"/>
      <c r="II117" s="59"/>
      <c r="IJ117" s="59"/>
      <c r="IK117" s="59"/>
      <c r="IL117" s="59"/>
      <c r="IM117" s="59"/>
    </row>
    <row r="118" spans="87:255" x14ac:dyDescent="0.3">
      <c r="CI118"/>
      <c r="CJ118"/>
      <c r="CK118"/>
      <c r="FJ118"/>
      <c r="FK118"/>
      <c r="HB118"/>
      <c r="HC118"/>
      <c r="HD118" s="174"/>
      <c r="HE118"/>
      <c r="HF118" s="5"/>
      <c r="HG118"/>
      <c r="HH118"/>
      <c r="HI118"/>
      <c r="HL118" s="5"/>
      <c r="IB118"/>
      <c r="IC118"/>
      <c r="ID118" s="59"/>
      <c r="IE118" s="59"/>
      <c r="IF118" s="59"/>
      <c r="IG118" s="59"/>
      <c r="IH118" s="59"/>
      <c r="II118" s="59"/>
      <c r="IJ118" s="59"/>
      <c r="IK118" s="59"/>
      <c r="IL118" s="59"/>
      <c r="IM118" s="59"/>
    </row>
    <row r="119" spans="87:255" x14ac:dyDescent="0.3">
      <c r="CI119"/>
      <c r="CJ119"/>
      <c r="CK119"/>
      <c r="FJ119"/>
      <c r="FK119"/>
      <c r="HB119"/>
      <c r="HC119"/>
      <c r="HD119" s="174"/>
      <c r="HE119"/>
      <c r="HF119" s="5"/>
      <c r="HG119"/>
      <c r="HH119"/>
      <c r="HI119"/>
      <c r="HL119" s="5"/>
      <c r="IB119"/>
      <c r="IC119"/>
      <c r="ID119" s="59"/>
      <c r="IE119" s="59"/>
      <c r="IF119" s="59"/>
      <c r="IG119" s="59"/>
      <c r="IH119" s="59"/>
      <c r="II119" s="59"/>
      <c r="IJ119" s="59"/>
      <c r="IK119" s="59"/>
      <c r="IL119" s="59"/>
      <c r="IM119" s="59"/>
    </row>
    <row r="120" spans="87:255" x14ac:dyDescent="0.3">
      <c r="CI120"/>
      <c r="CJ120"/>
      <c r="CK120"/>
      <c r="FJ120"/>
      <c r="FK120"/>
      <c r="HB120"/>
      <c r="HC120"/>
      <c r="HD120" s="174"/>
      <c r="HE120"/>
      <c r="HF120" s="5"/>
      <c r="HG120"/>
      <c r="HH120"/>
      <c r="HI120"/>
      <c r="HL120" s="5"/>
      <c r="IB120"/>
      <c r="IC120"/>
      <c r="ID120" s="59"/>
      <c r="IE120" s="59"/>
      <c r="IF120" s="59"/>
      <c r="IG120" s="59"/>
      <c r="IH120" s="59"/>
      <c r="II120" s="59"/>
      <c r="IJ120" s="59"/>
      <c r="IK120" s="59"/>
      <c r="IL120" s="59"/>
      <c r="IM120" s="59"/>
    </row>
    <row r="121" spans="87:255" x14ac:dyDescent="0.3">
      <c r="CI121"/>
      <c r="CJ121"/>
      <c r="CK121"/>
      <c r="FJ121"/>
      <c r="FK121"/>
      <c r="HB121"/>
      <c r="HC121"/>
      <c r="HD121" s="174"/>
      <c r="HE121"/>
      <c r="HF121" s="5"/>
      <c r="HG121"/>
      <c r="HH121"/>
      <c r="HI121"/>
      <c r="HL121" s="5"/>
      <c r="IB121"/>
      <c r="IC121"/>
      <c r="ID121" s="59"/>
      <c r="IE121" s="59"/>
      <c r="IF121" s="59"/>
      <c r="IG121" s="59"/>
      <c r="IH121" s="59"/>
      <c r="II121" s="59"/>
      <c r="IJ121" s="59"/>
      <c r="IK121" s="59"/>
      <c r="IL121" s="59"/>
      <c r="IM121" s="59"/>
    </row>
    <row r="122" spans="87:255" x14ac:dyDescent="0.3">
      <c r="CI122"/>
      <c r="CJ122"/>
      <c r="CK122"/>
      <c r="FJ122"/>
      <c r="FK122"/>
      <c r="HB122"/>
      <c r="HC122"/>
      <c r="HD122" s="174"/>
      <c r="HE122"/>
      <c r="HF122" s="5"/>
      <c r="HG122"/>
      <c r="HH122"/>
      <c r="HI122"/>
      <c r="HL122" s="5"/>
    </row>
    <row r="123" spans="87:255" x14ac:dyDescent="0.3">
      <c r="CI123"/>
      <c r="CJ123"/>
      <c r="CK123"/>
      <c r="FJ123"/>
      <c r="FK123"/>
      <c r="HB123"/>
      <c r="HC123"/>
      <c r="HD123" s="174"/>
      <c r="HE123"/>
      <c r="HF123" s="5"/>
      <c r="HG123"/>
      <c r="HH123"/>
      <c r="HI123"/>
      <c r="HL123" s="5"/>
    </row>
    <row r="124" spans="87:255" x14ac:dyDescent="0.3">
      <c r="CI124"/>
      <c r="CJ124"/>
      <c r="CK124"/>
      <c r="FJ124"/>
      <c r="FK124"/>
      <c r="HB124"/>
      <c r="HC124"/>
      <c r="HD124" s="174"/>
      <c r="HE124"/>
      <c r="HF124" s="5"/>
      <c r="HG124"/>
      <c r="HH124"/>
      <c r="HI124"/>
      <c r="HL124" s="5"/>
    </row>
    <row r="125" spans="87:255" x14ac:dyDescent="0.3">
      <c r="CI125"/>
      <c r="CJ125"/>
      <c r="CK125"/>
      <c r="FJ125"/>
      <c r="FK125"/>
      <c r="HB125"/>
      <c r="HC125"/>
      <c r="HD125" s="174"/>
      <c r="HE125"/>
      <c r="HF125" s="5"/>
      <c r="HG125"/>
      <c r="HH125"/>
      <c r="HI125"/>
      <c r="HL125" s="5"/>
    </row>
    <row r="126" spans="87:255" x14ac:dyDescent="0.3">
      <c r="CI126"/>
      <c r="CJ126"/>
      <c r="CK126"/>
      <c r="FJ126"/>
      <c r="FK126"/>
      <c r="HB126"/>
      <c r="HC126"/>
      <c r="HD126" s="174"/>
      <c r="HE126"/>
      <c r="HF126" s="5"/>
      <c r="HG126"/>
      <c r="HH126"/>
      <c r="HI126"/>
      <c r="HL126" s="5"/>
    </row>
    <row r="127" spans="87:255" x14ac:dyDescent="0.3">
      <c r="CI127"/>
      <c r="CJ127"/>
      <c r="CK127"/>
      <c r="FJ127"/>
      <c r="FK127"/>
      <c r="HB127"/>
      <c r="HC127"/>
      <c r="HD127" s="174"/>
      <c r="HE127"/>
      <c r="HF127" s="5"/>
      <c r="HG127"/>
      <c r="HH127"/>
      <c r="HI127"/>
      <c r="HL127" s="5"/>
    </row>
    <row r="128" spans="87:255" x14ac:dyDescent="0.3">
      <c r="CI128"/>
      <c r="CJ128"/>
      <c r="CK128"/>
      <c r="FJ128"/>
      <c r="FK128"/>
      <c r="HB128"/>
      <c r="HC128"/>
      <c r="HD128" s="174"/>
      <c r="HE128"/>
      <c r="HF128" s="5"/>
      <c r="HG128"/>
      <c r="HH128"/>
      <c r="HI128"/>
      <c r="HL128" s="5"/>
    </row>
    <row r="129" spans="87:220" x14ac:dyDescent="0.3">
      <c r="CI129"/>
      <c r="CJ129"/>
      <c r="CK129"/>
      <c r="FJ129"/>
      <c r="FK129"/>
      <c r="HB129"/>
      <c r="HC129"/>
      <c r="HD129" s="174"/>
      <c r="HE129" s="174"/>
      <c r="HF129" s="174"/>
      <c r="HG129"/>
      <c r="HH129"/>
      <c r="HI129"/>
      <c r="HL129" s="5"/>
    </row>
    <row r="130" spans="87:220" x14ac:dyDescent="0.3">
      <c r="CI130"/>
      <c r="CJ130"/>
      <c r="CK130"/>
      <c r="FJ130"/>
      <c r="FK130"/>
      <c r="HB130"/>
      <c r="HC130"/>
      <c r="HD130" s="174"/>
      <c r="HE130" s="174"/>
      <c r="HF130" s="174"/>
      <c r="HG130"/>
      <c r="HH130"/>
      <c r="HI130"/>
      <c r="HL130" s="5"/>
    </row>
    <row r="131" spans="87:220" x14ac:dyDescent="0.3">
      <c r="CI131"/>
      <c r="CJ131"/>
      <c r="CK131"/>
      <c r="FJ131"/>
      <c r="FK131"/>
      <c r="HB131"/>
      <c r="HC131"/>
      <c r="HD131" s="174"/>
      <c r="HE131" s="174"/>
      <c r="HF131" s="174"/>
      <c r="HG131"/>
      <c r="HH131"/>
      <c r="HI131"/>
      <c r="HL131" s="5"/>
    </row>
    <row r="132" spans="87:220" x14ac:dyDescent="0.3">
      <c r="CI132"/>
      <c r="CJ132"/>
      <c r="CK132"/>
      <c r="FJ132"/>
      <c r="FK132"/>
      <c r="HB132"/>
      <c r="HC132"/>
      <c r="HD132" s="174"/>
      <c r="HE132" s="174"/>
      <c r="HF132" s="174"/>
      <c r="HG132"/>
      <c r="HH132"/>
      <c r="HI132"/>
      <c r="HL132" s="5"/>
    </row>
    <row r="133" spans="87:220" x14ac:dyDescent="0.3">
      <c r="CI133"/>
      <c r="CJ133"/>
      <c r="CK133"/>
      <c r="FJ133"/>
      <c r="FK133"/>
      <c r="HB133"/>
      <c r="HC133"/>
      <c r="HD133" s="174"/>
      <c r="HE133" s="174"/>
      <c r="HF133" s="174"/>
      <c r="HG133"/>
      <c r="HH133"/>
      <c r="HI133"/>
      <c r="HL133" s="5"/>
    </row>
    <row r="134" spans="87:220" x14ac:dyDescent="0.3">
      <c r="CI134"/>
      <c r="CJ134"/>
      <c r="CK134"/>
      <c r="FJ134"/>
      <c r="FK134"/>
      <c r="HB134"/>
      <c r="HC134"/>
      <c r="HD134" s="174"/>
      <c r="HE134" s="174"/>
      <c r="HF134" s="174"/>
      <c r="HG134"/>
      <c r="HH134"/>
      <c r="HI134"/>
      <c r="HL134" s="5"/>
    </row>
    <row r="135" spans="87:220" x14ac:dyDescent="0.3">
      <c r="CI135"/>
      <c r="CJ135"/>
      <c r="CK135"/>
      <c r="FJ135"/>
      <c r="FK135"/>
      <c r="HB135"/>
      <c r="HC135"/>
      <c r="HD135" s="174"/>
      <c r="HE135" s="174"/>
      <c r="HF135" s="174"/>
      <c r="HG135"/>
      <c r="HH135"/>
      <c r="HI135"/>
      <c r="HL135" s="5"/>
    </row>
    <row r="136" spans="87:220" x14ac:dyDescent="0.3">
      <c r="CI136"/>
      <c r="CJ136"/>
      <c r="CK136"/>
      <c r="FJ136"/>
      <c r="FK136"/>
      <c r="HB136"/>
      <c r="HC136"/>
      <c r="HD136" s="174"/>
      <c r="HE136" s="174"/>
      <c r="HF136" s="174"/>
      <c r="HG136"/>
      <c r="HH136"/>
      <c r="HI136"/>
      <c r="HL136" s="5"/>
    </row>
    <row r="137" spans="87:220" x14ac:dyDescent="0.3">
      <c r="CI137"/>
      <c r="CJ137"/>
      <c r="CK137"/>
      <c r="FJ137"/>
      <c r="FK137"/>
      <c r="HB137"/>
      <c r="HC137"/>
      <c r="HD137" s="174"/>
      <c r="HE137" s="174"/>
      <c r="HF137" s="174"/>
      <c r="HG137"/>
      <c r="HH137"/>
      <c r="HI137"/>
      <c r="HL137" s="5"/>
    </row>
    <row r="138" spans="87:220" x14ac:dyDescent="0.3">
      <c r="CI138"/>
      <c r="CJ138"/>
      <c r="CK138"/>
      <c r="FJ138"/>
      <c r="FK138"/>
      <c r="HB138"/>
      <c r="HC138"/>
      <c r="HD138" s="174"/>
      <c r="HE138" s="174"/>
      <c r="HF138" s="174"/>
      <c r="HG138"/>
      <c r="HH138"/>
      <c r="HI138"/>
      <c r="HL138" s="5"/>
    </row>
    <row r="139" spans="87:220" x14ac:dyDescent="0.3">
      <c r="CI139"/>
      <c r="CJ139"/>
      <c r="CK139"/>
      <c r="FJ139"/>
      <c r="FK139"/>
      <c r="HB139"/>
      <c r="HC139"/>
      <c r="HD139" s="174"/>
      <c r="HE139" s="174"/>
      <c r="HF139" s="174"/>
      <c r="HG139"/>
      <c r="HH139"/>
      <c r="HI139"/>
      <c r="HL139" s="5"/>
    </row>
    <row r="140" spans="87:220" x14ac:dyDescent="0.3">
      <c r="CI140"/>
      <c r="CJ140"/>
      <c r="CK140"/>
      <c r="FJ140"/>
      <c r="FK140"/>
      <c r="HB140"/>
      <c r="HC140"/>
      <c r="HD140" s="174"/>
      <c r="HE140" s="174"/>
      <c r="HF140" s="174"/>
      <c r="HG140"/>
      <c r="HH140"/>
      <c r="HI140"/>
      <c r="HL140" s="5"/>
    </row>
    <row r="141" spans="87:220" x14ac:dyDescent="0.3">
      <c r="CI141"/>
      <c r="CJ141"/>
      <c r="CK141"/>
      <c r="FJ141"/>
      <c r="FK141"/>
      <c r="HB141"/>
      <c r="HC141"/>
      <c r="HD141" s="174"/>
      <c r="HE141" s="174"/>
      <c r="HF141" s="174"/>
      <c r="HG141"/>
      <c r="HH141"/>
      <c r="HI141"/>
      <c r="HL141" s="5"/>
    </row>
    <row r="142" spans="87:220" x14ac:dyDescent="0.3">
      <c r="CI142"/>
      <c r="CJ142"/>
      <c r="CK142"/>
      <c r="FJ142"/>
      <c r="FK142"/>
      <c r="HB142"/>
      <c r="HC142"/>
      <c r="HD142" s="174"/>
      <c r="HE142" s="174"/>
      <c r="HF142" s="174"/>
      <c r="HG142"/>
      <c r="HH142"/>
      <c r="HI142"/>
      <c r="HL142" s="5"/>
    </row>
    <row r="143" spans="87:220" x14ac:dyDescent="0.3">
      <c r="CI143"/>
      <c r="CJ143"/>
      <c r="CK143"/>
      <c r="FJ143"/>
      <c r="FK143"/>
      <c r="HB143"/>
      <c r="HC143"/>
      <c r="HD143" s="174"/>
      <c r="HE143" s="174"/>
      <c r="HF143" s="174"/>
      <c r="HG143"/>
      <c r="HH143"/>
      <c r="HI143"/>
      <c r="HL143" s="5"/>
    </row>
    <row r="144" spans="87:220" x14ac:dyDescent="0.3">
      <c r="CI144"/>
      <c r="CJ144"/>
      <c r="CK144"/>
      <c r="FJ144"/>
      <c r="FK144"/>
      <c r="HB144"/>
      <c r="HC144"/>
      <c r="HD144" s="174"/>
      <c r="HE144" s="174"/>
      <c r="HF144" s="174"/>
      <c r="HG144"/>
      <c r="HH144"/>
      <c r="HI144"/>
      <c r="HL144" s="5"/>
    </row>
    <row r="145" spans="87:220" x14ac:dyDescent="0.3">
      <c r="CI145"/>
      <c r="CJ145"/>
      <c r="CK145"/>
      <c r="FJ145"/>
      <c r="FK145"/>
      <c r="HB145"/>
      <c r="HC145"/>
      <c r="HD145" s="174"/>
      <c r="HE145" s="174"/>
      <c r="HF145" s="174"/>
      <c r="HG145"/>
      <c r="HH145"/>
      <c r="HI145"/>
      <c r="HL145" s="5"/>
    </row>
    <row r="146" spans="87:220" x14ac:dyDescent="0.3">
      <c r="CI146"/>
      <c r="CJ146"/>
      <c r="CK146"/>
      <c r="FJ146"/>
      <c r="FK146"/>
      <c r="HB146"/>
      <c r="HC146"/>
      <c r="HD146" s="174"/>
      <c r="HE146" s="174"/>
      <c r="HF146" s="174"/>
      <c r="HG146"/>
      <c r="HH146"/>
      <c r="HI146"/>
      <c r="HL146" s="5"/>
    </row>
    <row r="147" spans="87:220" x14ac:dyDescent="0.3">
      <c r="CI147"/>
      <c r="CJ147"/>
      <c r="CK147"/>
      <c r="FJ147"/>
      <c r="FK147"/>
      <c r="HB147"/>
      <c r="HC147"/>
      <c r="HD147" s="174"/>
      <c r="HE147" s="174"/>
      <c r="HF147" s="174"/>
      <c r="HG147"/>
      <c r="HH147"/>
      <c r="HI147"/>
      <c r="HL147" s="5"/>
    </row>
    <row r="148" spans="87:220" x14ac:dyDescent="0.3">
      <c r="CI148"/>
      <c r="CJ148"/>
      <c r="CK148"/>
      <c r="FJ148"/>
      <c r="FK148"/>
      <c r="HB148"/>
      <c r="HC148"/>
      <c r="HD148" s="174"/>
      <c r="HE148" s="174"/>
      <c r="HF148" s="174"/>
      <c r="HG148"/>
      <c r="HH148"/>
      <c r="HI148"/>
      <c r="HL148" s="5"/>
    </row>
    <row r="149" spans="87:220" x14ac:dyDescent="0.3">
      <c r="CI149"/>
      <c r="CJ149"/>
      <c r="CK149"/>
      <c r="FJ149"/>
      <c r="FK149"/>
      <c r="HB149"/>
      <c r="HC149"/>
      <c r="HD149" s="174"/>
      <c r="HE149" s="174"/>
      <c r="HF149" s="174"/>
      <c r="HG149"/>
      <c r="HH149"/>
      <c r="HI149"/>
      <c r="HL149" s="5"/>
    </row>
    <row r="150" spans="87:220" x14ac:dyDescent="0.3">
      <c r="CI150"/>
      <c r="CJ150"/>
      <c r="CK150"/>
      <c r="FJ150"/>
      <c r="FK150"/>
      <c r="HB150"/>
      <c r="HC150"/>
      <c r="HD150" s="174"/>
      <c r="HE150" s="174"/>
      <c r="HF150" s="174"/>
      <c r="HG150"/>
      <c r="HH150"/>
      <c r="HI150"/>
      <c r="HL150" s="5"/>
    </row>
    <row r="151" spans="87:220" x14ac:dyDescent="0.3">
      <c r="CI151"/>
      <c r="CJ151"/>
      <c r="CK151"/>
      <c r="FJ151"/>
      <c r="FK151"/>
      <c r="HB151"/>
      <c r="HC151"/>
      <c r="HD151" s="174"/>
      <c r="HE151" s="174"/>
      <c r="HF151" s="174"/>
      <c r="HG151"/>
      <c r="HH151"/>
      <c r="HI151"/>
      <c r="HL151" s="5"/>
    </row>
    <row r="152" spans="87:220" x14ac:dyDescent="0.3">
      <c r="CI152"/>
      <c r="CJ152"/>
      <c r="CK152"/>
      <c r="FJ152"/>
      <c r="FK152"/>
      <c r="HB152"/>
      <c r="HC152"/>
      <c r="HD152" s="174"/>
      <c r="HE152" s="174"/>
      <c r="HF152" s="174"/>
      <c r="HG152"/>
      <c r="HH152"/>
      <c r="HI152"/>
      <c r="HL152" s="5"/>
    </row>
    <row r="153" spans="87:220" x14ac:dyDescent="0.3">
      <c r="CI153"/>
      <c r="CJ153"/>
      <c r="CK153"/>
      <c r="FJ153"/>
      <c r="FK153"/>
      <c r="HB153"/>
      <c r="HC153"/>
      <c r="HD153" s="174"/>
      <c r="HE153" s="174"/>
      <c r="HF153" s="174"/>
      <c r="HG153"/>
      <c r="HH153"/>
      <c r="HI153"/>
      <c r="HL153" s="5"/>
    </row>
    <row r="154" spans="87:220" x14ac:dyDescent="0.3">
      <c r="CI154"/>
      <c r="CJ154"/>
      <c r="CK154"/>
      <c r="FJ154"/>
      <c r="FK154"/>
      <c r="HB154"/>
      <c r="HC154"/>
      <c r="HD154" s="174"/>
      <c r="HE154" s="174"/>
      <c r="HF154" s="174"/>
      <c r="HG154"/>
      <c r="HH154"/>
      <c r="HI154"/>
      <c r="HL154" s="5"/>
    </row>
    <row r="155" spans="87:220" x14ac:dyDescent="0.3">
      <c r="CI155"/>
      <c r="CJ155"/>
      <c r="CK155"/>
      <c r="FJ155"/>
      <c r="FK155"/>
      <c r="HB155"/>
      <c r="HC155"/>
      <c r="HD155" s="174"/>
      <c r="HE155" s="174"/>
      <c r="HF155" s="174"/>
      <c r="HG155"/>
      <c r="HH155"/>
      <c r="HI155"/>
      <c r="HL155" s="5"/>
    </row>
    <row r="156" spans="87:220" x14ac:dyDescent="0.3">
      <c r="CI156"/>
      <c r="CJ156"/>
      <c r="CK156"/>
      <c r="FJ156"/>
      <c r="FK156"/>
      <c r="HD156" s="174"/>
      <c r="HE156" s="174"/>
      <c r="HF156" s="174"/>
      <c r="HG156"/>
      <c r="HH156"/>
      <c r="HI156"/>
      <c r="HL156" s="5"/>
    </row>
    <row r="157" spans="87:220" x14ac:dyDescent="0.3">
      <c r="CI157"/>
      <c r="CJ157"/>
      <c r="CK157"/>
      <c r="FJ157"/>
      <c r="FK157"/>
      <c r="HD157" s="174"/>
      <c r="HE157" s="174"/>
      <c r="HF157" s="174"/>
      <c r="HG157"/>
      <c r="HH157"/>
      <c r="HI157"/>
      <c r="HL157" s="5"/>
    </row>
    <row r="158" spans="87:220" x14ac:dyDescent="0.3">
      <c r="CI158"/>
      <c r="CJ158"/>
      <c r="CK158"/>
      <c r="FJ158"/>
      <c r="FK158"/>
      <c r="HD158" s="174"/>
      <c r="HE158" s="174"/>
      <c r="HF158" s="174"/>
      <c r="HG158"/>
      <c r="HH158"/>
      <c r="HI158"/>
      <c r="HL158" s="5"/>
    </row>
    <row r="159" spans="87:220" x14ac:dyDescent="0.3">
      <c r="CI159"/>
      <c r="CJ159"/>
      <c r="CK159"/>
      <c r="FJ159"/>
      <c r="FK159"/>
      <c r="HD159" s="174"/>
      <c r="HE159" s="174"/>
      <c r="HF159" s="174"/>
      <c r="HG159"/>
      <c r="HH159"/>
      <c r="HI159"/>
      <c r="HL159" s="5"/>
    </row>
    <row r="160" spans="87:220" x14ac:dyDescent="0.3">
      <c r="CI160"/>
      <c r="CJ160"/>
      <c r="CK160"/>
      <c r="FJ160"/>
      <c r="FK160"/>
      <c r="HD160" s="174"/>
      <c r="HE160" s="174"/>
      <c r="HF160" s="174"/>
      <c r="HG160"/>
      <c r="HH160"/>
      <c r="HI160"/>
      <c r="HL160" s="5"/>
    </row>
    <row r="161" spans="87:220" x14ac:dyDescent="0.3">
      <c r="CI161"/>
      <c r="CJ161"/>
      <c r="CK161"/>
      <c r="FJ161"/>
      <c r="FK161"/>
      <c r="HD161" s="174"/>
      <c r="HE161" s="174"/>
      <c r="HF161" s="174"/>
      <c r="HG161"/>
      <c r="HH161"/>
      <c r="HI161"/>
      <c r="HL161" s="5"/>
    </row>
    <row r="162" spans="87:220" x14ac:dyDescent="0.3">
      <c r="CI162"/>
      <c r="CJ162"/>
      <c r="CK162"/>
      <c r="FJ162"/>
      <c r="FK162"/>
      <c r="HD162" s="174"/>
      <c r="HE162" s="174"/>
      <c r="HF162" s="174"/>
      <c r="HG162"/>
      <c r="HH162"/>
      <c r="HI162"/>
      <c r="HL162" s="5"/>
    </row>
    <row r="163" spans="87:220" x14ac:dyDescent="0.3">
      <c r="CI163"/>
      <c r="CJ163"/>
      <c r="CK163"/>
      <c r="FJ163"/>
      <c r="FK163"/>
      <c r="HD163" s="174"/>
      <c r="HE163" s="174"/>
      <c r="HF163" s="174"/>
      <c r="HG163"/>
      <c r="HH163"/>
      <c r="HI163"/>
      <c r="HL163" s="5"/>
    </row>
    <row r="164" spans="87:220" x14ac:dyDescent="0.3">
      <c r="CI164"/>
      <c r="CJ164"/>
      <c r="CK164"/>
      <c r="FJ164"/>
      <c r="FK164"/>
      <c r="HD164" s="174"/>
      <c r="HE164" s="174"/>
      <c r="HF164" s="174"/>
      <c r="HG164"/>
      <c r="HH164"/>
      <c r="HI164"/>
      <c r="HL164" s="5"/>
    </row>
    <row r="165" spans="87:220" x14ac:dyDescent="0.3">
      <c r="CI165"/>
      <c r="CJ165"/>
      <c r="CK165"/>
      <c r="FJ165"/>
      <c r="FK165"/>
      <c r="HD165" s="174"/>
      <c r="HE165" s="174"/>
      <c r="HF165" s="174"/>
      <c r="HG165"/>
      <c r="HH165"/>
      <c r="HI165"/>
      <c r="HL165" s="5"/>
    </row>
    <row r="166" spans="87:220" x14ac:dyDescent="0.3">
      <c r="CI166"/>
      <c r="CJ166"/>
      <c r="CK166"/>
      <c r="FJ166"/>
      <c r="FK166"/>
      <c r="HD166" s="174"/>
      <c r="HE166" s="174"/>
      <c r="HF166" s="174"/>
      <c r="HG166"/>
      <c r="HH166"/>
      <c r="HI166"/>
      <c r="HL166" s="5"/>
    </row>
    <row r="167" spans="87:220" x14ac:dyDescent="0.3">
      <c r="CI167"/>
      <c r="CJ167"/>
      <c r="CK167"/>
      <c r="FJ167"/>
      <c r="FK167"/>
      <c r="HD167" s="174"/>
      <c r="HE167" s="174"/>
      <c r="HF167" s="174"/>
      <c r="HG167"/>
      <c r="HH167"/>
      <c r="HI167"/>
      <c r="HL167" s="5"/>
    </row>
    <row r="168" spans="87:220" x14ac:dyDescent="0.3">
      <c r="CI168"/>
      <c r="CJ168"/>
      <c r="CK168"/>
      <c r="FJ168"/>
      <c r="FK168"/>
      <c r="HD168" s="174"/>
      <c r="HE168" s="174"/>
      <c r="HF168" s="174"/>
      <c r="HG168"/>
      <c r="HH168"/>
      <c r="HI168"/>
      <c r="HL168" s="5"/>
    </row>
    <row r="169" spans="87:220" x14ac:dyDescent="0.3">
      <c r="CI169"/>
      <c r="CJ169"/>
      <c r="CK169"/>
      <c r="FJ169"/>
      <c r="FK169"/>
      <c r="HD169" s="174"/>
      <c r="HE169" s="174"/>
      <c r="HF169" s="174"/>
      <c r="HG169"/>
      <c r="HH169"/>
      <c r="HI169"/>
      <c r="HL169" s="5"/>
    </row>
    <row r="170" spans="87:220" x14ac:dyDescent="0.3">
      <c r="CI170"/>
      <c r="CJ170"/>
      <c r="CK170"/>
      <c r="FJ170"/>
      <c r="FK170"/>
      <c r="HD170" s="174"/>
      <c r="HE170" s="174"/>
      <c r="HF170" s="174"/>
      <c r="HG170"/>
      <c r="HH170"/>
      <c r="HI170"/>
      <c r="HL170" s="5"/>
    </row>
    <row r="171" spans="87:220" x14ac:dyDescent="0.3">
      <c r="CI171"/>
      <c r="CJ171"/>
      <c r="CK171"/>
      <c r="FJ171"/>
      <c r="FK171"/>
      <c r="HD171" s="174"/>
      <c r="HE171" s="174"/>
      <c r="HF171" s="174"/>
      <c r="HG171"/>
      <c r="HH171"/>
      <c r="HI171"/>
      <c r="HL171" s="5"/>
    </row>
    <row r="172" spans="87:220" x14ac:dyDescent="0.3">
      <c r="CI172"/>
      <c r="CJ172"/>
      <c r="CK172"/>
      <c r="FJ172"/>
      <c r="FK172"/>
      <c r="HD172" s="174"/>
      <c r="HE172" s="174"/>
      <c r="HF172" s="174"/>
      <c r="HG172"/>
      <c r="HH172"/>
      <c r="HI172"/>
      <c r="HL172" s="5"/>
    </row>
    <row r="173" spans="87:220" x14ac:dyDescent="0.3">
      <c r="CI173"/>
      <c r="CJ173"/>
      <c r="CK173"/>
      <c r="FJ173"/>
      <c r="FK173"/>
      <c r="HD173" s="174"/>
      <c r="HE173" s="174"/>
      <c r="HF173" s="174"/>
      <c r="HG173"/>
      <c r="HH173"/>
      <c r="HI173"/>
      <c r="HL173" s="5"/>
    </row>
    <row r="174" spans="87:220" x14ac:dyDescent="0.3">
      <c r="CI174"/>
      <c r="CJ174"/>
      <c r="CK174"/>
      <c r="FJ174"/>
      <c r="FK174"/>
      <c r="HD174" s="174"/>
      <c r="HE174" s="174"/>
      <c r="HF174" s="174"/>
      <c r="HG174"/>
      <c r="HH174"/>
      <c r="HI174"/>
      <c r="HL174" s="5"/>
    </row>
    <row r="175" spans="87:220" x14ac:dyDescent="0.3">
      <c r="CI175"/>
      <c r="CJ175"/>
      <c r="CK175"/>
      <c r="FJ175"/>
      <c r="FK175"/>
      <c r="HD175" s="174"/>
      <c r="HE175" s="174"/>
      <c r="HF175" s="174"/>
      <c r="HG175"/>
      <c r="HH175"/>
      <c r="HI175"/>
      <c r="HL175" s="5"/>
    </row>
    <row r="176" spans="87:220" x14ac:dyDescent="0.3">
      <c r="CI176"/>
      <c r="CJ176"/>
      <c r="CK176"/>
      <c r="FJ176"/>
      <c r="FK176"/>
      <c r="HD176" s="174"/>
      <c r="HE176" s="174"/>
      <c r="HF176" s="174"/>
      <c r="HG176"/>
      <c r="HH176"/>
      <c r="HI176"/>
      <c r="HL176" s="5"/>
    </row>
    <row r="177" spans="87:220" x14ac:dyDescent="0.3">
      <c r="CI177"/>
      <c r="CJ177"/>
      <c r="CK177"/>
      <c r="FJ177"/>
      <c r="FK177"/>
      <c r="HD177" s="174"/>
      <c r="HE177" s="174"/>
      <c r="HF177" s="174"/>
      <c r="HG177"/>
      <c r="HH177"/>
      <c r="HI177"/>
      <c r="HL177" s="5"/>
    </row>
    <row r="178" spans="87:220" x14ac:dyDescent="0.3">
      <c r="CI178"/>
      <c r="CJ178"/>
      <c r="CK178"/>
      <c r="FJ178"/>
      <c r="FK178"/>
      <c r="HD178" s="174"/>
      <c r="HE178" s="174"/>
      <c r="HF178" s="174"/>
      <c r="HG178"/>
      <c r="HH178"/>
      <c r="HI178"/>
      <c r="HL178" s="5"/>
    </row>
    <row r="179" spans="87:220" x14ac:dyDescent="0.3">
      <c r="CI179"/>
      <c r="CJ179"/>
      <c r="CK179"/>
      <c r="FJ179"/>
      <c r="FK179"/>
      <c r="HD179" s="174"/>
      <c r="HE179" s="174"/>
      <c r="HF179" s="174"/>
      <c r="HG179"/>
      <c r="HH179"/>
      <c r="HI179"/>
      <c r="HL179" s="5"/>
    </row>
    <row r="180" spans="87:220" x14ac:dyDescent="0.3">
      <c r="CI180"/>
      <c r="CJ180"/>
      <c r="CK180"/>
      <c r="FJ180"/>
      <c r="FK180"/>
      <c r="HD180" s="174"/>
      <c r="HE180" s="174"/>
      <c r="HF180" s="174"/>
      <c r="HG180"/>
      <c r="HH180"/>
      <c r="HI180"/>
      <c r="HL180" s="5"/>
    </row>
    <row r="181" spans="87:220" x14ac:dyDescent="0.3">
      <c r="CI181"/>
      <c r="CJ181"/>
      <c r="CK181"/>
      <c r="FJ181"/>
      <c r="FK181"/>
      <c r="HD181" s="174"/>
      <c r="HE181" s="174"/>
      <c r="HF181" s="174"/>
      <c r="HG181"/>
      <c r="HH181"/>
      <c r="HI181"/>
      <c r="HL181" s="5"/>
    </row>
    <row r="182" spans="87:220" x14ac:dyDescent="0.3">
      <c r="CI182"/>
      <c r="CJ182"/>
      <c r="CK182"/>
      <c r="FJ182"/>
      <c r="FK182"/>
      <c r="HD182" s="174"/>
      <c r="HE182" s="174"/>
      <c r="HF182" s="174"/>
      <c r="HG182"/>
      <c r="HH182"/>
      <c r="HI182"/>
      <c r="HL182" s="5"/>
    </row>
    <row r="183" spans="87:220" x14ac:dyDescent="0.3">
      <c r="CI183"/>
      <c r="CJ183"/>
      <c r="CK183"/>
      <c r="FJ183"/>
      <c r="FK183"/>
      <c r="HD183" s="174"/>
      <c r="HE183" s="174"/>
      <c r="HF183" s="174"/>
      <c r="HG183"/>
      <c r="HH183"/>
      <c r="HI183"/>
      <c r="HL183" s="5"/>
    </row>
    <row r="184" spans="87:220" x14ac:dyDescent="0.3">
      <c r="CI184"/>
      <c r="CJ184"/>
      <c r="CK184"/>
      <c r="FJ184"/>
      <c r="FK184"/>
      <c r="HD184" s="174"/>
      <c r="HE184" s="174"/>
      <c r="HF184" s="174"/>
      <c r="HG184"/>
      <c r="HH184"/>
      <c r="HI184"/>
      <c r="HL184" s="5"/>
    </row>
    <row r="185" spans="87:220" x14ac:dyDescent="0.3">
      <c r="CI185"/>
      <c r="CJ185"/>
      <c r="CK185"/>
      <c r="FJ185"/>
      <c r="FK185"/>
      <c r="HD185" s="174"/>
      <c r="HE185" s="174"/>
      <c r="HF185" s="174"/>
      <c r="HG185"/>
      <c r="HH185"/>
      <c r="HI185"/>
      <c r="HL185" s="5"/>
    </row>
    <row r="186" spans="87:220" x14ac:dyDescent="0.3">
      <c r="CI186"/>
      <c r="CJ186"/>
      <c r="CK186"/>
      <c r="FJ186"/>
      <c r="FK186"/>
      <c r="HD186" s="174"/>
      <c r="HE186" s="174"/>
      <c r="HF186" s="174"/>
      <c r="HG186"/>
      <c r="HH186"/>
      <c r="HI186"/>
      <c r="HL186" s="5"/>
    </row>
    <row r="187" spans="87:220" x14ac:dyDescent="0.3">
      <c r="CI187"/>
      <c r="CJ187"/>
      <c r="CK187"/>
      <c r="FJ187"/>
      <c r="FK187"/>
      <c r="HD187" s="174"/>
      <c r="HE187" s="174"/>
      <c r="HF187" s="174"/>
      <c r="HG187"/>
      <c r="HH187"/>
      <c r="HI187"/>
      <c r="HL187" s="5"/>
    </row>
    <row r="188" spans="87:220" x14ac:dyDescent="0.3">
      <c r="CI188"/>
      <c r="CJ188"/>
      <c r="CK188"/>
      <c r="FJ188"/>
      <c r="FK188"/>
      <c r="HG188"/>
      <c r="HH188"/>
      <c r="HI188"/>
      <c r="HL188" s="5"/>
    </row>
    <row r="189" spans="87:220" x14ac:dyDescent="0.3">
      <c r="CI189"/>
      <c r="CJ189"/>
      <c r="CK189"/>
      <c r="FJ189"/>
      <c r="FK189"/>
      <c r="HG189"/>
      <c r="HH189"/>
      <c r="HI189"/>
      <c r="HL189" s="5"/>
    </row>
    <row r="190" spans="87:220" x14ac:dyDescent="0.3">
      <c r="CI190"/>
      <c r="CJ190"/>
      <c r="CK190"/>
      <c r="FJ190"/>
      <c r="FK190"/>
      <c r="HG190"/>
      <c r="HH190"/>
      <c r="HI190"/>
      <c r="HL190" s="5"/>
    </row>
    <row r="191" spans="87:220" x14ac:dyDescent="0.3">
      <c r="CI191"/>
      <c r="CJ191"/>
      <c r="CK191"/>
      <c r="FJ191"/>
      <c r="FK191"/>
      <c r="HG191"/>
      <c r="HH191"/>
      <c r="HI191"/>
      <c r="HL191" s="5"/>
    </row>
    <row r="192" spans="87:220" x14ac:dyDescent="0.3">
      <c r="CI192"/>
      <c r="CJ192"/>
      <c r="CK192"/>
      <c r="FJ192"/>
      <c r="FK192"/>
      <c r="HG192"/>
      <c r="HH192"/>
      <c r="HI192"/>
      <c r="HL192" s="5"/>
    </row>
    <row r="193" spans="87:220" x14ac:dyDescent="0.3">
      <c r="CI193"/>
      <c r="CJ193"/>
      <c r="CK193"/>
      <c r="FJ193"/>
      <c r="FK193"/>
      <c r="HG193"/>
      <c r="HH193"/>
      <c r="HI193"/>
      <c r="HL193" s="5"/>
    </row>
    <row r="194" spans="87:220" x14ac:dyDescent="0.3">
      <c r="CI194"/>
      <c r="CJ194"/>
      <c r="CK194"/>
      <c r="FJ194"/>
      <c r="FK194"/>
      <c r="HG194"/>
      <c r="HH194"/>
      <c r="HI194"/>
      <c r="HL194" s="5"/>
    </row>
    <row r="195" spans="87:220" x14ac:dyDescent="0.3">
      <c r="CI195"/>
      <c r="CJ195"/>
      <c r="CK195"/>
      <c r="FJ195"/>
      <c r="FK195"/>
      <c r="HG195"/>
      <c r="HH195"/>
      <c r="HI195"/>
      <c r="HL195" s="5"/>
    </row>
    <row r="196" spans="87:220" x14ac:dyDescent="0.3">
      <c r="CI196"/>
      <c r="CJ196"/>
      <c r="CK196"/>
      <c r="FJ196"/>
      <c r="FK196"/>
      <c r="HG196"/>
      <c r="HH196"/>
      <c r="HI196"/>
      <c r="HL196" s="5"/>
    </row>
    <row r="197" spans="87:220" x14ac:dyDescent="0.3">
      <c r="CI197"/>
      <c r="CJ197"/>
      <c r="CK197"/>
      <c r="FJ197"/>
      <c r="FK197"/>
      <c r="HG197"/>
      <c r="HH197"/>
      <c r="HI197"/>
      <c r="HL197" s="5"/>
    </row>
    <row r="198" spans="87:220" x14ac:dyDescent="0.3">
      <c r="CI198"/>
      <c r="CJ198"/>
      <c r="CK198"/>
      <c r="FJ198"/>
      <c r="FK198"/>
      <c r="HG198"/>
      <c r="HH198"/>
      <c r="HI198"/>
      <c r="HL198" s="5"/>
    </row>
    <row r="199" spans="87:220" x14ac:dyDescent="0.3">
      <c r="CI199"/>
      <c r="CJ199"/>
      <c r="CK199"/>
      <c r="FJ199"/>
      <c r="FK199"/>
      <c r="HG199"/>
      <c r="HH199"/>
      <c r="HI199"/>
      <c r="HL199" s="5"/>
    </row>
    <row r="200" spans="87:220" x14ac:dyDescent="0.3">
      <c r="CI200"/>
      <c r="CJ200"/>
      <c r="CK200"/>
      <c r="FJ200"/>
      <c r="FK200"/>
      <c r="HG200"/>
      <c r="HH200"/>
      <c r="HI200"/>
      <c r="HL200" s="5"/>
    </row>
    <row r="201" spans="87:220" x14ac:dyDescent="0.3">
      <c r="CI201"/>
      <c r="CJ201"/>
      <c r="CK201"/>
      <c r="FJ201"/>
      <c r="FK201"/>
      <c r="HG201"/>
      <c r="HH201"/>
      <c r="HI201"/>
      <c r="HL201" s="5"/>
    </row>
    <row r="202" spans="87:220" x14ac:dyDescent="0.3">
      <c r="CI202"/>
      <c r="CJ202"/>
      <c r="CK202"/>
      <c r="FJ202"/>
      <c r="FK202"/>
      <c r="HG202"/>
      <c r="HH202"/>
      <c r="HI202"/>
      <c r="HL202" s="5"/>
    </row>
    <row r="203" spans="87:220" x14ac:dyDescent="0.3">
      <c r="CI203"/>
      <c r="CJ203"/>
      <c r="CK203"/>
      <c r="FJ203"/>
      <c r="FK203"/>
      <c r="HG203"/>
      <c r="HH203"/>
      <c r="HI203"/>
      <c r="HL203" s="5"/>
    </row>
    <row r="204" spans="87:220" x14ac:dyDescent="0.3">
      <c r="CI204"/>
      <c r="CJ204"/>
      <c r="CK204"/>
      <c r="FJ204"/>
      <c r="FK204"/>
      <c r="HG204"/>
      <c r="HH204"/>
      <c r="HI204"/>
      <c r="HL204" s="5"/>
    </row>
    <row r="205" spans="87:220" x14ac:dyDescent="0.3">
      <c r="CI205"/>
      <c r="CJ205"/>
      <c r="CK205"/>
      <c r="FJ205"/>
      <c r="FK205"/>
      <c r="HG205"/>
      <c r="HH205"/>
      <c r="HI205"/>
      <c r="HL205" s="5"/>
    </row>
    <row r="206" spans="87:220" x14ac:dyDescent="0.3">
      <c r="CI206"/>
      <c r="CJ206"/>
      <c r="CK206"/>
      <c r="FJ206"/>
      <c r="FK206"/>
      <c r="HG206"/>
      <c r="HH206"/>
      <c r="HI206"/>
      <c r="HL206" s="5"/>
    </row>
    <row r="207" spans="87:220" x14ac:dyDescent="0.3">
      <c r="CI207"/>
      <c r="CJ207"/>
      <c r="CK207"/>
      <c r="FJ207"/>
      <c r="FK207"/>
      <c r="HG207"/>
      <c r="HH207"/>
      <c r="HI207"/>
      <c r="HL207" s="5"/>
    </row>
    <row r="208" spans="87:220" x14ac:dyDescent="0.3">
      <c r="CI208"/>
      <c r="CJ208"/>
      <c r="CK208"/>
      <c r="FJ208"/>
      <c r="FK208"/>
      <c r="HG208"/>
      <c r="HH208"/>
      <c r="HI208"/>
      <c r="HL208" s="5"/>
    </row>
    <row r="209" spans="87:220" x14ac:dyDescent="0.3">
      <c r="CI209"/>
      <c r="CJ209"/>
      <c r="CK209"/>
      <c r="FJ209"/>
      <c r="FK209"/>
      <c r="HG209"/>
      <c r="HH209"/>
      <c r="HI209"/>
      <c r="HL209" s="5"/>
    </row>
    <row r="210" spans="87:220" x14ac:dyDescent="0.3">
      <c r="CI210"/>
      <c r="CJ210"/>
      <c r="CK210"/>
      <c r="FJ210"/>
      <c r="FK210"/>
      <c r="HG210"/>
      <c r="HH210"/>
      <c r="HI210"/>
      <c r="HL210" s="5"/>
    </row>
    <row r="211" spans="87:220" x14ac:dyDescent="0.3">
      <c r="CI211"/>
      <c r="CJ211"/>
      <c r="CK211"/>
      <c r="FJ211"/>
      <c r="FK211"/>
      <c r="HG211"/>
      <c r="HH211"/>
      <c r="HI211"/>
      <c r="HL211" s="5"/>
    </row>
    <row r="212" spans="87:220" x14ac:dyDescent="0.3">
      <c r="CI212"/>
      <c r="CJ212"/>
      <c r="CK212"/>
      <c r="FJ212"/>
      <c r="FK212"/>
      <c r="HG212"/>
      <c r="HH212"/>
      <c r="HI212"/>
      <c r="HL212" s="5"/>
    </row>
    <row r="213" spans="87:220" x14ac:dyDescent="0.3">
      <c r="CI213"/>
      <c r="CJ213"/>
      <c r="CK213"/>
      <c r="FJ213"/>
      <c r="FK213"/>
      <c r="HG213"/>
      <c r="HH213"/>
      <c r="HI213"/>
      <c r="HL213" s="5"/>
    </row>
    <row r="214" spans="87:220" x14ac:dyDescent="0.3">
      <c r="CI214"/>
      <c r="CJ214"/>
      <c r="CK214"/>
      <c r="FJ214"/>
      <c r="FK214"/>
      <c r="HG214"/>
      <c r="HH214"/>
      <c r="HI214"/>
      <c r="HL214" s="5"/>
    </row>
    <row r="215" spans="87:220" x14ac:dyDescent="0.3">
      <c r="CI215"/>
      <c r="CJ215"/>
      <c r="CK215"/>
      <c r="FJ215"/>
      <c r="FK215"/>
      <c r="HG215"/>
      <c r="HH215"/>
      <c r="HI215"/>
      <c r="HL215" s="5"/>
    </row>
    <row r="216" spans="87:220" x14ac:dyDescent="0.3">
      <c r="CI216"/>
      <c r="CJ216"/>
      <c r="CK216"/>
      <c r="FJ216"/>
      <c r="FK216"/>
      <c r="HG216"/>
      <c r="HH216"/>
      <c r="HI216"/>
      <c r="HL216" s="5"/>
    </row>
    <row r="217" spans="87:220" x14ac:dyDescent="0.3">
      <c r="CI217"/>
      <c r="CJ217"/>
      <c r="CK217"/>
      <c r="FJ217"/>
      <c r="FK217"/>
      <c r="HG217"/>
      <c r="HH217"/>
      <c r="HI217"/>
      <c r="HL217" s="5"/>
    </row>
    <row r="218" spans="87:220" x14ac:dyDescent="0.3">
      <c r="CI218"/>
      <c r="CJ218"/>
      <c r="CK218"/>
      <c r="FJ218"/>
      <c r="FK218"/>
      <c r="HG218"/>
      <c r="HH218"/>
      <c r="HI218"/>
      <c r="HL218" s="5"/>
    </row>
    <row r="219" spans="87:220" x14ac:dyDescent="0.3">
      <c r="CI219"/>
      <c r="CJ219"/>
      <c r="CK219"/>
      <c r="FJ219"/>
      <c r="FK219"/>
      <c r="HG219"/>
      <c r="HH219"/>
      <c r="HI219"/>
      <c r="HL219" s="5"/>
    </row>
    <row r="220" spans="87:220" x14ac:dyDescent="0.3">
      <c r="CI220"/>
      <c r="CJ220"/>
      <c r="CK220"/>
      <c r="FJ220"/>
      <c r="FK220"/>
      <c r="HG220"/>
      <c r="HH220"/>
      <c r="HI220"/>
      <c r="HL220" s="5"/>
    </row>
    <row r="221" spans="87:220" x14ac:dyDescent="0.3">
      <c r="CI221"/>
      <c r="CJ221"/>
      <c r="CK221"/>
      <c r="FJ221"/>
      <c r="FK221"/>
      <c r="HG221"/>
      <c r="HH221"/>
      <c r="HI221"/>
      <c r="HL221" s="5"/>
    </row>
    <row r="222" spans="87:220" x14ac:dyDescent="0.3">
      <c r="CI222"/>
      <c r="CJ222"/>
      <c r="CK222"/>
      <c r="FJ222"/>
      <c r="FK222"/>
      <c r="HG222"/>
      <c r="HH222"/>
      <c r="HI222"/>
      <c r="HL222" s="5"/>
    </row>
    <row r="223" spans="87:220" x14ac:dyDescent="0.3">
      <c r="CI223"/>
      <c r="CJ223"/>
      <c r="CK223"/>
      <c r="FJ223"/>
      <c r="FK223"/>
      <c r="HG223"/>
      <c r="HH223"/>
      <c r="HI223"/>
      <c r="HL223" s="5"/>
    </row>
    <row r="224" spans="87:220" x14ac:dyDescent="0.3">
      <c r="CI224"/>
      <c r="CJ224"/>
      <c r="CK224"/>
      <c r="FJ224"/>
      <c r="FK224"/>
      <c r="HG224"/>
      <c r="HH224"/>
      <c r="HI224"/>
      <c r="HL224" s="5"/>
    </row>
    <row r="225" spans="87:220" x14ac:dyDescent="0.3">
      <c r="CI225"/>
      <c r="CJ225"/>
      <c r="CK225"/>
      <c r="FJ225"/>
      <c r="FK225"/>
      <c r="HG225"/>
      <c r="HH225"/>
      <c r="HI225"/>
      <c r="HL225" s="5"/>
    </row>
    <row r="226" spans="87:220" x14ac:dyDescent="0.3">
      <c r="CI226"/>
      <c r="CJ226"/>
      <c r="CK226"/>
      <c r="FJ226"/>
      <c r="FK226"/>
      <c r="HG226"/>
      <c r="HH226"/>
      <c r="HI226"/>
      <c r="HL226" s="5"/>
    </row>
    <row r="227" spans="87:220" x14ac:dyDescent="0.3">
      <c r="CI227"/>
      <c r="CJ227"/>
      <c r="CK227"/>
      <c r="FJ227"/>
      <c r="FK227"/>
      <c r="HG227"/>
      <c r="HH227"/>
      <c r="HI227"/>
      <c r="HL227" s="5"/>
    </row>
    <row r="228" spans="87:220" x14ac:dyDescent="0.3">
      <c r="CI228"/>
      <c r="CJ228"/>
      <c r="CK228"/>
      <c r="FJ228"/>
      <c r="FK228"/>
      <c r="HG228"/>
      <c r="HH228"/>
      <c r="HI228"/>
      <c r="HL228" s="5"/>
    </row>
    <row r="229" spans="87:220" x14ac:dyDescent="0.3">
      <c r="CI229"/>
      <c r="CJ229"/>
      <c r="CK229"/>
      <c r="FJ229"/>
      <c r="FK229"/>
      <c r="HG229"/>
      <c r="HH229"/>
      <c r="HI229"/>
      <c r="HL229" s="5"/>
    </row>
    <row r="230" spans="87:220" x14ac:dyDescent="0.3">
      <c r="CI230"/>
      <c r="CJ230"/>
      <c r="CK230"/>
      <c r="FJ230"/>
      <c r="FK230"/>
      <c r="HG230"/>
      <c r="HH230"/>
      <c r="HI230"/>
      <c r="HL230" s="5"/>
    </row>
    <row r="231" spans="87:220" x14ac:dyDescent="0.3">
      <c r="CI231"/>
      <c r="CJ231"/>
      <c r="CK231"/>
      <c r="FJ231"/>
      <c r="FK231"/>
      <c r="HG231"/>
      <c r="HH231"/>
      <c r="HI231"/>
      <c r="HL231" s="5"/>
    </row>
    <row r="232" spans="87:220" x14ac:dyDescent="0.3">
      <c r="CI232"/>
      <c r="CJ232"/>
      <c r="CK232"/>
      <c r="FJ232"/>
      <c r="FK232"/>
      <c r="HG232"/>
      <c r="HH232"/>
      <c r="HI232"/>
      <c r="HL232" s="5"/>
    </row>
    <row r="233" spans="87:220" x14ac:dyDescent="0.3">
      <c r="CI233"/>
      <c r="CJ233"/>
      <c r="CK233"/>
      <c r="FJ233"/>
      <c r="FK233"/>
      <c r="HG233"/>
      <c r="HH233"/>
      <c r="HI233"/>
      <c r="HL233" s="5"/>
    </row>
    <row r="234" spans="87:220" x14ac:dyDescent="0.3">
      <c r="CI234"/>
      <c r="CJ234"/>
      <c r="CK234"/>
      <c r="FJ234"/>
      <c r="FK234"/>
      <c r="HG234"/>
      <c r="HH234"/>
      <c r="HI234"/>
      <c r="HL234" s="5"/>
    </row>
    <row r="235" spans="87:220" x14ac:dyDescent="0.3">
      <c r="CI235"/>
      <c r="CJ235"/>
      <c r="CK235"/>
      <c r="FJ235"/>
      <c r="FK235"/>
      <c r="HG235"/>
      <c r="HH235"/>
      <c r="HI235"/>
      <c r="HL235" s="5"/>
    </row>
    <row r="236" spans="87:220" x14ac:dyDescent="0.3">
      <c r="CI236"/>
      <c r="CJ236"/>
      <c r="CK236"/>
      <c r="FJ236"/>
      <c r="FK236"/>
      <c r="HG236"/>
      <c r="HH236"/>
      <c r="HI236"/>
      <c r="HL236" s="5"/>
    </row>
    <row r="237" spans="87:220" x14ac:dyDescent="0.3">
      <c r="CI237"/>
      <c r="CJ237"/>
      <c r="CK237"/>
      <c r="FJ237"/>
      <c r="FK237"/>
      <c r="HG237"/>
      <c r="HH237"/>
      <c r="HI237"/>
      <c r="HL237" s="5"/>
    </row>
    <row r="238" spans="87:220" x14ac:dyDescent="0.3">
      <c r="CI238"/>
      <c r="CJ238"/>
      <c r="CK238"/>
      <c r="FJ238"/>
      <c r="FK238"/>
      <c r="HG238"/>
      <c r="HH238"/>
      <c r="HI238"/>
      <c r="HL238" s="5"/>
    </row>
    <row r="239" spans="87:220" x14ac:dyDescent="0.3">
      <c r="CI239"/>
      <c r="CJ239"/>
      <c r="CK239"/>
      <c r="FJ239"/>
      <c r="FK239"/>
      <c r="HG239"/>
      <c r="HH239"/>
      <c r="HI239"/>
      <c r="HL239" s="5"/>
    </row>
    <row r="240" spans="87:220" x14ac:dyDescent="0.3">
      <c r="CI240"/>
      <c r="CJ240"/>
      <c r="CK240"/>
      <c r="FJ240"/>
      <c r="FK240"/>
      <c r="HG240"/>
      <c r="HH240"/>
      <c r="HI240"/>
      <c r="HL240" s="5"/>
    </row>
    <row r="241" spans="87:220" x14ac:dyDescent="0.3">
      <c r="CI241"/>
      <c r="CJ241"/>
      <c r="CK241"/>
      <c r="FJ241"/>
      <c r="FK241"/>
      <c r="HG241"/>
      <c r="HH241"/>
      <c r="HI241"/>
      <c r="HL241" s="5"/>
    </row>
    <row r="242" spans="87:220" x14ac:dyDescent="0.3">
      <c r="CI242"/>
      <c r="CJ242"/>
      <c r="CK242"/>
      <c r="FJ242"/>
      <c r="FK242"/>
      <c r="HG242"/>
      <c r="HH242"/>
      <c r="HI242"/>
      <c r="HL242" s="5"/>
    </row>
    <row r="243" spans="87:220" x14ac:dyDescent="0.3">
      <c r="CI243"/>
      <c r="CJ243"/>
      <c r="CK243"/>
      <c r="FJ243"/>
      <c r="FK243"/>
      <c r="HG243"/>
      <c r="HH243"/>
      <c r="HI243"/>
      <c r="HL243" s="5"/>
    </row>
    <row r="244" spans="87:220" x14ac:dyDescent="0.3">
      <c r="CI244"/>
      <c r="CJ244"/>
      <c r="CK244"/>
      <c r="FJ244"/>
      <c r="FK244"/>
      <c r="HG244"/>
      <c r="HH244"/>
      <c r="HI244"/>
      <c r="HL244" s="5"/>
    </row>
    <row r="245" spans="87:220" x14ac:dyDescent="0.3">
      <c r="CI245"/>
      <c r="CJ245"/>
      <c r="CK245"/>
      <c r="FJ245"/>
      <c r="FK245"/>
      <c r="HG245"/>
      <c r="HH245"/>
      <c r="HI245"/>
      <c r="HL245" s="5"/>
    </row>
    <row r="246" spans="87:220" x14ac:dyDescent="0.3">
      <c r="CI246"/>
      <c r="CJ246"/>
      <c r="CK246"/>
      <c r="FJ246"/>
      <c r="FK246"/>
      <c r="HL246" s="5"/>
    </row>
    <row r="247" spans="87:220" x14ac:dyDescent="0.3">
      <c r="CI247"/>
      <c r="CJ247"/>
      <c r="CK247"/>
      <c r="FJ247"/>
      <c r="FK247"/>
      <c r="HL247" s="5"/>
    </row>
    <row r="248" spans="87:220" x14ac:dyDescent="0.3">
      <c r="CI248"/>
      <c r="CJ248"/>
      <c r="CK248"/>
      <c r="FJ248"/>
      <c r="FK248"/>
      <c r="HL248" s="5"/>
    </row>
    <row r="249" spans="87:220" x14ac:dyDescent="0.3">
      <c r="CI249"/>
      <c r="CJ249"/>
      <c r="CK249"/>
      <c r="FJ249"/>
      <c r="FK249"/>
      <c r="HL249" s="5"/>
    </row>
    <row r="250" spans="87:220" x14ac:dyDescent="0.3">
      <c r="CI250"/>
      <c r="CJ250"/>
      <c r="CK250"/>
      <c r="FJ250"/>
      <c r="FK250"/>
      <c r="HL250" s="5"/>
    </row>
    <row r="251" spans="87:220" x14ac:dyDescent="0.3">
      <c r="CI251"/>
      <c r="CJ251"/>
      <c r="CK251"/>
      <c r="FJ251"/>
      <c r="FK251"/>
      <c r="HL251" s="5"/>
    </row>
    <row r="252" spans="87:220" x14ac:dyDescent="0.3">
      <c r="CI252"/>
      <c r="CJ252"/>
      <c r="CK252"/>
      <c r="FJ252"/>
      <c r="FK252"/>
      <c r="HL252" s="5"/>
    </row>
    <row r="253" spans="87:220" x14ac:dyDescent="0.3">
      <c r="CI253"/>
      <c r="CJ253"/>
      <c r="CK253"/>
      <c r="FJ253"/>
      <c r="FK253"/>
      <c r="HL253" s="5"/>
    </row>
    <row r="254" spans="87:220" x14ac:dyDescent="0.3">
      <c r="CI254"/>
      <c r="CJ254"/>
      <c r="CK254"/>
      <c r="FJ254"/>
      <c r="FK254"/>
      <c r="HL254" s="5"/>
    </row>
    <row r="255" spans="87:220" x14ac:dyDescent="0.3">
      <c r="CI255"/>
      <c r="CJ255"/>
      <c r="CK255"/>
      <c r="FJ255"/>
      <c r="FK255"/>
      <c r="HL255" s="5"/>
    </row>
    <row r="256" spans="87:220" x14ac:dyDescent="0.3">
      <c r="CI256"/>
      <c r="CJ256"/>
      <c r="CK256"/>
      <c r="FJ256"/>
      <c r="FK256"/>
      <c r="HL256" s="5"/>
    </row>
    <row r="257" spans="87:220" x14ac:dyDescent="0.3">
      <c r="CI257"/>
      <c r="CJ257"/>
      <c r="CK257"/>
      <c r="FJ257"/>
      <c r="FK257"/>
      <c r="HL257" s="5"/>
    </row>
    <row r="258" spans="87:220" x14ac:dyDescent="0.3">
      <c r="CI258"/>
      <c r="CJ258"/>
      <c r="CK258"/>
      <c r="FJ258"/>
      <c r="FK258"/>
      <c r="HL258" s="5"/>
    </row>
    <row r="259" spans="87:220" x14ac:dyDescent="0.3">
      <c r="CI259"/>
      <c r="CJ259"/>
      <c r="CK259"/>
      <c r="FJ259"/>
      <c r="FK259"/>
      <c r="HL259" s="5"/>
    </row>
    <row r="260" spans="87:220" x14ac:dyDescent="0.3">
      <c r="CI260"/>
      <c r="CJ260"/>
      <c r="CK260"/>
      <c r="FJ260"/>
      <c r="FK260"/>
      <c r="HL260" s="5"/>
    </row>
    <row r="261" spans="87:220" x14ac:dyDescent="0.3">
      <c r="CI261"/>
      <c r="CJ261"/>
      <c r="CK261"/>
      <c r="FJ261"/>
      <c r="FK261"/>
      <c r="HL261" s="5"/>
    </row>
    <row r="262" spans="87:220" x14ac:dyDescent="0.3">
      <c r="CI262"/>
      <c r="CJ262"/>
      <c r="CK262"/>
      <c r="FJ262"/>
      <c r="FK262"/>
      <c r="HL262" s="5"/>
    </row>
    <row r="263" spans="87:220" x14ac:dyDescent="0.3">
      <c r="CI263"/>
      <c r="CJ263"/>
      <c r="CK263"/>
      <c r="FJ263"/>
      <c r="FK263"/>
      <c r="HL263" s="5"/>
    </row>
    <row r="264" spans="87:220" x14ac:dyDescent="0.3">
      <c r="CI264"/>
      <c r="CJ264"/>
      <c r="CK264"/>
      <c r="FJ264"/>
      <c r="FK264"/>
      <c r="HL264" s="5"/>
    </row>
    <row r="265" spans="87:220" x14ac:dyDescent="0.3">
      <c r="CI265"/>
      <c r="CJ265"/>
      <c r="CK265"/>
      <c r="FJ265"/>
      <c r="FK265"/>
      <c r="HL265" s="5"/>
    </row>
    <row r="266" spans="87:220" x14ac:dyDescent="0.3">
      <c r="CI266"/>
      <c r="CJ266"/>
      <c r="CK266"/>
      <c r="FJ266"/>
      <c r="FK266"/>
      <c r="HL266" s="5"/>
    </row>
    <row r="267" spans="87:220" x14ac:dyDescent="0.3">
      <c r="CI267"/>
      <c r="CJ267"/>
      <c r="CK267"/>
      <c r="FJ267"/>
      <c r="FK267"/>
      <c r="HL267" s="5"/>
    </row>
    <row r="268" spans="87:220" x14ac:dyDescent="0.3">
      <c r="CI268"/>
      <c r="CJ268"/>
      <c r="CK268"/>
      <c r="FJ268"/>
      <c r="FK268"/>
      <c r="HL268" s="5"/>
    </row>
    <row r="269" spans="87:220" x14ac:dyDescent="0.3">
      <c r="CI269"/>
      <c r="CJ269"/>
      <c r="CK269"/>
      <c r="FJ269"/>
      <c r="FK269"/>
      <c r="HL269" s="5"/>
    </row>
    <row r="270" spans="87:220" x14ac:dyDescent="0.3">
      <c r="CI270"/>
      <c r="CJ270"/>
      <c r="CK270"/>
      <c r="FJ270"/>
      <c r="FK270"/>
      <c r="HL270" s="5"/>
    </row>
    <row r="271" spans="87:220" x14ac:dyDescent="0.3">
      <c r="CI271"/>
      <c r="CJ271"/>
      <c r="CK271"/>
      <c r="FJ271"/>
      <c r="FK271"/>
      <c r="HL271" s="5"/>
    </row>
    <row r="272" spans="87:220" x14ac:dyDescent="0.3">
      <c r="CI272"/>
      <c r="CJ272"/>
      <c r="CK272"/>
      <c r="FJ272"/>
      <c r="FK272"/>
      <c r="HL272" s="5"/>
    </row>
    <row r="273" spans="87:220" x14ac:dyDescent="0.3">
      <c r="CI273"/>
      <c r="CJ273"/>
      <c r="CK273"/>
      <c r="FJ273"/>
      <c r="FK273"/>
      <c r="HL273" s="5"/>
    </row>
    <row r="274" spans="87:220" x14ac:dyDescent="0.3">
      <c r="CI274"/>
      <c r="CJ274"/>
      <c r="CK274"/>
      <c r="FJ274"/>
      <c r="FK274"/>
      <c r="HL274" s="5"/>
    </row>
    <row r="275" spans="87:220" x14ac:dyDescent="0.3">
      <c r="CI275"/>
      <c r="CJ275"/>
      <c r="CK275"/>
      <c r="FJ275"/>
      <c r="FK275"/>
      <c r="HL275" s="5"/>
    </row>
    <row r="276" spans="87:220" x14ac:dyDescent="0.3">
      <c r="CI276"/>
      <c r="CJ276"/>
      <c r="CK276"/>
      <c r="FJ276"/>
      <c r="FK276"/>
      <c r="HL276" s="5"/>
    </row>
    <row r="277" spans="87:220" x14ac:dyDescent="0.3">
      <c r="CI277"/>
      <c r="CJ277"/>
      <c r="CK277"/>
      <c r="FJ277"/>
      <c r="FK277"/>
      <c r="HL277" s="5"/>
    </row>
    <row r="278" spans="87:220" x14ac:dyDescent="0.3">
      <c r="CI278"/>
      <c r="CJ278"/>
      <c r="CK278"/>
      <c r="FJ278"/>
      <c r="FK278"/>
      <c r="HL278" s="5"/>
    </row>
    <row r="279" spans="87:220" x14ac:dyDescent="0.3">
      <c r="CI279"/>
      <c r="CJ279"/>
      <c r="CK279"/>
      <c r="FJ279"/>
      <c r="FK279"/>
      <c r="HL279" s="5"/>
    </row>
    <row r="280" spans="87:220" x14ac:dyDescent="0.3">
      <c r="CI280"/>
      <c r="CJ280"/>
      <c r="CK280"/>
      <c r="FJ280"/>
      <c r="FK280"/>
      <c r="HL280" s="5"/>
    </row>
    <row r="281" spans="87:220" x14ac:dyDescent="0.3">
      <c r="CI281"/>
      <c r="CJ281"/>
      <c r="CK281"/>
      <c r="FJ281"/>
      <c r="FK281"/>
      <c r="HL281" s="5"/>
    </row>
    <row r="282" spans="87:220" x14ac:dyDescent="0.3">
      <c r="CI282"/>
      <c r="CJ282"/>
      <c r="CK282"/>
      <c r="FJ282"/>
      <c r="FK282"/>
      <c r="HL282" s="5"/>
    </row>
    <row r="283" spans="87:220" x14ac:dyDescent="0.3">
      <c r="CI283"/>
      <c r="CJ283"/>
      <c r="CK283"/>
      <c r="FJ283"/>
      <c r="FK283"/>
      <c r="HL283" s="5"/>
    </row>
    <row r="284" spans="87:220" x14ac:dyDescent="0.3">
      <c r="CI284"/>
      <c r="CJ284"/>
      <c r="CK284"/>
      <c r="FJ284"/>
      <c r="FK284"/>
      <c r="HL284" s="5"/>
    </row>
    <row r="285" spans="87:220" x14ac:dyDescent="0.3">
      <c r="CI285"/>
      <c r="CJ285"/>
      <c r="CK285"/>
      <c r="FJ285"/>
      <c r="FK285"/>
      <c r="HL285" s="5"/>
    </row>
    <row r="286" spans="87:220" x14ac:dyDescent="0.3">
      <c r="CI286"/>
      <c r="CJ286"/>
      <c r="CK286"/>
      <c r="FJ286"/>
      <c r="FK286"/>
      <c r="HL286" s="5"/>
    </row>
    <row r="287" spans="87:220" x14ac:dyDescent="0.3">
      <c r="CI287"/>
      <c r="CJ287"/>
      <c r="CK287"/>
      <c r="FJ287"/>
      <c r="FK287"/>
      <c r="HL287" s="5"/>
    </row>
    <row r="288" spans="87:220" x14ac:dyDescent="0.3">
      <c r="CI288"/>
      <c r="CJ288"/>
      <c r="CK288"/>
      <c r="FJ288"/>
      <c r="FK288"/>
      <c r="HL288" s="5"/>
    </row>
    <row r="289" spans="87:220" x14ac:dyDescent="0.3">
      <c r="CI289"/>
      <c r="CJ289"/>
      <c r="CK289"/>
      <c r="FJ289"/>
      <c r="FK289"/>
      <c r="HL289" s="5"/>
    </row>
    <row r="290" spans="87:220" x14ac:dyDescent="0.3">
      <c r="CI290"/>
      <c r="CJ290"/>
      <c r="CK290"/>
      <c r="FJ290"/>
      <c r="FK290"/>
      <c r="HL290" s="5"/>
    </row>
    <row r="291" spans="87:220" x14ac:dyDescent="0.3">
      <c r="CI291"/>
      <c r="CJ291"/>
      <c r="CK291"/>
      <c r="FJ291"/>
      <c r="FK291"/>
      <c r="HL291" s="5"/>
    </row>
    <row r="292" spans="87:220" x14ac:dyDescent="0.3">
      <c r="CI292"/>
      <c r="CJ292"/>
      <c r="CK292"/>
      <c r="FJ292"/>
      <c r="FK292"/>
      <c r="HL292" s="5"/>
    </row>
    <row r="293" spans="87:220" x14ac:dyDescent="0.3">
      <c r="CI293"/>
      <c r="CJ293"/>
      <c r="CK293"/>
      <c r="FJ293"/>
      <c r="FK293"/>
      <c r="HL293" s="5"/>
    </row>
    <row r="294" spans="87:220" x14ac:dyDescent="0.3">
      <c r="CI294"/>
      <c r="CJ294"/>
      <c r="CK294"/>
      <c r="FJ294"/>
      <c r="FK294"/>
      <c r="HL294" s="5"/>
    </row>
    <row r="295" spans="87:220" x14ac:dyDescent="0.3">
      <c r="CI295"/>
      <c r="CJ295"/>
      <c r="CK295"/>
      <c r="FJ295"/>
      <c r="FK295"/>
      <c r="HL295" s="5"/>
    </row>
    <row r="296" spans="87:220" x14ac:dyDescent="0.3">
      <c r="CI296"/>
      <c r="CJ296"/>
      <c r="CK296"/>
      <c r="FJ296"/>
      <c r="FK296"/>
      <c r="HL296" s="5"/>
    </row>
    <row r="297" spans="87:220" x14ac:dyDescent="0.3">
      <c r="CI297"/>
      <c r="CJ297"/>
      <c r="CK297"/>
      <c r="FJ297"/>
      <c r="FK297"/>
      <c r="HL297" s="5"/>
    </row>
    <row r="298" spans="87:220" x14ac:dyDescent="0.3">
      <c r="CI298"/>
      <c r="CJ298"/>
      <c r="CK298"/>
      <c r="FJ298"/>
      <c r="FK298"/>
      <c r="HL298" s="5"/>
    </row>
    <row r="299" spans="87:220" x14ac:dyDescent="0.3">
      <c r="CI299"/>
      <c r="CJ299"/>
      <c r="CK299"/>
      <c r="FJ299"/>
      <c r="FK299"/>
      <c r="HL299" s="5"/>
    </row>
    <row r="300" spans="87:220" x14ac:dyDescent="0.3">
      <c r="CI300"/>
      <c r="CJ300"/>
      <c r="CK300"/>
      <c r="FJ300"/>
      <c r="FK300"/>
      <c r="HL300" s="5"/>
    </row>
    <row r="301" spans="87:220" x14ac:dyDescent="0.3">
      <c r="CI301"/>
      <c r="CJ301"/>
      <c r="CK301"/>
      <c r="FJ301"/>
      <c r="FK301"/>
      <c r="HL301" s="5"/>
    </row>
    <row r="302" spans="87:220" x14ac:dyDescent="0.3">
      <c r="CI302"/>
      <c r="CJ302"/>
      <c r="CK302"/>
      <c r="FJ302"/>
      <c r="FK302"/>
      <c r="HL302" s="5"/>
    </row>
    <row r="303" spans="87:220" x14ac:dyDescent="0.3">
      <c r="CI303"/>
      <c r="CJ303"/>
      <c r="CK303"/>
      <c r="FJ303"/>
      <c r="FK303"/>
      <c r="HL303" s="5"/>
    </row>
    <row r="304" spans="87:220" x14ac:dyDescent="0.3">
      <c r="CI304"/>
      <c r="CJ304"/>
      <c r="CK304"/>
      <c r="FJ304"/>
      <c r="FK304"/>
      <c r="HL304" s="5"/>
    </row>
    <row r="305" spans="87:220" x14ac:dyDescent="0.3">
      <c r="CI305"/>
      <c r="CJ305"/>
      <c r="CK305"/>
      <c r="FJ305"/>
      <c r="FK305"/>
      <c r="HL305" s="5"/>
    </row>
    <row r="306" spans="87:220" x14ac:dyDescent="0.3">
      <c r="CI306"/>
      <c r="CJ306"/>
      <c r="CK306"/>
      <c r="FJ306"/>
      <c r="FK306"/>
      <c r="HL306" s="5"/>
    </row>
    <row r="307" spans="87:220" x14ac:dyDescent="0.3">
      <c r="CI307"/>
      <c r="CJ307"/>
      <c r="CK307"/>
      <c r="FJ307"/>
      <c r="FK307"/>
      <c r="HL307" s="5"/>
    </row>
    <row r="308" spans="87:220" x14ac:dyDescent="0.3">
      <c r="CI308"/>
      <c r="CJ308"/>
      <c r="CK308"/>
      <c r="FJ308"/>
      <c r="FK308"/>
      <c r="HL308" s="5"/>
    </row>
    <row r="309" spans="87:220" x14ac:dyDescent="0.3">
      <c r="CI309"/>
      <c r="CJ309"/>
      <c r="CK309"/>
      <c r="FJ309"/>
      <c r="FK309"/>
      <c r="HL309" s="5"/>
    </row>
    <row r="310" spans="87:220" x14ac:dyDescent="0.3">
      <c r="CI310"/>
      <c r="CJ310"/>
      <c r="CK310"/>
      <c r="FJ310"/>
      <c r="FK310"/>
      <c r="HL310" s="5"/>
    </row>
    <row r="311" spans="87:220" x14ac:dyDescent="0.3">
      <c r="CI311"/>
      <c r="CJ311"/>
      <c r="CK311"/>
      <c r="FJ311"/>
      <c r="FK311"/>
      <c r="HL311" s="5"/>
    </row>
    <row r="312" spans="87:220" x14ac:dyDescent="0.3">
      <c r="CI312"/>
      <c r="CJ312"/>
      <c r="CK312"/>
      <c r="FJ312"/>
      <c r="FK312"/>
      <c r="HL312" s="5"/>
    </row>
    <row r="313" spans="87:220" x14ac:dyDescent="0.3">
      <c r="CI313"/>
      <c r="CJ313"/>
      <c r="CK313"/>
      <c r="FJ313"/>
      <c r="FK313"/>
      <c r="HL313" s="5"/>
    </row>
    <row r="314" spans="87:220" x14ac:dyDescent="0.3">
      <c r="CI314"/>
      <c r="CJ314"/>
      <c r="CK314"/>
      <c r="FJ314"/>
      <c r="FK314"/>
      <c r="HL314" s="5"/>
    </row>
    <row r="315" spans="87:220" x14ac:dyDescent="0.3">
      <c r="CI315"/>
      <c r="CJ315"/>
      <c r="CK315"/>
      <c r="FJ315"/>
      <c r="FK315"/>
      <c r="HL315" s="5"/>
    </row>
    <row r="316" spans="87:220" x14ac:dyDescent="0.3">
      <c r="CI316"/>
      <c r="CJ316"/>
      <c r="CK316"/>
      <c r="FJ316"/>
      <c r="FK316"/>
      <c r="HL316" s="5"/>
    </row>
    <row r="317" spans="87:220" x14ac:dyDescent="0.3">
      <c r="CI317"/>
      <c r="CJ317"/>
      <c r="CK317"/>
      <c r="FJ317"/>
      <c r="FK317"/>
      <c r="HL317" s="5"/>
    </row>
    <row r="318" spans="87:220" x14ac:dyDescent="0.3">
      <c r="CI318"/>
      <c r="CJ318"/>
      <c r="CK318"/>
      <c r="FJ318"/>
      <c r="FK318"/>
      <c r="HL318" s="5"/>
    </row>
    <row r="319" spans="87:220" x14ac:dyDescent="0.3">
      <c r="CI319"/>
      <c r="CJ319"/>
      <c r="CK319"/>
      <c r="FJ319"/>
      <c r="FK319"/>
      <c r="HL319" s="5"/>
    </row>
    <row r="320" spans="87:220" x14ac:dyDescent="0.3">
      <c r="CI320"/>
      <c r="CJ320"/>
      <c r="CK320"/>
      <c r="FJ320"/>
      <c r="FK320"/>
      <c r="HL320" s="5"/>
    </row>
    <row r="321" spans="87:220" x14ac:dyDescent="0.3">
      <c r="CI321"/>
      <c r="CJ321"/>
      <c r="CK321"/>
      <c r="FJ321"/>
      <c r="FK321"/>
      <c r="HL321" s="5"/>
    </row>
    <row r="322" spans="87:220" x14ac:dyDescent="0.3">
      <c r="FJ322"/>
      <c r="FK322"/>
      <c r="HL322" s="5"/>
    </row>
    <row r="323" spans="87:220" x14ac:dyDescent="0.3">
      <c r="FJ323"/>
      <c r="FK323"/>
      <c r="HL323" s="5"/>
    </row>
    <row r="324" spans="87:220" x14ac:dyDescent="0.3">
      <c r="FJ324"/>
      <c r="FK324"/>
      <c r="HL324" s="5"/>
    </row>
    <row r="325" spans="87:220" x14ac:dyDescent="0.3">
      <c r="FJ325"/>
      <c r="FK325"/>
      <c r="HL325" s="5"/>
    </row>
    <row r="326" spans="87:220" x14ac:dyDescent="0.3">
      <c r="FJ326"/>
      <c r="FK326"/>
      <c r="HL326" s="5"/>
    </row>
    <row r="327" spans="87:220" x14ac:dyDescent="0.3">
      <c r="FJ327"/>
      <c r="FK327"/>
      <c r="HL327" s="5"/>
    </row>
    <row r="328" spans="87:220" x14ac:dyDescent="0.3">
      <c r="FJ328"/>
      <c r="FK328"/>
      <c r="HL328" s="5"/>
    </row>
    <row r="329" spans="87:220" x14ac:dyDescent="0.3">
      <c r="FJ329"/>
      <c r="FK329"/>
      <c r="HL329" s="5"/>
    </row>
    <row r="330" spans="87:220" x14ac:dyDescent="0.3">
      <c r="FJ330"/>
      <c r="FK330"/>
      <c r="HL330" s="5"/>
    </row>
    <row r="331" spans="87:220" x14ac:dyDescent="0.3">
      <c r="FJ331"/>
      <c r="FK331"/>
      <c r="HL331" s="5"/>
    </row>
    <row r="332" spans="87:220" x14ac:dyDescent="0.3">
      <c r="FJ332"/>
      <c r="FK332"/>
      <c r="HL332" s="5"/>
    </row>
    <row r="333" spans="87:220" x14ac:dyDescent="0.3">
      <c r="FJ333"/>
      <c r="FK333"/>
      <c r="HL333" s="5"/>
    </row>
    <row r="334" spans="87:220" x14ac:dyDescent="0.3">
      <c r="FJ334"/>
      <c r="FK334"/>
      <c r="HL334" s="5"/>
    </row>
    <row r="335" spans="87:220" x14ac:dyDescent="0.3">
      <c r="FJ335"/>
      <c r="FK335"/>
      <c r="HL335" s="5"/>
    </row>
    <row r="336" spans="87:220" x14ac:dyDescent="0.3">
      <c r="FJ336"/>
      <c r="FK336"/>
      <c r="HL336" s="5"/>
    </row>
    <row r="337" spans="166:220" x14ac:dyDescent="0.3">
      <c r="FJ337"/>
      <c r="FK337"/>
      <c r="HL337" s="5"/>
    </row>
    <row r="338" spans="166:220" x14ac:dyDescent="0.3">
      <c r="FJ338"/>
      <c r="FK338"/>
      <c r="HL338" s="5"/>
    </row>
    <row r="339" spans="166:220" x14ac:dyDescent="0.3">
      <c r="FJ339"/>
      <c r="FK339"/>
      <c r="HL339" s="5"/>
    </row>
    <row r="340" spans="166:220" x14ac:dyDescent="0.3">
      <c r="FJ340"/>
      <c r="FK340"/>
      <c r="HL340" s="5"/>
    </row>
    <row r="341" spans="166:220" x14ac:dyDescent="0.3">
      <c r="FJ341"/>
      <c r="FK341"/>
      <c r="HL341" s="5"/>
    </row>
    <row r="342" spans="166:220" x14ac:dyDescent="0.3">
      <c r="FJ342"/>
      <c r="FK342"/>
      <c r="HL342" s="5"/>
    </row>
    <row r="343" spans="166:220" x14ac:dyDescent="0.3">
      <c r="FJ343"/>
      <c r="FK343"/>
      <c r="HL343" s="5"/>
    </row>
    <row r="344" spans="166:220" x14ac:dyDescent="0.3">
      <c r="FJ344"/>
      <c r="FK344"/>
      <c r="HL344" s="5"/>
    </row>
    <row r="345" spans="166:220" x14ac:dyDescent="0.3">
      <c r="FJ345"/>
      <c r="FK345"/>
      <c r="HL345" s="5"/>
    </row>
    <row r="346" spans="166:220" x14ac:dyDescent="0.3">
      <c r="FJ346"/>
      <c r="FK346"/>
      <c r="HL346" s="5"/>
    </row>
    <row r="347" spans="166:220" x14ac:dyDescent="0.3">
      <c r="FJ347"/>
      <c r="FK347"/>
      <c r="HL347" s="5"/>
    </row>
    <row r="348" spans="166:220" x14ac:dyDescent="0.3">
      <c r="FJ348"/>
      <c r="FK348"/>
      <c r="HL348" s="5"/>
    </row>
    <row r="349" spans="166:220" x14ac:dyDescent="0.3">
      <c r="FJ349"/>
      <c r="FK349"/>
      <c r="HL349" s="5"/>
    </row>
    <row r="350" spans="166:220" x14ac:dyDescent="0.3">
      <c r="FJ350"/>
      <c r="FK350"/>
      <c r="HL350" s="5"/>
    </row>
    <row r="351" spans="166:220" x14ac:dyDescent="0.3">
      <c r="FJ351"/>
      <c r="FK351"/>
      <c r="HL351" s="5"/>
    </row>
    <row r="352" spans="166:220" x14ac:dyDescent="0.3">
      <c r="FJ352"/>
      <c r="FK352"/>
      <c r="HL352" s="5"/>
    </row>
    <row r="353" spans="166:220" x14ac:dyDescent="0.3">
      <c r="FJ353"/>
      <c r="FK353"/>
      <c r="HL353" s="5"/>
    </row>
    <row r="354" spans="166:220" x14ac:dyDescent="0.3">
      <c r="FJ354"/>
      <c r="FK354"/>
      <c r="HL354" s="5"/>
    </row>
    <row r="355" spans="166:220" x14ac:dyDescent="0.3">
      <c r="FJ355"/>
      <c r="FK355"/>
      <c r="HL355" s="5"/>
    </row>
    <row r="356" spans="166:220" x14ac:dyDescent="0.3">
      <c r="FJ356"/>
      <c r="FK356"/>
      <c r="HL356" s="5"/>
    </row>
    <row r="357" spans="166:220" x14ac:dyDescent="0.3">
      <c r="FJ357"/>
      <c r="FK357"/>
      <c r="HL357" s="5"/>
    </row>
    <row r="358" spans="166:220" x14ac:dyDescent="0.3">
      <c r="FJ358"/>
      <c r="FK358"/>
      <c r="HL358" s="5"/>
    </row>
    <row r="359" spans="166:220" x14ac:dyDescent="0.3">
      <c r="FJ359"/>
      <c r="FK359"/>
      <c r="HL359" s="5"/>
    </row>
    <row r="360" spans="166:220" x14ac:dyDescent="0.3">
      <c r="FJ360"/>
      <c r="FK360"/>
      <c r="HL360" s="5"/>
    </row>
    <row r="361" spans="166:220" x14ac:dyDescent="0.3">
      <c r="FJ361"/>
      <c r="FK361"/>
      <c r="HL361" s="5"/>
    </row>
    <row r="362" spans="166:220" x14ac:dyDescent="0.3">
      <c r="FJ362"/>
      <c r="FK362"/>
      <c r="HL362" s="5"/>
    </row>
    <row r="363" spans="166:220" x14ac:dyDescent="0.3">
      <c r="FJ363"/>
      <c r="FK363"/>
      <c r="HL363" s="5"/>
    </row>
    <row r="364" spans="166:220" x14ac:dyDescent="0.3">
      <c r="FJ364"/>
      <c r="FK364"/>
      <c r="HL364" s="5"/>
    </row>
    <row r="365" spans="166:220" x14ac:dyDescent="0.3">
      <c r="FJ365"/>
      <c r="FK365"/>
      <c r="HL365" s="5"/>
    </row>
    <row r="366" spans="166:220" x14ac:dyDescent="0.3">
      <c r="FJ366"/>
      <c r="FK366"/>
      <c r="HL366" s="5"/>
    </row>
    <row r="367" spans="166:220" x14ac:dyDescent="0.3">
      <c r="FJ367"/>
      <c r="FK367"/>
      <c r="HL367" s="5"/>
    </row>
    <row r="368" spans="166:220" x14ac:dyDescent="0.3">
      <c r="FJ368"/>
      <c r="FK368"/>
      <c r="HL368" s="5"/>
    </row>
    <row r="369" spans="166:220" x14ac:dyDescent="0.3">
      <c r="FJ369"/>
      <c r="FK369"/>
      <c r="HL369" s="5"/>
    </row>
    <row r="370" spans="166:220" x14ac:dyDescent="0.3">
      <c r="FJ370"/>
      <c r="FK370"/>
      <c r="HL370" s="5"/>
    </row>
    <row r="371" spans="166:220" x14ac:dyDescent="0.3">
      <c r="FJ371"/>
      <c r="FK371"/>
      <c r="HL371" s="5"/>
    </row>
    <row r="372" spans="166:220" x14ac:dyDescent="0.3">
      <c r="FJ372"/>
      <c r="FK372"/>
      <c r="HL372" s="5"/>
    </row>
    <row r="373" spans="166:220" x14ac:dyDescent="0.3">
      <c r="FJ373"/>
      <c r="FK373"/>
      <c r="HL373" s="5"/>
    </row>
    <row r="374" spans="166:220" x14ac:dyDescent="0.3">
      <c r="FJ374"/>
      <c r="FK374"/>
      <c r="HL374" s="5"/>
    </row>
    <row r="375" spans="166:220" x14ac:dyDescent="0.3">
      <c r="FJ375"/>
      <c r="FK375"/>
      <c r="HL375" s="5"/>
    </row>
    <row r="376" spans="166:220" x14ac:dyDescent="0.3">
      <c r="FJ376"/>
      <c r="FK376"/>
      <c r="HL376" s="5"/>
    </row>
    <row r="377" spans="166:220" x14ac:dyDescent="0.3">
      <c r="FJ377"/>
      <c r="FK377"/>
      <c r="HL377" s="5"/>
    </row>
    <row r="378" spans="166:220" x14ac:dyDescent="0.3">
      <c r="FJ378"/>
      <c r="FK378"/>
      <c r="HL378" s="5"/>
    </row>
    <row r="379" spans="166:220" x14ac:dyDescent="0.3">
      <c r="FJ379"/>
      <c r="FK379"/>
      <c r="HL379" s="5"/>
    </row>
    <row r="380" spans="166:220" x14ac:dyDescent="0.3">
      <c r="FJ380"/>
      <c r="FK380"/>
      <c r="HL380" s="5"/>
    </row>
    <row r="381" spans="166:220" x14ac:dyDescent="0.3">
      <c r="FJ381"/>
      <c r="FK381"/>
      <c r="HL381" s="5"/>
    </row>
    <row r="382" spans="166:220" x14ac:dyDescent="0.3">
      <c r="FJ382"/>
      <c r="FK382"/>
      <c r="HL382" s="5"/>
    </row>
    <row r="383" spans="166:220" x14ac:dyDescent="0.3">
      <c r="FJ383"/>
      <c r="FK383"/>
      <c r="HL383" s="5"/>
    </row>
    <row r="384" spans="166:220" x14ac:dyDescent="0.3">
      <c r="FJ384"/>
      <c r="FK384"/>
      <c r="HL384" s="5"/>
    </row>
    <row r="385" spans="166:220" x14ac:dyDescent="0.3">
      <c r="FJ385"/>
      <c r="FK385"/>
      <c r="HL385" s="5"/>
    </row>
    <row r="386" spans="166:220" x14ac:dyDescent="0.3">
      <c r="FJ386"/>
      <c r="FK386"/>
      <c r="HL386" s="5"/>
    </row>
    <row r="387" spans="166:220" x14ac:dyDescent="0.3">
      <c r="FJ387"/>
      <c r="FK387"/>
      <c r="HL387" s="5"/>
    </row>
    <row r="388" spans="166:220" x14ac:dyDescent="0.3">
      <c r="FJ388"/>
      <c r="FK388"/>
      <c r="HL388" s="5"/>
    </row>
    <row r="389" spans="166:220" x14ac:dyDescent="0.3">
      <c r="FJ389"/>
      <c r="FK389"/>
      <c r="HL389" s="5"/>
    </row>
    <row r="390" spans="166:220" x14ac:dyDescent="0.3">
      <c r="FJ390"/>
      <c r="FK390"/>
      <c r="HL390" s="5"/>
    </row>
    <row r="391" spans="166:220" x14ac:dyDescent="0.3">
      <c r="FJ391"/>
      <c r="FK391"/>
      <c r="HL391" s="5"/>
    </row>
    <row r="392" spans="166:220" x14ac:dyDescent="0.3">
      <c r="FJ392"/>
      <c r="FK392"/>
      <c r="HL392" s="5"/>
    </row>
    <row r="393" spans="166:220" x14ac:dyDescent="0.3">
      <c r="FJ393"/>
      <c r="FK393"/>
      <c r="HL393" s="5"/>
    </row>
    <row r="394" spans="166:220" x14ac:dyDescent="0.3">
      <c r="FJ394"/>
      <c r="FK394"/>
      <c r="HL394" s="5"/>
    </row>
    <row r="395" spans="166:220" x14ac:dyDescent="0.3">
      <c r="FJ395"/>
      <c r="FK395"/>
      <c r="HL395" s="5"/>
    </row>
    <row r="396" spans="166:220" x14ac:dyDescent="0.3">
      <c r="FJ396"/>
      <c r="FK396"/>
      <c r="HL396" s="5"/>
    </row>
    <row r="397" spans="166:220" x14ac:dyDescent="0.3">
      <c r="FJ397"/>
      <c r="FK397"/>
      <c r="HL397" s="5"/>
    </row>
    <row r="398" spans="166:220" x14ac:dyDescent="0.3">
      <c r="FJ398"/>
      <c r="FK398"/>
      <c r="HL398" s="5"/>
    </row>
    <row r="399" spans="166:220" x14ac:dyDescent="0.3">
      <c r="FJ399"/>
      <c r="FK399"/>
      <c r="HL399" s="5"/>
    </row>
    <row r="400" spans="166:220" x14ac:dyDescent="0.3">
      <c r="FJ400"/>
      <c r="FK400"/>
      <c r="HL400" s="5"/>
    </row>
    <row r="401" spans="166:220" x14ac:dyDescent="0.3">
      <c r="FJ401"/>
      <c r="FK401"/>
      <c r="HL401" s="5"/>
    </row>
    <row r="402" spans="166:220" x14ac:dyDescent="0.3">
      <c r="FJ402"/>
      <c r="FK402"/>
      <c r="HL402" s="5"/>
    </row>
    <row r="403" spans="166:220" x14ac:dyDescent="0.3">
      <c r="FJ403"/>
      <c r="FK403"/>
      <c r="HL403" s="5"/>
    </row>
    <row r="404" spans="166:220" x14ac:dyDescent="0.3">
      <c r="FJ404"/>
      <c r="FK404"/>
      <c r="HL404" s="5"/>
    </row>
    <row r="405" spans="166:220" x14ac:dyDescent="0.3">
      <c r="FJ405"/>
      <c r="FK405"/>
      <c r="HL405" s="5"/>
    </row>
    <row r="406" spans="166:220" x14ac:dyDescent="0.3">
      <c r="FJ406"/>
      <c r="FK406"/>
      <c r="HL406" s="5"/>
    </row>
    <row r="407" spans="166:220" x14ac:dyDescent="0.3">
      <c r="FJ407"/>
      <c r="FK407"/>
      <c r="HL407" s="5"/>
    </row>
    <row r="408" spans="166:220" x14ac:dyDescent="0.3">
      <c r="FJ408"/>
      <c r="FK408"/>
      <c r="HL408" s="5"/>
    </row>
    <row r="409" spans="166:220" x14ac:dyDescent="0.3">
      <c r="FJ409"/>
      <c r="FK409"/>
      <c r="HL409" s="5"/>
    </row>
    <row r="410" spans="166:220" x14ac:dyDescent="0.3">
      <c r="FJ410"/>
      <c r="FK410"/>
      <c r="HL410" s="5"/>
    </row>
    <row r="411" spans="166:220" x14ac:dyDescent="0.3">
      <c r="FJ411"/>
      <c r="FK411"/>
      <c r="HL411" s="5"/>
    </row>
    <row r="412" spans="166:220" x14ac:dyDescent="0.3">
      <c r="FJ412"/>
      <c r="FK412"/>
      <c r="HL412" s="5"/>
    </row>
    <row r="413" spans="166:220" x14ac:dyDescent="0.3">
      <c r="FJ413"/>
      <c r="FK413"/>
      <c r="HL413" s="5"/>
    </row>
    <row r="414" spans="166:220" x14ac:dyDescent="0.3">
      <c r="FJ414"/>
      <c r="FK414"/>
      <c r="HL414" s="5"/>
    </row>
    <row r="415" spans="166:220" x14ac:dyDescent="0.3">
      <c r="FJ415"/>
      <c r="FK415"/>
      <c r="HL415" s="5"/>
    </row>
    <row r="416" spans="166:220" x14ac:dyDescent="0.3">
      <c r="FJ416"/>
      <c r="FK416"/>
      <c r="HL416" s="5"/>
    </row>
    <row r="417" spans="166:220" x14ac:dyDescent="0.3">
      <c r="FJ417"/>
      <c r="FK417"/>
      <c r="HL417" s="5"/>
    </row>
    <row r="418" spans="166:220" x14ac:dyDescent="0.3">
      <c r="FJ418"/>
      <c r="FK418"/>
      <c r="HL418" s="5"/>
    </row>
    <row r="419" spans="166:220" x14ac:dyDescent="0.3">
      <c r="FJ419"/>
      <c r="FK419"/>
      <c r="HL419" s="5"/>
    </row>
    <row r="420" spans="166:220" x14ac:dyDescent="0.3">
      <c r="FJ420"/>
      <c r="FK420"/>
      <c r="HL420" s="5"/>
    </row>
    <row r="421" spans="166:220" x14ac:dyDescent="0.3">
      <c r="FJ421"/>
      <c r="FK421"/>
      <c r="HL421" s="5"/>
    </row>
    <row r="422" spans="166:220" x14ac:dyDescent="0.3">
      <c r="FJ422"/>
      <c r="FK422"/>
      <c r="HL422" s="5"/>
    </row>
    <row r="423" spans="166:220" x14ac:dyDescent="0.3">
      <c r="FJ423"/>
      <c r="FK423"/>
      <c r="HL423" s="5"/>
    </row>
    <row r="424" spans="166:220" x14ac:dyDescent="0.3">
      <c r="FJ424"/>
      <c r="FK424"/>
      <c r="HL424" s="5"/>
    </row>
    <row r="425" spans="166:220" x14ac:dyDescent="0.3">
      <c r="FJ425"/>
      <c r="FK425"/>
      <c r="HL425" s="5"/>
    </row>
    <row r="426" spans="166:220" x14ac:dyDescent="0.3">
      <c r="FJ426"/>
      <c r="FK426"/>
      <c r="HL426" s="5"/>
    </row>
    <row r="427" spans="166:220" x14ac:dyDescent="0.3">
      <c r="FJ427"/>
      <c r="FK427"/>
      <c r="HL427" s="5"/>
    </row>
    <row r="428" spans="166:220" x14ac:dyDescent="0.3">
      <c r="FJ428"/>
      <c r="FK428"/>
      <c r="HL428" s="5"/>
    </row>
    <row r="429" spans="166:220" x14ac:dyDescent="0.3">
      <c r="FJ429"/>
      <c r="FK429"/>
      <c r="HL429" s="5"/>
    </row>
    <row r="430" spans="166:220" x14ac:dyDescent="0.3">
      <c r="FJ430"/>
      <c r="FK430"/>
      <c r="HL430" s="5"/>
    </row>
    <row r="431" spans="166:220" x14ac:dyDescent="0.3">
      <c r="FJ431"/>
      <c r="FK431"/>
      <c r="HL431" s="5"/>
    </row>
    <row r="432" spans="166:220" x14ac:dyDescent="0.3">
      <c r="FJ432"/>
      <c r="FK432"/>
      <c r="HL432" s="5"/>
    </row>
    <row r="433" spans="166:220" x14ac:dyDescent="0.3">
      <c r="FJ433"/>
      <c r="FK433"/>
      <c r="HL433" s="5"/>
    </row>
    <row r="434" spans="166:220" x14ac:dyDescent="0.3">
      <c r="FJ434"/>
      <c r="FK434"/>
      <c r="HL434" s="5"/>
    </row>
    <row r="435" spans="166:220" x14ac:dyDescent="0.3">
      <c r="FJ435"/>
      <c r="FK435"/>
      <c r="HL435" s="5"/>
    </row>
    <row r="436" spans="166:220" x14ac:dyDescent="0.3">
      <c r="FJ436"/>
      <c r="FK436"/>
      <c r="HL436" s="5"/>
    </row>
    <row r="437" spans="166:220" x14ac:dyDescent="0.3">
      <c r="FJ437"/>
      <c r="FK437"/>
      <c r="HL437" s="5"/>
    </row>
    <row r="438" spans="166:220" x14ac:dyDescent="0.3">
      <c r="FJ438"/>
      <c r="FK438"/>
      <c r="HL438" s="5"/>
    </row>
    <row r="439" spans="166:220" x14ac:dyDescent="0.3">
      <c r="FJ439"/>
      <c r="FK439"/>
      <c r="HL439" s="5"/>
    </row>
    <row r="440" spans="166:220" x14ac:dyDescent="0.3">
      <c r="FJ440"/>
      <c r="FK440"/>
      <c r="HL440" s="5"/>
    </row>
    <row r="441" spans="166:220" x14ac:dyDescent="0.3">
      <c r="FJ441"/>
      <c r="FK441"/>
      <c r="HL441" s="5"/>
    </row>
    <row r="442" spans="166:220" x14ac:dyDescent="0.3">
      <c r="FJ442"/>
      <c r="FK442"/>
      <c r="HL442" s="5"/>
    </row>
    <row r="443" spans="166:220" x14ac:dyDescent="0.3">
      <c r="FJ443"/>
      <c r="FK443"/>
      <c r="HL443" s="5"/>
    </row>
    <row r="444" spans="166:220" x14ac:dyDescent="0.3">
      <c r="FJ444"/>
      <c r="FK444"/>
      <c r="HL444" s="5"/>
    </row>
    <row r="445" spans="166:220" x14ac:dyDescent="0.3">
      <c r="FJ445"/>
      <c r="FK445"/>
      <c r="HL445" s="5"/>
    </row>
    <row r="446" spans="166:220" x14ac:dyDescent="0.3">
      <c r="FJ446"/>
      <c r="FK446"/>
      <c r="HL446" s="5"/>
    </row>
    <row r="447" spans="166:220" x14ac:dyDescent="0.3">
      <c r="FJ447"/>
      <c r="FK447"/>
      <c r="HL447" s="5"/>
    </row>
    <row r="448" spans="166:220" x14ac:dyDescent="0.3">
      <c r="FJ448"/>
      <c r="FK448"/>
      <c r="HL448" s="5"/>
    </row>
    <row r="449" spans="166:220" x14ac:dyDescent="0.3">
      <c r="FJ449"/>
      <c r="FK449"/>
      <c r="HL449" s="5"/>
    </row>
    <row r="450" spans="166:220" x14ac:dyDescent="0.3">
      <c r="FJ450"/>
      <c r="FK450"/>
      <c r="HL450" s="5"/>
    </row>
    <row r="451" spans="166:220" x14ac:dyDescent="0.3">
      <c r="FJ451"/>
      <c r="FK451"/>
      <c r="HL451" s="5"/>
    </row>
    <row r="452" spans="166:220" x14ac:dyDescent="0.3">
      <c r="FJ452"/>
      <c r="FK452"/>
      <c r="HL452" s="5"/>
    </row>
    <row r="453" spans="166:220" x14ac:dyDescent="0.3">
      <c r="FJ453"/>
      <c r="FK453"/>
      <c r="HL453" s="5"/>
    </row>
    <row r="454" spans="166:220" x14ac:dyDescent="0.3">
      <c r="FJ454"/>
      <c r="FK454"/>
      <c r="HL454" s="5"/>
    </row>
    <row r="455" spans="166:220" x14ac:dyDescent="0.3">
      <c r="FJ455"/>
      <c r="FK455"/>
      <c r="HL455" s="5"/>
    </row>
    <row r="456" spans="166:220" x14ac:dyDescent="0.3">
      <c r="FJ456"/>
      <c r="FK456"/>
      <c r="HL456" s="5"/>
    </row>
    <row r="457" spans="166:220" x14ac:dyDescent="0.3">
      <c r="FJ457"/>
      <c r="FK457"/>
      <c r="HL457" s="5"/>
    </row>
    <row r="458" spans="166:220" x14ac:dyDescent="0.3">
      <c r="FJ458"/>
      <c r="FK458"/>
      <c r="HL458" s="5"/>
    </row>
    <row r="459" spans="166:220" x14ac:dyDescent="0.3">
      <c r="FJ459"/>
      <c r="FK459"/>
      <c r="HL459" s="5"/>
    </row>
    <row r="460" spans="166:220" x14ac:dyDescent="0.3">
      <c r="FJ460"/>
      <c r="FK460"/>
      <c r="HL460" s="5"/>
    </row>
    <row r="461" spans="166:220" x14ac:dyDescent="0.3">
      <c r="FJ461"/>
      <c r="FK461"/>
      <c r="HL461" s="5"/>
    </row>
    <row r="462" spans="166:220" x14ac:dyDescent="0.3">
      <c r="FJ462"/>
      <c r="FK462"/>
      <c r="HL462" s="5"/>
    </row>
    <row r="463" spans="166:220" x14ac:dyDescent="0.3">
      <c r="FJ463"/>
      <c r="FK463"/>
      <c r="HL463" s="5"/>
    </row>
    <row r="464" spans="166:220" x14ac:dyDescent="0.3">
      <c r="FJ464"/>
      <c r="FK464"/>
      <c r="HL464" s="5"/>
    </row>
    <row r="465" spans="166:220" x14ac:dyDescent="0.3">
      <c r="FJ465"/>
      <c r="FK465"/>
      <c r="HL465" s="5"/>
    </row>
    <row r="466" spans="166:220" x14ac:dyDescent="0.3">
      <c r="FJ466"/>
      <c r="FK466"/>
      <c r="HL466" s="5"/>
    </row>
    <row r="467" spans="166:220" x14ac:dyDescent="0.3">
      <c r="FJ467"/>
      <c r="FK467"/>
      <c r="HL467" s="5"/>
    </row>
    <row r="468" spans="166:220" x14ac:dyDescent="0.3">
      <c r="FJ468"/>
      <c r="FK468"/>
      <c r="HL468" s="5"/>
    </row>
    <row r="469" spans="166:220" x14ac:dyDescent="0.3">
      <c r="FJ469"/>
      <c r="FK469"/>
      <c r="HL469" s="5"/>
    </row>
    <row r="470" spans="166:220" x14ac:dyDescent="0.3">
      <c r="FJ470"/>
      <c r="FK470"/>
      <c r="HL470" s="5"/>
    </row>
    <row r="471" spans="166:220" x14ac:dyDescent="0.3">
      <c r="FJ471"/>
      <c r="FK471"/>
      <c r="HL471" s="5"/>
    </row>
    <row r="472" spans="166:220" x14ac:dyDescent="0.3">
      <c r="FJ472"/>
      <c r="FK472"/>
      <c r="HL472" s="5"/>
    </row>
    <row r="473" spans="166:220" x14ac:dyDescent="0.3">
      <c r="FJ473"/>
      <c r="FK473"/>
      <c r="HL473" s="5"/>
    </row>
    <row r="474" spans="166:220" x14ac:dyDescent="0.3">
      <c r="FJ474"/>
      <c r="FK474"/>
      <c r="HL474" s="5"/>
    </row>
    <row r="475" spans="166:220" x14ac:dyDescent="0.3">
      <c r="FJ475"/>
      <c r="FK475"/>
      <c r="HL475" s="5"/>
    </row>
    <row r="476" spans="166:220" x14ac:dyDescent="0.3">
      <c r="FJ476"/>
      <c r="FK476"/>
      <c r="HL476" s="5"/>
    </row>
    <row r="477" spans="166:220" x14ac:dyDescent="0.3">
      <c r="FJ477"/>
      <c r="FK477"/>
      <c r="HL477" s="5"/>
    </row>
    <row r="478" spans="166:220" x14ac:dyDescent="0.3">
      <c r="FJ478"/>
      <c r="FK478"/>
      <c r="HL478" s="5"/>
    </row>
    <row r="479" spans="166:220" x14ac:dyDescent="0.3">
      <c r="FJ479"/>
      <c r="FK479"/>
      <c r="HL479" s="5"/>
    </row>
    <row r="480" spans="166:220" x14ac:dyDescent="0.3">
      <c r="FJ480"/>
      <c r="FK480"/>
      <c r="HL480" s="5"/>
    </row>
    <row r="481" spans="166:220" x14ac:dyDescent="0.3">
      <c r="FJ481"/>
      <c r="FK481"/>
      <c r="HL481" s="5"/>
    </row>
    <row r="482" spans="166:220" x14ac:dyDescent="0.3">
      <c r="FJ482"/>
      <c r="FK482"/>
      <c r="HL482" s="5"/>
    </row>
    <row r="483" spans="166:220" x14ac:dyDescent="0.3">
      <c r="FJ483"/>
      <c r="FK483"/>
      <c r="HL483" s="5"/>
    </row>
    <row r="484" spans="166:220" x14ac:dyDescent="0.3">
      <c r="FJ484"/>
      <c r="FK484"/>
      <c r="HL484" s="5"/>
    </row>
    <row r="485" spans="166:220" x14ac:dyDescent="0.3">
      <c r="FJ485"/>
      <c r="FK485"/>
      <c r="HL485" s="5"/>
    </row>
    <row r="486" spans="166:220" x14ac:dyDescent="0.3">
      <c r="FJ486"/>
      <c r="FK486"/>
      <c r="HL486" s="5"/>
    </row>
    <row r="487" spans="166:220" x14ac:dyDescent="0.3">
      <c r="FJ487"/>
      <c r="FK487"/>
      <c r="HL487" s="5"/>
    </row>
    <row r="488" spans="166:220" x14ac:dyDescent="0.3">
      <c r="FJ488"/>
      <c r="FK488"/>
      <c r="HL488" s="5"/>
    </row>
    <row r="489" spans="166:220" x14ac:dyDescent="0.3">
      <c r="FJ489"/>
      <c r="FK489"/>
      <c r="HL489" s="5"/>
    </row>
    <row r="490" spans="166:220" x14ac:dyDescent="0.3">
      <c r="FJ490"/>
      <c r="FK490"/>
      <c r="HL490" s="5"/>
    </row>
    <row r="491" spans="166:220" x14ac:dyDescent="0.3">
      <c r="FJ491"/>
      <c r="FK491"/>
      <c r="HL491" s="5"/>
    </row>
    <row r="492" spans="166:220" x14ac:dyDescent="0.3">
      <c r="FJ492"/>
      <c r="FK492"/>
      <c r="HL492" s="5"/>
    </row>
    <row r="493" spans="166:220" x14ac:dyDescent="0.3">
      <c r="FJ493"/>
      <c r="FK493"/>
      <c r="HL493" s="5"/>
    </row>
    <row r="494" spans="166:220" x14ac:dyDescent="0.3">
      <c r="FJ494"/>
      <c r="FK494"/>
      <c r="HL494" s="5"/>
    </row>
    <row r="495" spans="166:220" x14ac:dyDescent="0.3">
      <c r="FJ495"/>
      <c r="FK495"/>
      <c r="HL495" s="5"/>
    </row>
    <row r="496" spans="166:220" x14ac:dyDescent="0.3">
      <c r="FJ496"/>
      <c r="FK496"/>
      <c r="HL496" s="5"/>
    </row>
    <row r="497" spans="166:220" x14ac:dyDescent="0.3">
      <c r="FJ497"/>
      <c r="FK497"/>
      <c r="HL497" s="5"/>
    </row>
    <row r="498" spans="166:220" x14ac:dyDescent="0.3">
      <c r="FJ498"/>
      <c r="FK498"/>
      <c r="HL498" s="5"/>
    </row>
    <row r="499" spans="166:220" x14ac:dyDescent="0.3">
      <c r="FJ499"/>
      <c r="FK499"/>
      <c r="HL499" s="5"/>
    </row>
    <row r="500" spans="166:220" x14ac:dyDescent="0.3">
      <c r="FJ500"/>
      <c r="FK500"/>
      <c r="HL500" s="5"/>
    </row>
    <row r="501" spans="166:220" x14ac:dyDescent="0.3">
      <c r="FJ501"/>
      <c r="FK501"/>
      <c r="HL501" s="5"/>
    </row>
    <row r="502" spans="166:220" x14ac:dyDescent="0.3">
      <c r="FJ502"/>
      <c r="FK502"/>
      <c r="HL502" s="5"/>
    </row>
    <row r="503" spans="166:220" x14ac:dyDescent="0.3">
      <c r="FJ503"/>
      <c r="FK503"/>
      <c r="HL503" s="5"/>
    </row>
    <row r="504" spans="166:220" x14ac:dyDescent="0.3">
      <c r="FJ504"/>
      <c r="FK504"/>
      <c r="HL504" s="5"/>
    </row>
    <row r="505" spans="166:220" x14ac:dyDescent="0.3">
      <c r="FJ505"/>
      <c r="FK505"/>
      <c r="HL505" s="5"/>
    </row>
    <row r="506" spans="166:220" x14ac:dyDescent="0.3">
      <c r="FJ506"/>
      <c r="FK506"/>
      <c r="HL506" s="5"/>
    </row>
    <row r="507" spans="166:220" x14ac:dyDescent="0.3">
      <c r="FJ507"/>
      <c r="FK507"/>
      <c r="HL507" s="5"/>
    </row>
    <row r="508" spans="166:220" x14ac:dyDescent="0.3">
      <c r="FJ508"/>
      <c r="FK508"/>
      <c r="HL508" s="5"/>
    </row>
    <row r="509" spans="166:220" x14ac:dyDescent="0.3">
      <c r="FJ509"/>
      <c r="FK509"/>
      <c r="HL509" s="5"/>
    </row>
    <row r="510" spans="166:220" x14ac:dyDescent="0.3">
      <c r="FJ510"/>
      <c r="FK510"/>
      <c r="HL510" s="5"/>
    </row>
    <row r="511" spans="166:220" x14ac:dyDescent="0.3">
      <c r="FJ511"/>
      <c r="FK511"/>
      <c r="HL511" s="5"/>
    </row>
    <row r="512" spans="166:220" x14ac:dyDescent="0.3">
      <c r="FJ512"/>
      <c r="FK512"/>
      <c r="HL512" s="5"/>
    </row>
    <row r="513" spans="166:220" x14ac:dyDescent="0.3">
      <c r="FJ513"/>
      <c r="FK513"/>
      <c r="HL513" s="5"/>
    </row>
    <row r="514" spans="166:220" x14ac:dyDescent="0.3">
      <c r="FJ514"/>
      <c r="FK514"/>
      <c r="HL514" s="5"/>
    </row>
    <row r="515" spans="166:220" x14ac:dyDescent="0.3">
      <c r="FJ515"/>
      <c r="FK515"/>
      <c r="HL515" s="5"/>
    </row>
    <row r="516" spans="166:220" x14ac:dyDescent="0.3">
      <c r="FJ516"/>
      <c r="FK516"/>
      <c r="HL516" s="5"/>
    </row>
    <row r="517" spans="166:220" x14ac:dyDescent="0.3">
      <c r="FJ517"/>
      <c r="FK517"/>
      <c r="HL517" s="5"/>
    </row>
    <row r="518" spans="166:220" x14ac:dyDescent="0.3">
      <c r="FJ518"/>
      <c r="FK518"/>
      <c r="HL518" s="5"/>
    </row>
    <row r="519" spans="166:220" x14ac:dyDescent="0.3">
      <c r="FJ519"/>
      <c r="FK519"/>
      <c r="HL519" s="5"/>
    </row>
    <row r="520" spans="166:220" x14ac:dyDescent="0.3">
      <c r="FJ520"/>
      <c r="FK520"/>
      <c r="HL520" s="5"/>
    </row>
    <row r="521" spans="166:220" x14ac:dyDescent="0.3">
      <c r="FJ521"/>
      <c r="FK521"/>
      <c r="HL521" s="5"/>
    </row>
    <row r="522" spans="166:220" x14ac:dyDescent="0.3">
      <c r="FJ522"/>
      <c r="FK522"/>
      <c r="HL522" s="5"/>
    </row>
    <row r="523" spans="166:220" x14ac:dyDescent="0.3">
      <c r="FJ523"/>
      <c r="FK523"/>
      <c r="HL523" s="5"/>
    </row>
    <row r="524" spans="166:220" x14ac:dyDescent="0.3">
      <c r="FJ524"/>
      <c r="FK524"/>
      <c r="HL524" s="5"/>
    </row>
    <row r="525" spans="166:220" x14ac:dyDescent="0.3">
      <c r="FJ525"/>
      <c r="FK525"/>
      <c r="HL525" s="5"/>
    </row>
    <row r="526" spans="166:220" x14ac:dyDescent="0.3">
      <c r="FJ526"/>
      <c r="FK526"/>
      <c r="HL526" s="5"/>
    </row>
    <row r="527" spans="166:220" x14ac:dyDescent="0.3">
      <c r="FJ527"/>
      <c r="FK527"/>
      <c r="HL527" s="5"/>
    </row>
    <row r="528" spans="166:220" x14ac:dyDescent="0.3">
      <c r="FJ528"/>
      <c r="FK528"/>
      <c r="HL528" s="5"/>
    </row>
    <row r="529" spans="166:220" x14ac:dyDescent="0.3">
      <c r="FJ529"/>
      <c r="FK529"/>
      <c r="HL529" s="5"/>
    </row>
    <row r="530" spans="166:220" x14ac:dyDescent="0.3">
      <c r="FJ530"/>
      <c r="FK530"/>
      <c r="HL530" s="5"/>
    </row>
    <row r="531" spans="166:220" x14ac:dyDescent="0.3">
      <c r="FJ531"/>
      <c r="FK531"/>
      <c r="HL531" s="5"/>
    </row>
    <row r="532" spans="166:220" x14ac:dyDescent="0.3">
      <c r="FJ532"/>
      <c r="FK532"/>
      <c r="HL532" s="5"/>
    </row>
    <row r="533" spans="166:220" x14ac:dyDescent="0.3">
      <c r="FJ533"/>
      <c r="FK533"/>
      <c r="HL533" s="5"/>
    </row>
    <row r="534" spans="166:220" x14ac:dyDescent="0.3">
      <c r="FJ534"/>
      <c r="FK534"/>
      <c r="HL534" s="5"/>
    </row>
    <row r="535" spans="166:220" x14ac:dyDescent="0.3">
      <c r="FJ535"/>
      <c r="FK535"/>
      <c r="HL535" s="5"/>
    </row>
    <row r="536" spans="166:220" x14ac:dyDescent="0.3">
      <c r="FJ536"/>
      <c r="FK536"/>
      <c r="HL536" s="5"/>
    </row>
    <row r="537" spans="166:220" x14ac:dyDescent="0.3">
      <c r="FJ537"/>
      <c r="FK537"/>
      <c r="HL537" s="5"/>
    </row>
    <row r="538" spans="166:220" x14ac:dyDescent="0.3">
      <c r="FJ538"/>
      <c r="FK538"/>
      <c r="HL538" s="5"/>
    </row>
    <row r="539" spans="166:220" x14ac:dyDescent="0.3">
      <c r="FJ539"/>
      <c r="FK539"/>
      <c r="HL539" s="5"/>
    </row>
    <row r="540" spans="166:220" x14ac:dyDescent="0.3">
      <c r="FJ540"/>
      <c r="FK540"/>
      <c r="HL540" s="5"/>
    </row>
    <row r="541" spans="166:220" x14ac:dyDescent="0.3">
      <c r="FJ541"/>
      <c r="FK541"/>
      <c r="HL541" s="5"/>
    </row>
    <row r="542" spans="166:220" x14ac:dyDescent="0.3">
      <c r="FJ542"/>
      <c r="FK542"/>
      <c r="HL542" s="5"/>
    </row>
    <row r="543" spans="166:220" x14ac:dyDescent="0.3">
      <c r="FJ543"/>
      <c r="FK543"/>
      <c r="HL543" s="5"/>
    </row>
    <row r="544" spans="166:220" x14ac:dyDescent="0.3">
      <c r="FJ544"/>
      <c r="FK544"/>
      <c r="HL544" s="5"/>
    </row>
    <row r="545" spans="166:220" x14ac:dyDescent="0.3">
      <c r="FJ545"/>
      <c r="FK545"/>
      <c r="HL545" s="5"/>
    </row>
    <row r="546" spans="166:220" x14ac:dyDescent="0.3">
      <c r="FJ546"/>
      <c r="FK546"/>
      <c r="HL546" s="5"/>
    </row>
    <row r="547" spans="166:220" x14ac:dyDescent="0.3">
      <c r="FJ547"/>
      <c r="FK547"/>
      <c r="HL547" s="5"/>
    </row>
    <row r="548" spans="166:220" x14ac:dyDescent="0.3">
      <c r="FJ548"/>
      <c r="FK548"/>
      <c r="HL548" s="5"/>
    </row>
    <row r="549" spans="166:220" x14ac:dyDescent="0.3">
      <c r="FJ549"/>
      <c r="FK549"/>
      <c r="HL549" s="5"/>
    </row>
    <row r="550" spans="166:220" x14ac:dyDescent="0.3">
      <c r="FJ550"/>
      <c r="FK550"/>
      <c r="HL550" s="5"/>
    </row>
    <row r="551" spans="166:220" x14ac:dyDescent="0.3">
      <c r="FJ551"/>
      <c r="FK551"/>
      <c r="HL551" s="5"/>
    </row>
    <row r="552" spans="166:220" x14ac:dyDescent="0.3">
      <c r="FJ552"/>
      <c r="FK552"/>
      <c r="HL552" s="5"/>
    </row>
    <row r="553" spans="166:220" x14ac:dyDescent="0.3">
      <c r="FJ553"/>
      <c r="FK553"/>
      <c r="HL553" s="5"/>
    </row>
    <row r="554" spans="166:220" x14ac:dyDescent="0.3">
      <c r="FJ554"/>
      <c r="FK554"/>
      <c r="HL554" s="5"/>
    </row>
    <row r="555" spans="166:220" x14ac:dyDescent="0.3">
      <c r="FJ555"/>
      <c r="FK555"/>
      <c r="HL555" s="5"/>
    </row>
    <row r="556" spans="166:220" x14ac:dyDescent="0.3">
      <c r="FJ556"/>
      <c r="FK556"/>
      <c r="HL556" s="5"/>
    </row>
    <row r="557" spans="166:220" x14ac:dyDescent="0.3">
      <c r="FJ557"/>
      <c r="FK557"/>
      <c r="HL557" s="5"/>
    </row>
    <row r="558" spans="166:220" x14ac:dyDescent="0.3">
      <c r="FJ558"/>
      <c r="FK558"/>
      <c r="HL558" s="5"/>
    </row>
    <row r="559" spans="166:220" x14ac:dyDescent="0.3">
      <c r="FJ559"/>
      <c r="FK559"/>
      <c r="HL559" s="5"/>
    </row>
    <row r="560" spans="166:220" x14ac:dyDescent="0.3">
      <c r="FJ560"/>
      <c r="FK560"/>
      <c r="HL560" s="5"/>
    </row>
    <row r="561" spans="166:220" x14ac:dyDescent="0.3">
      <c r="FJ561"/>
      <c r="FK561"/>
      <c r="HL561" s="5"/>
    </row>
    <row r="562" spans="166:220" x14ac:dyDescent="0.3">
      <c r="FJ562"/>
      <c r="FK562"/>
      <c r="HL562" s="5"/>
    </row>
    <row r="563" spans="166:220" x14ac:dyDescent="0.3">
      <c r="FJ563"/>
      <c r="FK563"/>
      <c r="HL563" s="5"/>
    </row>
    <row r="564" spans="166:220" x14ac:dyDescent="0.3">
      <c r="FJ564"/>
      <c r="FK564"/>
      <c r="HL564" s="5"/>
    </row>
    <row r="565" spans="166:220" x14ac:dyDescent="0.3">
      <c r="FJ565"/>
      <c r="FK565"/>
      <c r="HL565" s="5"/>
    </row>
    <row r="566" spans="166:220" x14ac:dyDescent="0.3">
      <c r="FJ566"/>
      <c r="FK566"/>
      <c r="HL566" s="5"/>
    </row>
    <row r="567" spans="166:220" x14ac:dyDescent="0.3">
      <c r="FJ567"/>
      <c r="FK567"/>
      <c r="HL567" s="5"/>
    </row>
    <row r="568" spans="166:220" x14ac:dyDescent="0.3">
      <c r="FJ568"/>
      <c r="FK568"/>
      <c r="HL568" s="5"/>
    </row>
    <row r="569" spans="166:220" x14ac:dyDescent="0.3">
      <c r="FJ569"/>
      <c r="FK569"/>
      <c r="HL569" s="5"/>
    </row>
    <row r="570" spans="166:220" x14ac:dyDescent="0.3">
      <c r="FJ570"/>
      <c r="FK570"/>
      <c r="HL570" s="5"/>
    </row>
    <row r="571" spans="166:220" x14ac:dyDescent="0.3">
      <c r="FJ571"/>
      <c r="FK571"/>
      <c r="HL571" s="5"/>
    </row>
    <row r="572" spans="166:220" x14ac:dyDescent="0.3">
      <c r="FJ572"/>
      <c r="FK572"/>
      <c r="HL572" s="5"/>
    </row>
    <row r="573" spans="166:220" x14ac:dyDescent="0.3">
      <c r="FJ573"/>
      <c r="FK573"/>
      <c r="HL573" s="5"/>
    </row>
    <row r="574" spans="166:220" x14ac:dyDescent="0.3">
      <c r="FJ574"/>
      <c r="FK574"/>
      <c r="HL574" s="5"/>
    </row>
    <row r="575" spans="166:220" x14ac:dyDescent="0.3">
      <c r="FJ575"/>
      <c r="FK575"/>
      <c r="HL575" s="5"/>
    </row>
    <row r="576" spans="166:220" x14ac:dyDescent="0.3">
      <c r="FJ576"/>
      <c r="FK576"/>
      <c r="HL576" s="5"/>
    </row>
    <row r="577" spans="166:220" x14ac:dyDescent="0.3">
      <c r="FJ577"/>
      <c r="FK577"/>
      <c r="HL577" s="5"/>
    </row>
    <row r="578" spans="166:220" x14ac:dyDescent="0.3">
      <c r="FJ578"/>
      <c r="FK578"/>
      <c r="HL578" s="5"/>
    </row>
    <row r="579" spans="166:220" x14ac:dyDescent="0.3">
      <c r="FJ579"/>
      <c r="FK579"/>
      <c r="HL579" s="5"/>
    </row>
    <row r="580" spans="166:220" x14ac:dyDescent="0.3">
      <c r="FJ580"/>
      <c r="FK580"/>
      <c r="HL580" s="5"/>
    </row>
    <row r="581" spans="166:220" x14ac:dyDescent="0.3">
      <c r="FJ581"/>
      <c r="FK581"/>
      <c r="HL581" s="5"/>
    </row>
    <row r="582" spans="166:220" x14ac:dyDescent="0.3">
      <c r="FJ582"/>
      <c r="FK582"/>
      <c r="HL582" s="5"/>
    </row>
    <row r="583" spans="166:220" x14ac:dyDescent="0.3">
      <c r="FJ583"/>
      <c r="FK583"/>
      <c r="HL583" s="5"/>
    </row>
    <row r="584" spans="166:220" x14ac:dyDescent="0.3">
      <c r="FJ584"/>
      <c r="FK584"/>
      <c r="HL584" s="5"/>
    </row>
    <row r="585" spans="166:220" x14ac:dyDescent="0.3">
      <c r="FJ585"/>
      <c r="FK585"/>
      <c r="HL585" s="5"/>
    </row>
    <row r="586" spans="166:220" x14ac:dyDescent="0.3">
      <c r="FJ586"/>
      <c r="FK586"/>
      <c r="HL586" s="5"/>
    </row>
    <row r="587" spans="166:220" x14ac:dyDescent="0.3">
      <c r="FJ587"/>
      <c r="FK587"/>
      <c r="HL587" s="5"/>
    </row>
    <row r="588" spans="166:220" x14ac:dyDescent="0.3">
      <c r="FJ588"/>
      <c r="FK588"/>
      <c r="HL588" s="5"/>
    </row>
    <row r="589" spans="166:220" x14ac:dyDescent="0.3">
      <c r="FJ589"/>
      <c r="FK589"/>
      <c r="HL589" s="5"/>
    </row>
    <row r="590" spans="166:220" x14ac:dyDescent="0.3">
      <c r="FJ590"/>
      <c r="FK590"/>
      <c r="HL590" s="5"/>
    </row>
    <row r="591" spans="166:220" x14ac:dyDescent="0.3">
      <c r="FJ591"/>
      <c r="FK591"/>
      <c r="HL591" s="5"/>
    </row>
    <row r="592" spans="166:220" x14ac:dyDescent="0.3">
      <c r="FJ592"/>
      <c r="FK592"/>
      <c r="HL592" s="5"/>
    </row>
    <row r="593" spans="166:220" x14ac:dyDescent="0.3">
      <c r="FJ593"/>
      <c r="FK593"/>
      <c r="HL593" s="5"/>
    </row>
    <row r="594" spans="166:220" x14ac:dyDescent="0.3">
      <c r="FJ594"/>
      <c r="FK594"/>
      <c r="HL594" s="5"/>
    </row>
    <row r="595" spans="166:220" x14ac:dyDescent="0.3">
      <c r="FJ595"/>
      <c r="FK595"/>
      <c r="HL595" s="5"/>
    </row>
    <row r="596" spans="166:220" x14ac:dyDescent="0.3">
      <c r="FJ596"/>
      <c r="FK596"/>
      <c r="HL596" s="5"/>
    </row>
    <row r="597" spans="166:220" x14ac:dyDescent="0.3">
      <c r="FJ597"/>
      <c r="FK597"/>
      <c r="HL597" s="5"/>
    </row>
    <row r="598" spans="166:220" x14ac:dyDescent="0.3">
      <c r="FJ598"/>
      <c r="FK598"/>
      <c r="HL598" s="5"/>
    </row>
    <row r="599" spans="166:220" x14ac:dyDescent="0.3">
      <c r="FJ599"/>
      <c r="FK599"/>
      <c r="HL599" s="5"/>
    </row>
    <row r="600" spans="166:220" x14ac:dyDescent="0.3">
      <c r="FJ600"/>
      <c r="FK600"/>
      <c r="HL600" s="5"/>
    </row>
    <row r="601" spans="166:220" x14ac:dyDescent="0.3">
      <c r="FJ601"/>
      <c r="FK601"/>
      <c r="HL601" s="5"/>
    </row>
    <row r="602" spans="166:220" x14ac:dyDescent="0.3">
      <c r="FJ602"/>
      <c r="FK602"/>
      <c r="HL602" s="5"/>
    </row>
    <row r="603" spans="166:220" x14ac:dyDescent="0.3">
      <c r="FJ603"/>
      <c r="FK603"/>
      <c r="HL603" s="5"/>
    </row>
    <row r="604" spans="166:220" x14ac:dyDescent="0.3">
      <c r="FJ604"/>
      <c r="FK604"/>
      <c r="HL604" s="5"/>
    </row>
    <row r="605" spans="166:220" x14ac:dyDescent="0.3">
      <c r="FJ605"/>
      <c r="FK605"/>
      <c r="HL605" s="5"/>
    </row>
    <row r="606" spans="166:220" x14ac:dyDescent="0.3">
      <c r="FJ606"/>
      <c r="FK606"/>
      <c r="HL606" s="5"/>
    </row>
    <row r="607" spans="166:220" x14ac:dyDescent="0.3">
      <c r="FJ607"/>
      <c r="FK607"/>
      <c r="HL607" s="5"/>
    </row>
    <row r="608" spans="166:220" x14ac:dyDescent="0.3">
      <c r="FJ608"/>
      <c r="FK608"/>
      <c r="HL608" s="5"/>
    </row>
    <row r="609" spans="166:220" x14ac:dyDescent="0.3">
      <c r="FJ609"/>
      <c r="FK609"/>
      <c r="HL609" s="5"/>
    </row>
    <row r="610" spans="166:220" x14ac:dyDescent="0.3">
      <c r="FJ610"/>
      <c r="FK610"/>
      <c r="HL610" s="5"/>
    </row>
    <row r="611" spans="166:220" x14ac:dyDescent="0.3">
      <c r="FJ611"/>
      <c r="FK611"/>
      <c r="HL611" s="5"/>
    </row>
    <row r="612" spans="166:220" x14ac:dyDescent="0.3">
      <c r="FJ612"/>
      <c r="FK612"/>
      <c r="HL612" s="5"/>
    </row>
    <row r="613" spans="166:220" x14ac:dyDescent="0.3">
      <c r="FJ613"/>
      <c r="FK613"/>
      <c r="HL613" s="5"/>
    </row>
    <row r="614" spans="166:220" x14ac:dyDescent="0.3">
      <c r="FJ614"/>
      <c r="FK614"/>
      <c r="HL614" s="5"/>
    </row>
    <row r="615" spans="166:220" x14ac:dyDescent="0.3">
      <c r="FJ615"/>
      <c r="FK615"/>
      <c r="HL615" s="5"/>
    </row>
    <row r="616" spans="166:220" x14ac:dyDescent="0.3">
      <c r="FJ616"/>
      <c r="FK616"/>
      <c r="HL616" s="5"/>
    </row>
    <row r="617" spans="166:220" x14ac:dyDescent="0.3">
      <c r="FJ617"/>
      <c r="FK617"/>
      <c r="HL617" s="5"/>
    </row>
    <row r="618" spans="166:220" x14ac:dyDescent="0.3">
      <c r="FJ618"/>
      <c r="FK618"/>
      <c r="HL618" s="5"/>
    </row>
    <row r="619" spans="166:220" x14ac:dyDescent="0.3">
      <c r="FJ619"/>
      <c r="FK619"/>
      <c r="HL619" s="5"/>
    </row>
    <row r="620" spans="166:220" x14ac:dyDescent="0.3">
      <c r="FJ620"/>
      <c r="FK620"/>
      <c r="HL620" s="5"/>
    </row>
    <row r="621" spans="166:220" x14ac:dyDescent="0.3">
      <c r="FJ621"/>
      <c r="FK621"/>
      <c r="HL621" s="5"/>
    </row>
    <row r="622" spans="166:220" x14ac:dyDescent="0.3">
      <c r="FJ622"/>
      <c r="FK622"/>
      <c r="HL622" s="5"/>
    </row>
    <row r="623" spans="166:220" x14ac:dyDescent="0.3">
      <c r="FJ623"/>
      <c r="FK623"/>
      <c r="HL623" s="5"/>
    </row>
    <row r="624" spans="166:220" x14ac:dyDescent="0.3">
      <c r="FJ624"/>
      <c r="FK624"/>
      <c r="HL624" s="5"/>
    </row>
    <row r="625" spans="166:220" x14ac:dyDescent="0.3">
      <c r="FJ625"/>
      <c r="FK625"/>
      <c r="HL625" s="5"/>
    </row>
    <row r="626" spans="166:220" x14ac:dyDescent="0.3">
      <c r="FJ626"/>
      <c r="FK626"/>
      <c r="HL626" s="5"/>
    </row>
    <row r="627" spans="166:220" x14ac:dyDescent="0.3">
      <c r="FJ627"/>
      <c r="FK627"/>
      <c r="HL627" s="5"/>
    </row>
    <row r="628" spans="166:220" x14ac:dyDescent="0.3">
      <c r="FJ628"/>
      <c r="FK628"/>
      <c r="HL628" s="5"/>
    </row>
    <row r="629" spans="166:220" x14ac:dyDescent="0.3">
      <c r="FJ629"/>
      <c r="FK629"/>
      <c r="HL629" s="5"/>
    </row>
    <row r="630" spans="166:220" x14ac:dyDescent="0.3">
      <c r="FJ630"/>
      <c r="FK630"/>
      <c r="HL630" s="5"/>
    </row>
    <row r="631" spans="166:220" x14ac:dyDescent="0.3">
      <c r="FJ631"/>
      <c r="FK631"/>
      <c r="HL631" s="5"/>
    </row>
    <row r="632" spans="166:220" x14ac:dyDescent="0.3">
      <c r="HL632" s="5"/>
    </row>
    <row r="633" spans="166:220" x14ac:dyDescent="0.3">
      <c r="HL633" s="5"/>
    </row>
    <row r="634" spans="166:220" x14ac:dyDescent="0.3">
      <c r="HL634" s="5"/>
    </row>
    <row r="635" spans="166:220" x14ac:dyDescent="0.3">
      <c r="HL635" s="5"/>
    </row>
    <row r="636" spans="166:220" x14ac:dyDescent="0.3">
      <c r="HL636" s="5"/>
    </row>
  </sheetData>
  <mergeCells count="58">
    <mergeCell ref="IX24:JB24"/>
    <mergeCell ref="IX25:JB25"/>
    <mergeCell ref="HV24:IF24"/>
    <mergeCell ref="IJ24:IN24"/>
    <mergeCell ref="GP28:GS28"/>
    <mergeCell ref="GP29:GX29"/>
    <mergeCell ref="HK26:HO26"/>
    <mergeCell ref="IJ25:IM25"/>
    <mergeCell ref="IJ26:IL26"/>
    <mergeCell ref="IJ27:IP27"/>
    <mergeCell ref="HK27:HO27"/>
    <mergeCell ref="GA23:GC23"/>
    <mergeCell ref="GA24:GF24"/>
    <mergeCell ref="HC6:HD6"/>
    <mergeCell ref="GP27:GR27"/>
    <mergeCell ref="EX23:FB23"/>
    <mergeCell ref="FM23:FO23"/>
    <mergeCell ref="FM24:FR24"/>
    <mergeCell ref="DX23:EA23"/>
    <mergeCell ref="DX24:EB24"/>
    <mergeCell ref="DX25:EB25"/>
    <mergeCell ref="EH23:EK23"/>
    <mergeCell ref="EH24:EK24"/>
    <mergeCell ref="EH25:EL25"/>
    <mergeCell ref="A1:M1"/>
    <mergeCell ref="N1:AI1"/>
    <mergeCell ref="AJ1:AT1"/>
    <mergeCell ref="BW24:BZ24"/>
    <mergeCell ref="BW25:BZ25"/>
    <mergeCell ref="BV5:CG5"/>
    <mergeCell ref="AV4:AX4"/>
    <mergeCell ref="AZ4:BB4"/>
    <mergeCell ref="F2:H2"/>
    <mergeCell ref="S2:U2"/>
    <mergeCell ref="AC2:AE2"/>
    <mergeCell ref="AN2:AO2"/>
    <mergeCell ref="AS2:AT2"/>
    <mergeCell ref="BW26:BZ26"/>
    <mergeCell ref="BX22:BY22"/>
    <mergeCell ref="S21:U21"/>
    <mergeCell ref="CY6:DB6"/>
    <mergeCell ref="CM6:CN6"/>
    <mergeCell ref="CO19:CT19"/>
    <mergeCell ref="CO20:CP20"/>
    <mergeCell ref="CO22:CR22"/>
    <mergeCell ref="AN25:AO25"/>
    <mergeCell ref="IE65:IG65"/>
    <mergeCell ref="IM65:IO65"/>
    <mergeCell ref="HE52:HG52"/>
    <mergeCell ref="HR65:HT65"/>
    <mergeCell ref="HU65:HW65"/>
    <mergeCell ref="IB65:ID65"/>
    <mergeCell ref="IA63:IJ63"/>
    <mergeCell ref="HG63:HO63"/>
    <mergeCell ref="HQ63:HY63"/>
    <mergeCell ref="IL63:IT63"/>
    <mergeCell ref="IB59:ID59"/>
    <mergeCell ref="IP65:IR65"/>
  </mergeCells>
  <phoneticPr fontId="6" type="noConversion"/>
  <conditionalFormatting sqref="BU9:BU24">
    <cfRule type="cellIs" dxfId="5" priority="9" operator="lessThan">
      <formula>0</formula>
    </cfRule>
    <cfRule type="cellIs" dxfId="4" priority="10" operator="greaterThan">
      <formula>0</formula>
    </cfRule>
  </conditionalFormatting>
  <conditionalFormatting sqref="HH54:HH61">
    <cfRule type="cellIs" dxfId="3" priority="2" operator="greaterThan">
      <formula>0.1</formula>
    </cfRule>
  </conditionalFormatting>
  <conditionalFormatting sqref="HT9:HT24">
    <cfRule type="cellIs" dxfId="2" priority="7" operator="lessThan">
      <formula>0</formula>
    </cfRule>
    <cfRule type="cellIs" dxfId="1" priority="8" operator="greaterThan">
      <formula>0</formula>
    </cfRule>
  </conditionalFormatting>
  <conditionalFormatting sqref="IT68:IT114">
    <cfRule type="cellIs" dxfId="0" priority="1" operator="greaterThan">
      <formula>0.1</formula>
    </cfRule>
  </conditionalFormatting>
  <pageMargins left="0.7" right="0.7" top="0.75" bottom="0.75" header="0.3" footer="0.3"/>
  <ignoredErrors>
    <ignoredError sqref="HH56" formula="1"/>
  </ignoredErrors>
  <drawing r:id="rId3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13D8-E3E1-4477-8EA6-5C6925E38A0C}">
  <sheetPr>
    <tabColor rgb="FF00B0F0"/>
  </sheetPr>
  <dimension ref="A1:AI2994"/>
  <sheetViews>
    <sheetView zoomScaleNormal="100" workbookViewId="0">
      <selection activeCell="AI46" sqref="AI46"/>
    </sheetView>
  </sheetViews>
  <sheetFormatPr defaultRowHeight="14.4" x14ac:dyDescent="0.3"/>
  <cols>
    <col min="1" max="1" width="19.77734375" style="5" bestFit="1" customWidth="1"/>
    <col min="2" max="2" width="16.44140625" style="5" bestFit="1" customWidth="1"/>
    <col min="3" max="3" width="18.21875" style="5" bestFit="1" customWidth="1"/>
    <col min="4" max="4" width="21.88671875" style="5" bestFit="1" customWidth="1"/>
    <col min="5" max="5" width="9.33203125" style="5" bestFit="1" customWidth="1"/>
    <col min="6" max="6" width="13.21875" style="5" bestFit="1" customWidth="1"/>
    <col min="7" max="7" width="13.6640625" style="5" bestFit="1" customWidth="1"/>
    <col min="8" max="8" width="22.88671875" style="5" bestFit="1" customWidth="1"/>
    <col min="9" max="9" width="19.21875" style="5" bestFit="1" customWidth="1"/>
    <col min="10" max="10" width="22.44140625" style="5" bestFit="1" customWidth="1"/>
    <col min="11" max="11" width="22.77734375" style="5" bestFit="1" customWidth="1"/>
    <col min="12" max="12" width="16" style="5" bestFit="1" customWidth="1"/>
    <col min="13" max="13" width="12.44140625" style="5" customWidth="1"/>
    <col min="14" max="14" width="14.77734375" style="5" bestFit="1" customWidth="1"/>
    <col min="15" max="15" width="11.6640625" style="5" bestFit="1" customWidth="1"/>
    <col min="16" max="16" width="8.88671875" style="5"/>
    <col min="17" max="17" width="19.6640625" style="5" bestFit="1" customWidth="1"/>
    <col min="18" max="18" width="8.88671875" style="5"/>
    <col min="19" max="19" width="25.109375" style="5" customWidth="1"/>
    <col min="20" max="20" width="20.5546875" style="5" customWidth="1"/>
    <col min="21" max="21" width="38.33203125" style="5" bestFit="1" customWidth="1"/>
    <col min="22" max="22" width="20.5546875" style="5" customWidth="1"/>
    <col min="23" max="23" width="38.33203125" style="5" bestFit="1" customWidth="1"/>
    <col min="24" max="24" width="20.5546875" style="5" customWidth="1"/>
    <col min="25" max="25" width="38.33203125" style="5" bestFit="1" customWidth="1"/>
    <col min="26" max="26" width="8.88671875" style="5"/>
    <col min="27" max="32" width="20.5546875" style="5" customWidth="1"/>
    <col min="33" max="33" width="22.44140625" style="5" bestFit="1" customWidth="1"/>
    <col min="34" max="36" width="20.5546875" style="5" customWidth="1"/>
    <col min="37" max="38" width="8.88671875" style="5"/>
    <col min="39" max="39" width="14.6640625" style="5" bestFit="1" customWidth="1"/>
    <col min="40" max="40" width="7" style="5" bestFit="1" customWidth="1"/>
    <col min="41" max="16384" width="8.88671875" style="5"/>
  </cols>
  <sheetData>
    <row r="1" spans="1:35" ht="15.6" x14ac:dyDescent="0.3">
      <c r="A1" s="1" t="s">
        <v>0</v>
      </c>
      <c r="B1" s="2" t="s">
        <v>1</v>
      </c>
      <c r="C1" s="1" t="s">
        <v>274</v>
      </c>
      <c r="D1" s="1" t="s">
        <v>2</v>
      </c>
      <c r="E1" s="1" t="s">
        <v>3</v>
      </c>
      <c r="F1" s="1" t="s">
        <v>4</v>
      </c>
      <c r="G1" s="1" t="s">
        <v>5</v>
      </c>
      <c r="H1" s="1" t="s">
        <v>8</v>
      </c>
      <c r="I1" s="1" t="s">
        <v>9</v>
      </c>
      <c r="J1" s="1" t="s">
        <v>240</v>
      </c>
      <c r="K1" s="1" t="s">
        <v>6</v>
      </c>
      <c r="L1" s="1" t="s">
        <v>7</v>
      </c>
      <c r="M1" s="1" t="s">
        <v>11</v>
      </c>
      <c r="N1" s="1" t="s">
        <v>10</v>
      </c>
      <c r="O1" s="1" t="s">
        <v>12</v>
      </c>
      <c r="S1" s="270" t="s">
        <v>373</v>
      </c>
      <c r="T1" s="271"/>
      <c r="U1" s="271"/>
      <c r="V1" s="271"/>
      <c r="W1" s="271"/>
      <c r="X1" s="271"/>
      <c r="Y1" s="271"/>
      <c r="AA1" s="270" t="s">
        <v>373</v>
      </c>
      <c r="AB1" s="271"/>
      <c r="AC1" s="271"/>
      <c r="AD1" s="271"/>
      <c r="AE1" s="271"/>
      <c r="AF1" s="271"/>
      <c r="AG1" s="271"/>
      <c r="AH1" s="271"/>
      <c r="AI1" s="271"/>
    </row>
    <row r="2" spans="1:35" ht="16.2" thickBot="1" x14ac:dyDescent="0.35">
      <c r="A2" s="11">
        <v>10100</v>
      </c>
      <c r="B2" s="10">
        <v>37627</v>
      </c>
      <c r="C2" s="10" t="s">
        <v>275</v>
      </c>
      <c r="D2" s="11" t="s">
        <v>13</v>
      </c>
      <c r="E2" s="11" t="s">
        <v>14</v>
      </c>
      <c r="F2" s="11" t="s">
        <v>15</v>
      </c>
      <c r="G2" s="11" t="s">
        <v>16</v>
      </c>
      <c r="H2" s="11" t="s">
        <v>17</v>
      </c>
      <c r="I2" s="11" t="s">
        <v>18</v>
      </c>
      <c r="J2" s="11" t="s">
        <v>241</v>
      </c>
      <c r="K2" s="11">
        <v>30</v>
      </c>
      <c r="L2" s="12">
        <v>30</v>
      </c>
      <c r="M2" s="13">
        <v>900</v>
      </c>
      <c r="N2" s="11" t="s">
        <v>367</v>
      </c>
      <c r="O2" s="11" t="s">
        <v>19</v>
      </c>
      <c r="S2" s="22" t="s">
        <v>374</v>
      </c>
      <c r="T2" s="22" t="s">
        <v>6</v>
      </c>
      <c r="U2" s="28" t="s">
        <v>385</v>
      </c>
      <c r="V2" s="22" t="s">
        <v>7</v>
      </c>
      <c r="W2" s="28" t="s">
        <v>385</v>
      </c>
      <c r="X2" s="22" t="s">
        <v>11</v>
      </c>
      <c r="Y2" s="28" t="s">
        <v>385</v>
      </c>
      <c r="AA2" s="22" t="s">
        <v>374</v>
      </c>
      <c r="AB2" s="22" t="s">
        <v>2</v>
      </c>
      <c r="AC2" s="22" t="s">
        <v>3</v>
      </c>
      <c r="AD2" s="22" t="s">
        <v>4</v>
      </c>
      <c r="AE2" s="22" t="s">
        <v>5</v>
      </c>
      <c r="AF2" s="22" t="s">
        <v>8</v>
      </c>
      <c r="AG2" s="22" t="s">
        <v>240</v>
      </c>
      <c r="AH2" s="22" t="s">
        <v>10</v>
      </c>
      <c r="AI2" s="22" t="s">
        <v>12</v>
      </c>
    </row>
    <row r="3" spans="1:35" ht="15.6" x14ac:dyDescent="0.3">
      <c r="A3" s="15">
        <v>10100</v>
      </c>
      <c r="B3" s="14">
        <v>37627</v>
      </c>
      <c r="C3" s="14" t="s">
        <v>275</v>
      </c>
      <c r="D3" s="15" t="s">
        <v>13</v>
      </c>
      <c r="E3" s="15" t="s">
        <v>14</v>
      </c>
      <c r="F3" s="15" t="s">
        <v>15</v>
      </c>
      <c r="G3" s="15" t="s">
        <v>16</v>
      </c>
      <c r="H3" s="15" t="s">
        <v>17</v>
      </c>
      <c r="I3" s="15" t="s">
        <v>20</v>
      </c>
      <c r="J3" s="15" t="s">
        <v>242</v>
      </c>
      <c r="K3" s="15">
        <v>50</v>
      </c>
      <c r="L3" s="16">
        <v>48</v>
      </c>
      <c r="M3" s="17">
        <v>2400</v>
      </c>
      <c r="N3" s="15" t="s">
        <v>368</v>
      </c>
      <c r="O3" s="15" t="s">
        <v>19</v>
      </c>
      <c r="S3" s="23" t="s">
        <v>375</v>
      </c>
      <c r="T3" s="25">
        <f>COUNT(Sales_Table[Quantity_Ordered])</f>
        <v>2971</v>
      </c>
      <c r="U3" s="37" t="s">
        <v>386</v>
      </c>
      <c r="V3" s="25">
        <f>COUNT(Sales_Table[Price_Each])</f>
        <v>2971</v>
      </c>
      <c r="W3" s="37" t="s">
        <v>386</v>
      </c>
      <c r="X3" s="18">
        <f>COUNT(Sales_Table[Sales])</f>
        <v>2971</v>
      </c>
      <c r="Y3" s="37" t="s">
        <v>386</v>
      </c>
      <c r="AA3" s="32" t="s">
        <v>375</v>
      </c>
      <c r="AB3" s="33">
        <f>COUNTA(Sales_Table[Customer_Name])</f>
        <v>2971</v>
      </c>
      <c r="AC3" s="33">
        <f>COUNTA(Sales_Table[City])</f>
        <v>2971</v>
      </c>
      <c r="AD3" s="33">
        <f>COUNTA(Sales_Table[Country])</f>
        <v>2971</v>
      </c>
      <c r="AE3" s="33">
        <f>COUNTA(Sales_Table[Territory])</f>
        <v>2971</v>
      </c>
      <c r="AF3" s="33">
        <f>COUNTA(Sales_Table[Product_Category])</f>
        <v>2971</v>
      </c>
      <c r="AG3" s="33">
        <f>COUNTA(Sales_Table[Product_Name])</f>
        <v>2971</v>
      </c>
      <c r="AH3" s="33">
        <f>COUNTA(Sales_Table[Deal_Size])</f>
        <v>2971</v>
      </c>
      <c r="AI3" s="33">
        <f>COUNTA(Sales_Table[Status])</f>
        <v>2971</v>
      </c>
    </row>
    <row r="4" spans="1:35" ht="16.2" thickBot="1" x14ac:dyDescent="0.35">
      <c r="A4" s="11">
        <v>10100</v>
      </c>
      <c r="B4" s="10">
        <v>37627</v>
      </c>
      <c r="C4" s="10" t="s">
        <v>275</v>
      </c>
      <c r="D4" s="11" t="s">
        <v>13</v>
      </c>
      <c r="E4" s="11" t="s">
        <v>14</v>
      </c>
      <c r="F4" s="11" t="s">
        <v>15</v>
      </c>
      <c r="G4" s="11" t="s">
        <v>16</v>
      </c>
      <c r="H4" s="11" t="s">
        <v>17</v>
      </c>
      <c r="I4" s="11" t="s">
        <v>21</v>
      </c>
      <c r="J4" s="11" t="s">
        <v>243</v>
      </c>
      <c r="K4" s="11">
        <v>22</v>
      </c>
      <c r="L4" s="12">
        <v>110</v>
      </c>
      <c r="M4" s="13">
        <v>2420</v>
      </c>
      <c r="N4" s="11" t="s">
        <v>367</v>
      </c>
      <c r="O4" s="11" t="s">
        <v>19</v>
      </c>
      <c r="S4" s="23" t="s">
        <v>376</v>
      </c>
      <c r="T4" s="25">
        <f>AVERAGE(Sales_Table[Quantity_Ordered])</f>
        <v>35.060922248401212</v>
      </c>
      <c r="U4" s="37" t="s">
        <v>386</v>
      </c>
      <c r="V4" s="25">
        <f>AVERAGE(Sales_Table[Price_Each])</f>
        <v>64.430831369909114</v>
      </c>
      <c r="W4" s="37" t="s">
        <v>386</v>
      </c>
      <c r="X4" s="18">
        <f>AVERAGE(Sales_Table[Sales])</f>
        <v>2259.1275664759341</v>
      </c>
      <c r="Y4" s="37" t="s">
        <v>386</v>
      </c>
      <c r="AA4" s="34" t="s">
        <v>391</v>
      </c>
      <c r="AB4" s="35">
        <f>COUNTA(_xlfn.UNIQUE(Sales_Table[Customer_Name]))</f>
        <v>92</v>
      </c>
      <c r="AC4" s="35">
        <f>COUNTA(_xlfn.UNIQUE(Sales_Table[City]))</f>
        <v>73</v>
      </c>
      <c r="AD4" s="35">
        <f>COUNTA(_xlfn.UNIQUE(Sales_Table[Country]))</f>
        <v>19</v>
      </c>
      <c r="AE4" s="35">
        <f>COUNTA(_xlfn.UNIQUE(Sales_Table[Territory]))</f>
        <v>4</v>
      </c>
      <c r="AF4" s="35">
        <f>COUNTA(_xlfn.UNIQUE(Sales_Table[Product_Category]))</f>
        <v>7</v>
      </c>
      <c r="AG4" s="35">
        <f>COUNTA(_xlfn.UNIQUE(Sales_Table[Product_Name]))</f>
        <v>33</v>
      </c>
      <c r="AH4" s="35">
        <f>COUNTA(_xlfn.UNIQUE(Sales_Table[Deal_Size]))</f>
        <v>3</v>
      </c>
      <c r="AI4" s="35">
        <f>COUNTA(_xlfn.UNIQUE(Sales_Table[Status]))</f>
        <v>1</v>
      </c>
    </row>
    <row r="5" spans="1:35" ht="15.6" x14ac:dyDescent="0.3">
      <c r="A5" s="15">
        <v>10100</v>
      </c>
      <c r="B5" s="14">
        <v>37627</v>
      </c>
      <c r="C5" s="14" t="s">
        <v>275</v>
      </c>
      <c r="D5" s="15" t="s">
        <v>13</v>
      </c>
      <c r="E5" s="15" t="s">
        <v>14</v>
      </c>
      <c r="F5" s="15" t="s">
        <v>15</v>
      </c>
      <c r="G5" s="15" t="s">
        <v>16</v>
      </c>
      <c r="H5" s="15" t="s">
        <v>17</v>
      </c>
      <c r="I5" s="15" t="s">
        <v>20</v>
      </c>
      <c r="J5" s="15" t="s">
        <v>242</v>
      </c>
      <c r="K5" s="15">
        <v>49</v>
      </c>
      <c r="L5" s="16">
        <v>48</v>
      </c>
      <c r="M5" s="17">
        <v>2352</v>
      </c>
      <c r="N5" s="15" t="s">
        <v>367</v>
      </c>
      <c r="O5" s="15" t="s">
        <v>19</v>
      </c>
      <c r="S5" s="23" t="s">
        <v>377</v>
      </c>
      <c r="T5" s="26">
        <f>_xlfn.STDEV.S(Sales_Table[Quantity_Ordered])</f>
        <v>9.6143126519112165</v>
      </c>
      <c r="U5" s="38" t="s">
        <v>387</v>
      </c>
      <c r="V5" s="26">
        <f>_xlfn.STDEV.S(Sales_Table[Price_Each])</f>
        <v>49.20863483891079</v>
      </c>
      <c r="W5" s="38" t="s">
        <v>401</v>
      </c>
      <c r="X5" s="19">
        <f>_xlfn.STDEV.S(Sales_Table[Sales])</f>
        <v>1885.9297774498807</v>
      </c>
      <c r="Y5" s="38" t="s">
        <v>402</v>
      </c>
      <c r="AA5" s="23" t="s">
        <v>393</v>
      </c>
      <c r="AB5" s="25" t="str" cm="1">
        <f t="array" ref="AB5">INDEX(Sales_Table[Customer_Name],_xlfn.MODE.MULT(MATCH(Sales_Table[Customer_Name],Sales_Table[Customer_Name],0)))</f>
        <v>Lonsdale Wholesale</v>
      </c>
      <c r="AC5" s="25" t="str" cm="1">
        <f t="array" ref="AC5">INDEX(Sales_Table[City],_xlfn.MODE.MULT(MATCH(Sales_Table[City],Sales_Table[City],0)))</f>
        <v>Madrid</v>
      </c>
      <c r="AD5" s="25" t="str" cm="1">
        <f t="array" ref="AD5">INDEX(Sales_Table[Country],_xlfn.MODE.MULT(MATCH(Sales_Table[Country],Sales_Table[Country],0)))</f>
        <v>USA</v>
      </c>
      <c r="AE5" s="25" t="str" cm="1">
        <f t="array" ref="AE5">INDEX(Sales_Table[Territory],_xlfn.MODE.MULT(MATCH(Sales_Table[Territory],Sales_Table[Territory],0)))</f>
        <v>EMEA</v>
      </c>
      <c r="AF5" s="25" t="str" cm="1">
        <f t="array" ref="AF5">INDEX(Sales_Table[Product_Category],_xlfn.MODE.MULT(MATCH(Sales_Table[Product_Category],Sales_Table[Product_Category],0)))</f>
        <v>Beverages</v>
      </c>
      <c r="AG5" s="25" t="str" cm="1">
        <f t="array" ref="AG5">INDEX(Sales_Table[Product_Name],_xlfn.MODE.MULT(MATCH(Sales_Table[Product_Name],Sales_Table[Product_Name],0)))</f>
        <v>Milko Gold</v>
      </c>
      <c r="AH5" s="25" t="str" cm="1">
        <f t="array" ref="AH5">INDEX(Sales_Table[Deal_Size],_xlfn.MODE.MULT(MATCH(Sales_Table[Deal_Size],Sales_Table[Deal_Size],0)))</f>
        <v>Small</v>
      </c>
      <c r="AI5" s="36" t="str" cm="1">
        <f t="array" ref="AI5">INDEX(Sales_Table[Status],_xlfn.MODE.MULT(MATCH(Sales_Table[Status],Sales_Table[Status],0)))</f>
        <v>Shipped</v>
      </c>
    </row>
    <row r="6" spans="1:35" ht="16.2" thickBot="1" x14ac:dyDescent="0.35">
      <c r="A6" s="11">
        <v>10101</v>
      </c>
      <c r="B6" s="10">
        <v>37630</v>
      </c>
      <c r="C6" s="10" t="s">
        <v>276</v>
      </c>
      <c r="D6" s="11" t="s">
        <v>22</v>
      </c>
      <c r="E6" s="11" t="s">
        <v>23</v>
      </c>
      <c r="F6" s="11" t="s">
        <v>24</v>
      </c>
      <c r="G6" s="11" t="s">
        <v>25</v>
      </c>
      <c r="H6" s="11" t="s">
        <v>17</v>
      </c>
      <c r="I6" s="11" t="s">
        <v>26</v>
      </c>
      <c r="J6" s="11" t="s">
        <v>244</v>
      </c>
      <c r="K6" s="11">
        <v>25</v>
      </c>
      <c r="L6" s="12">
        <v>60</v>
      </c>
      <c r="M6" s="13">
        <v>1500</v>
      </c>
      <c r="N6" s="11" t="s">
        <v>367</v>
      </c>
      <c r="O6" s="11" t="s">
        <v>19</v>
      </c>
      <c r="S6" s="23" t="s">
        <v>378</v>
      </c>
      <c r="T6" s="26">
        <f>_xlfn.VAR.S(Sales_Table[Quantity_Ordered])</f>
        <v>92.435007768700075</v>
      </c>
      <c r="U6" s="38" t="s">
        <v>386</v>
      </c>
      <c r="V6" s="26">
        <f>_xlfn.VAR.S(Sales_Table[Price_Each])</f>
        <v>2421.4897427092646</v>
      </c>
      <c r="W6" s="38" t="s">
        <v>386</v>
      </c>
      <c r="X6" s="19">
        <f>_xlfn.VAR.S(Sales_Table[Sales])</f>
        <v>3556731.1254721568</v>
      </c>
      <c r="Y6" s="38" t="s">
        <v>386</v>
      </c>
      <c r="AA6" s="24" t="s">
        <v>392</v>
      </c>
      <c r="AB6" s="31">
        <f>COUNTIF(Sales_Table[Customer_Name],AB5)/$AB$3</f>
        <v>9.1551666105688323E-2</v>
      </c>
      <c r="AC6" s="31">
        <f>COUNTIF(Sales_Table[City],AC5)/AC3</f>
        <v>0.10669808145405588</v>
      </c>
      <c r="AD6" s="31">
        <f>COUNTIF(Sales_Table[Country],AD5)/AD3</f>
        <v>0.35106024907438571</v>
      </c>
      <c r="AE6" s="31">
        <f>COUNTIF(Sales_Table[Territory],AE5)/AE3</f>
        <v>0.50050488051161224</v>
      </c>
      <c r="AF6" s="31">
        <f>COUNTIF(Sales_Table[Product_Category],AF5)/AF3</f>
        <v>0.35005048805116123</v>
      </c>
      <c r="AG6" s="31">
        <f>COUNTIF(Sales_Table[Product_Name],AG5)/AG3</f>
        <v>0.1120834735779199</v>
      </c>
      <c r="AH6" s="31">
        <f>COUNTIF(Sales_Table[Deal_Size],AH5)/AH3</f>
        <v>0.96028273308650292</v>
      </c>
      <c r="AI6" s="31">
        <f>COUNTIF(Sales_Table[Status],AI5)/AI3</f>
        <v>1</v>
      </c>
    </row>
    <row r="7" spans="1:35" ht="15.6" x14ac:dyDescent="0.3">
      <c r="A7" s="15">
        <v>10101</v>
      </c>
      <c r="B7" s="14">
        <v>37630</v>
      </c>
      <c r="C7" s="14" t="s">
        <v>276</v>
      </c>
      <c r="D7" s="15" t="s">
        <v>22</v>
      </c>
      <c r="E7" s="15" t="s">
        <v>23</v>
      </c>
      <c r="F7" s="15" t="s">
        <v>24</v>
      </c>
      <c r="G7" s="15" t="s">
        <v>25</v>
      </c>
      <c r="H7" s="15" t="s">
        <v>17</v>
      </c>
      <c r="I7" s="15" t="s">
        <v>18</v>
      </c>
      <c r="J7" s="15" t="s">
        <v>241</v>
      </c>
      <c r="K7" s="15">
        <v>26</v>
      </c>
      <c r="L7" s="16">
        <v>30</v>
      </c>
      <c r="M7" s="17">
        <v>780</v>
      </c>
      <c r="N7" s="15" t="s">
        <v>367</v>
      </c>
      <c r="O7" s="15" t="s">
        <v>19</v>
      </c>
      <c r="S7" s="23" t="s">
        <v>379</v>
      </c>
      <c r="T7" s="26">
        <f>MIN(Sales_Table[Quantity_Ordered])</f>
        <v>6</v>
      </c>
      <c r="U7" s="38" t="s">
        <v>386</v>
      </c>
      <c r="V7" s="26">
        <f>MIN(Sales_Table[Price_Each])</f>
        <v>15</v>
      </c>
      <c r="W7" s="38" t="s">
        <v>386</v>
      </c>
      <c r="X7" s="19">
        <f>MIN(Sales_Table[Sales])</f>
        <v>225</v>
      </c>
      <c r="Y7" s="38" t="s">
        <v>386</v>
      </c>
      <c r="AA7" s="23" t="s">
        <v>394</v>
      </c>
      <c r="AB7" s="26" t="str" cm="1">
        <f t="array" ref="AB7">_xlfn.LET(_xlpm.names,Sales_Table[Customer_Name],_xlpm.u,_xlfn.UNIQUE(_xlpm.names),_xlpm.freq,COUNTIF(_xlpm.names,_xlpm.u),_xlpm.sorted,_xlfn.SORTBY(_xlpm.u,_xlpm.freq,-1),INDEX(_xlpm.sorted,2))</f>
        <v>Millford Wholesale</v>
      </c>
      <c r="AC7" s="26" t="str" cm="1">
        <f t="array" ref="AC7">_xlfn.LET(_xlpm.names,Sales_Table[City],_xlpm.u,_xlfn.UNIQUE(_xlpm.names),_xlpm.freq,COUNTIF(_xlpm.names,_xlpm.u),_xlpm.sorted,_xlfn.SORTBY(_xlpm.u,_xlpm.freq,-1),INDEX(_xlpm.sorted,2))</f>
        <v>San Rafael</v>
      </c>
      <c r="AD7" s="26" t="str" cm="1">
        <f t="array" ref="AD7">_xlfn.LET(_xlpm.names,Sales_Table[Country],_xlpm.u,_xlfn.UNIQUE(_xlpm.names),_xlpm.freq,COUNTIF(_xlpm.names,_xlpm.u),_xlpm.sorted,_xlfn.SORTBY(_xlpm.u,_xlpm.freq,-1),INDEX(_xlpm.sorted,2))</f>
        <v>Spain</v>
      </c>
      <c r="AE7" s="26" t="str" cm="1">
        <f t="array" ref="AE7">_xlfn.LET(_xlpm.names,Sales_Table[Territory],_xlpm.u,_xlfn.UNIQUE(_xlpm.names),_xlpm.freq,COUNTIF(_xlpm.names,_xlpm.u),_xlpm.sorted,_xlfn.SORTBY(_xlpm.u,_xlpm.freq,-1),INDEX(_xlpm.sorted,2))</f>
        <v>NA</v>
      </c>
      <c r="AF7" s="26" t="str" cm="1">
        <f t="array" ref="AF7">_xlfn.LET(_xlpm.names,Sales_Table[Product_Category],_xlpm.u,_xlfn.UNIQUE(_xlpm.names),_xlpm.freq,COUNTIF(_xlpm.names,_xlpm.u),_xlpm.sorted,_xlfn.SORTBY(_xlpm.u,_xlpm.freq,-1),INDEX(_xlpm.sorted,2))</f>
        <v>Dairy Products</v>
      </c>
      <c r="AG7" s="26" t="str" cm="1">
        <f t="array" ref="AG7">_xlfn.LET(_xlpm.names,Sales_Table[Product_Name],_xlpm.u,_xlfn.UNIQUE(_xlpm.names),_xlpm.freq,COUNTIF(_xlpm.names,_xlpm.u),_xlpm.sorted,_xlfn.SORTBY(_xlpm.u,_xlpm.freq,-1),INDEX(_xlpm.sorted,2))</f>
        <v>BrewSip Classic Coffee</v>
      </c>
      <c r="AH7" s="26" t="str" cm="1">
        <f t="array" ref="AH7">_xlfn.LET(_xlpm.names,Sales_Table[Deal_Size],_xlpm.u,_xlfn.UNIQUE(_xlpm.names),_xlpm.freq,COUNTIF(_xlpm.names,_xlpm.u),_xlpm.sorted,_xlfn.SORTBY(_xlpm.u,_xlpm.freq,-1),INDEX(_xlpm.sorted,2))</f>
        <v>Medium</v>
      </c>
      <c r="AI7" s="26" t="s">
        <v>386</v>
      </c>
    </row>
    <row r="8" spans="1:35" ht="16.2" thickBot="1" x14ac:dyDescent="0.35">
      <c r="A8" s="11">
        <v>10101</v>
      </c>
      <c r="B8" s="10">
        <v>37630</v>
      </c>
      <c r="C8" s="10" t="s">
        <v>276</v>
      </c>
      <c r="D8" s="11" t="s">
        <v>22</v>
      </c>
      <c r="E8" s="11" t="s">
        <v>23</v>
      </c>
      <c r="F8" s="11" t="s">
        <v>24</v>
      </c>
      <c r="G8" s="11" t="s">
        <v>25</v>
      </c>
      <c r="H8" s="11" t="s">
        <v>17</v>
      </c>
      <c r="I8" s="11" t="s">
        <v>20</v>
      </c>
      <c r="J8" s="11" t="s">
        <v>242</v>
      </c>
      <c r="K8" s="11">
        <v>45</v>
      </c>
      <c r="L8" s="12">
        <v>48</v>
      </c>
      <c r="M8" s="13">
        <v>2160</v>
      </c>
      <c r="N8" s="11" t="s">
        <v>367</v>
      </c>
      <c r="O8" s="11" t="s">
        <v>19</v>
      </c>
      <c r="S8" s="30">
        <v>0.25</v>
      </c>
      <c r="T8" s="26">
        <f>_xlfn.QUARTILE.INC(Sales_Table[Quantity_Ordered],1)</f>
        <v>27</v>
      </c>
      <c r="U8" s="38" t="s">
        <v>386</v>
      </c>
      <c r="V8" s="26">
        <f>_xlfn.QUARTILE.INC(Sales_Table[Price_Each],1)</f>
        <v>30</v>
      </c>
      <c r="W8" s="38" t="s">
        <v>386</v>
      </c>
      <c r="X8" s="19">
        <f>_xlfn.QUARTILE.INC(Sales_Table[Sales],1)</f>
        <v>1050</v>
      </c>
      <c r="Y8" s="38" t="s">
        <v>386</v>
      </c>
      <c r="AA8" s="24" t="s">
        <v>392</v>
      </c>
      <c r="AB8" s="31">
        <f>COUNTIF(Sales_Table[Customer_Name],AB7)/AB$3</f>
        <v>7.8761359811511278E-2</v>
      </c>
      <c r="AC8" s="31">
        <f>COUNTIF(Sales_Table[City],AC7)/AC$3</f>
        <v>7.8761359811511278E-2</v>
      </c>
      <c r="AD8" s="31">
        <f>COUNTIF(Sales_Table[Country],AD7)/AD$3</f>
        <v>0.11948838774823292</v>
      </c>
      <c r="AE8" s="31">
        <f>COUNTIF(Sales_Table[Territory],AE7)/AE$3</f>
        <v>0.37765062268596433</v>
      </c>
      <c r="AF8" s="31">
        <f>COUNTIF(Sales_Table[Product_Category],AF7)/AF$3</f>
        <v>0.20969370582295524</v>
      </c>
      <c r="AG8" s="31">
        <f>COUNTIF(Sales_Table[Product_Name],AG7)/AG$3</f>
        <v>9.3234601144395829E-2</v>
      </c>
      <c r="AH8" s="31">
        <f>COUNTIF(Sales_Table[Deal_Size],AH7)/AH$3</f>
        <v>3.8370918882531135E-2</v>
      </c>
      <c r="AI8" s="31" t="s">
        <v>386</v>
      </c>
    </row>
    <row r="9" spans="1:35" ht="15.6" x14ac:dyDescent="0.3">
      <c r="A9" s="15">
        <v>10101</v>
      </c>
      <c r="B9" s="14">
        <v>37630</v>
      </c>
      <c r="C9" s="14" t="s">
        <v>276</v>
      </c>
      <c r="D9" s="15" t="s">
        <v>22</v>
      </c>
      <c r="E9" s="15" t="s">
        <v>23</v>
      </c>
      <c r="F9" s="15" t="s">
        <v>24</v>
      </c>
      <c r="G9" s="15" t="s">
        <v>25</v>
      </c>
      <c r="H9" s="15" t="s">
        <v>17</v>
      </c>
      <c r="I9" s="15" t="s">
        <v>26</v>
      </c>
      <c r="J9" s="15" t="s">
        <v>244</v>
      </c>
      <c r="K9" s="15">
        <v>46</v>
      </c>
      <c r="L9" s="16">
        <v>60</v>
      </c>
      <c r="M9" s="17">
        <v>2760</v>
      </c>
      <c r="N9" s="15" t="s">
        <v>367</v>
      </c>
      <c r="O9" s="15" t="s">
        <v>19</v>
      </c>
      <c r="S9" s="23" t="s">
        <v>380</v>
      </c>
      <c r="T9" s="26">
        <f>MEDIAN(Sales_Table[Quantity_Ordered])</f>
        <v>35</v>
      </c>
      <c r="U9" s="38" t="s">
        <v>386</v>
      </c>
      <c r="V9" s="26">
        <f>MEDIAN(Sales_Table[Price_Each])</f>
        <v>50</v>
      </c>
      <c r="W9" s="38" t="s">
        <v>386</v>
      </c>
      <c r="X9" s="19">
        <f>MEDIAN(Sales_Table[Sales])</f>
        <v>1785</v>
      </c>
      <c r="Y9" s="38" t="s">
        <v>386</v>
      </c>
      <c r="AA9" s="23" t="s">
        <v>395</v>
      </c>
      <c r="AB9" s="26" t="str" cm="1">
        <f t="array" ref="AB9">_xlfn.LET(_xlpm.names,Sales_Table[Customer_Name],_xlpm.u,_xlfn.UNIQUE(_xlpm.names),_xlpm.freq,COUNTIF(_xlpm.names,_xlpm.u),_xlpm.sorted,_xlfn.SORTBY(_xlpm.u,_xlpm.freq,-1),INDEX(_xlpm.sorted,3))</f>
        <v>Sandhurst Retailers</v>
      </c>
      <c r="AC9" s="26" t="str" cm="1">
        <f t="array" ref="AC9">_xlfn.LET(_xlpm.names,Sales_Table[City],_xlpm.u,_xlfn.UNIQUE(_xlpm.names),_xlpm.freq,COUNTIF(_xlpm.names,_xlpm.u),_xlpm.sorted,_xlfn.SORTBY(_xlpm.u,_xlpm.freq,-1),INDEX(_xlpm.sorted,3))</f>
        <v>NYC</v>
      </c>
      <c r="AD9" s="26" t="str" cm="1">
        <f t="array" ref="AD9">_xlfn.LET(_xlpm.names,Sales_Table[Country],_xlpm.u,_xlfn.UNIQUE(_xlpm.names),_xlpm.freq,COUNTIF(_xlpm.names,_xlpm.u),_xlpm.sorted,_xlfn.SORTBY(_xlpm.u,_xlpm.freq,-1),INDEX(_xlpm.sorted,3))</f>
        <v>France</v>
      </c>
      <c r="AE9" s="26" t="str" cm="1">
        <f t="array" ref="AE9">_xlfn.LET(_xlpm.names,Sales_Table[Territory],_xlpm.u,_xlfn.UNIQUE(_xlpm.names),_xlpm.freq,COUNTIF(_xlpm.names,_xlpm.u),_xlpm.sorted,_xlfn.SORTBY(_xlpm.u,_xlpm.freq,-1),INDEX(_xlpm.sorted,3))</f>
        <v>APAC</v>
      </c>
      <c r="AF9" s="26" t="str" cm="1">
        <f t="array" ref="AF9">_xlfn.LET(_xlpm.names,Sales_Table[Product_Category],_xlpm.u,_xlfn.UNIQUE(_xlpm.names),_xlpm.freq,COUNTIF(_xlpm.names,_xlpm.u),_xlpm.sorted,_xlfn.SORTBY(_xlpm.u,_xlpm.freq,-1),INDEX(_xlpm.sorted,3))</f>
        <v>Instant Foods</v>
      </c>
      <c r="AG9" s="26" t="str" cm="1">
        <f t="array" ref="AG9">_xlfn.LET(_xlpm.names,Sales_Table[Product_Name],_xlpm.u,_xlfn.UNIQUE(_xlpm.names),_xlpm.freq,COUNTIF(_xlpm.names,_xlpm.u),_xlpm.sorted,_xlfn.SORTBY(_xlpm.u,_xlpm.freq,-1),INDEX(_xlpm.sorted,3))</f>
        <v>Brew Black Coffee</v>
      </c>
      <c r="AH9" s="26" t="str" cm="1">
        <f t="array" ref="AH9">_xlfn.LET(_xlpm.names,Sales_Table[Deal_Size],_xlpm.u,_xlfn.UNIQUE(_xlpm.names),_xlpm.freq,COUNTIF(_xlpm.names,_xlpm.u),_xlpm.sorted,_xlfn.SORTBY(_xlpm.u,_xlpm.freq,-1),INDEX(_xlpm.sorted,3))</f>
        <v>Large</v>
      </c>
      <c r="AI9" s="26" t="s">
        <v>386</v>
      </c>
    </row>
    <row r="10" spans="1:35" ht="16.2" thickBot="1" x14ac:dyDescent="0.35">
      <c r="A10" s="11">
        <v>10102</v>
      </c>
      <c r="B10" s="10">
        <v>37631</v>
      </c>
      <c r="C10" s="10" t="s">
        <v>277</v>
      </c>
      <c r="D10" s="11" t="s">
        <v>27</v>
      </c>
      <c r="E10" s="11" t="s">
        <v>28</v>
      </c>
      <c r="F10" s="11" t="s">
        <v>15</v>
      </c>
      <c r="G10" s="11" t="s">
        <v>16</v>
      </c>
      <c r="H10" s="11" t="s">
        <v>17</v>
      </c>
      <c r="I10" s="11" t="s">
        <v>20</v>
      </c>
      <c r="J10" s="11" t="s">
        <v>242</v>
      </c>
      <c r="K10" s="11">
        <v>39</v>
      </c>
      <c r="L10" s="12">
        <v>48</v>
      </c>
      <c r="M10" s="13">
        <v>1872</v>
      </c>
      <c r="N10" s="11" t="s">
        <v>367</v>
      </c>
      <c r="O10" s="11" t="s">
        <v>19</v>
      </c>
      <c r="S10" s="30">
        <v>0.75</v>
      </c>
      <c r="T10" s="26">
        <f>_xlfn.QUARTILE.INC(Sales_Table[Quantity_Ordered],3)</f>
        <v>43</v>
      </c>
      <c r="U10" s="38" t="s">
        <v>386</v>
      </c>
      <c r="V10" s="26">
        <f>_xlfn.QUARTILE.INC(Sales_Table[Price_Each],3)</f>
        <v>80</v>
      </c>
      <c r="W10" s="38" t="s">
        <v>386</v>
      </c>
      <c r="X10" s="19">
        <f>_xlfn.QUARTILE.INC(Sales_Table[Sales],3)</f>
        <v>2720</v>
      </c>
      <c r="Y10" s="38" t="s">
        <v>386</v>
      </c>
      <c r="AA10" s="24" t="s">
        <v>392</v>
      </c>
      <c r="AB10" s="31">
        <f>COUNTIF(Sales_Table[Customer_Name],AB9)/AB$3</f>
        <v>2.1878155503197577E-2</v>
      </c>
      <c r="AC10" s="31">
        <f>COUNTIF(Sales_Table[City],AC9)/AC$3</f>
        <v>4.6449007068327164E-2</v>
      </c>
      <c r="AD10" s="31">
        <f>COUNTIF(Sales_Table[Country],AD9)/AD$3</f>
        <v>0.11847862672500842</v>
      </c>
      <c r="AE10" s="31">
        <f>COUNTIF(Sales_Table[Territory],AE9)/AE$3</f>
        <v>7.7415011780545273E-2</v>
      </c>
      <c r="AF10" s="31">
        <f>COUNTIF(Sales_Table[Product_Category],AF9)/AF$3</f>
        <v>0.12622012790306295</v>
      </c>
      <c r="AG10" s="31">
        <f>COUNTIF(Sales_Table[Product_Name],AG9)/AG$3</f>
        <v>7.9097946819252779E-2</v>
      </c>
      <c r="AH10" s="31">
        <f>COUNTIF(Sales_Table[Deal_Size],AH9)/AH$3</f>
        <v>1.3463480309660047E-3</v>
      </c>
      <c r="AI10" s="31" t="s">
        <v>386</v>
      </c>
    </row>
    <row r="11" spans="1:35" ht="15.6" x14ac:dyDescent="0.3">
      <c r="A11" s="15">
        <v>10102</v>
      </c>
      <c r="B11" s="14">
        <v>37631</v>
      </c>
      <c r="C11" s="14" t="s">
        <v>277</v>
      </c>
      <c r="D11" s="15" t="s">
        <v>27</v>
      </c>
      <c r="E11" s="15" t="s">
        <v>28</v>
      </c>
      <c r="F11" s="15" t="s">
        <v>15</v>
      </c>
      <c r="G11" s="15" t="s">
        <v>16</v>
      </c>
      <c r="H11" s="15" t="s">
        <v>17</v>
      </c>
      <c r="I11" s="15" t="s">
        <v>20</v>
      </c>
      <c r="J11" s="15" t="s">
        <v>242</v>
      </c>
      <c r="K11" s="15">
        <v>41</v>
      </c>
      <c r="L11" s="16">
        <v>48</v>
      </c>
      <c r="M11" s="17">
        <v>1968</v>
      </c>
      <c r="N11" s="15" t="s">
        <v>367</v>
      </c>
      <c r="O11" s="15" t="s">
        <v>19</v>
      </c>
      <c r="S11" s="23" t="s">
        <v>381</v>
      </c>
      <c r="T11" s="26">
        <f>MAX(Sales_Table[Quantity_Ordered])</f>
        <v>97</v>
      </c>
      <c r="U11" s="38" t="s">
        <v>386</v>
      </c>
      <c r="V11" s="26">
        <f>MAX(Sales_Table[Price_Each])</f>
        <v>250</v>
      </c>
      <c r="W11" s="38" t="s">
        <v>386</v>
      </c>
      <c r="X11" s="19">
        <f>MAX(Sales_Table[Sales])</f>
        <v>12500</v>
      </c>
      <c r="Y11" s="38" t="s">
        <v>386</v>
      </c>
      <c r="AI11" s="29"/>
    </row>
    <row r="12" spans="1:35" ht="15.6" x14ac:dyDescent="0.3">
      <c r="A12" s="11">
        <v>10103</v>
      </c>
      <c r="B12" s="10">
        <v>37650</v>
      </c>
      <c r="C12" s="10" t="s">
        <v>278</v>
      </c>
      <c r="D12" s="11" t="s">
        <v>29</v>
      </c>
      <c r="E12" s="11" t="s">
        <v>30</v>
      </c>
      <c r="F12" s="11" t="s">
        <v>31</v>
      </c>
      <c r="G12" s="11" t="s">
        <v>25</v>
      </c>
      <c r="H12" s="11" t="s">
        <v>32</v>
      </c>
      <c r="I12" s="11" t="s">
        <v>33</v>
      </c>
      <c r="J12" s="11" t="s">
        <v>245</v>
      </c>
      <c r="K12" s="11">
        <v>26</v>
      </c>
      <c r="L12" s="12">
        <v>85</v>
      </c>
      <c r="M12" s="13">
        <v>2210</v>
      </c>
      <c r="N12" s="11" t="s">
        <v>367</v>
      </c>
      <c r="O12" s="11" t="s">
        <v>19</v>
      </c>
      <c r="S12" s="23" t="s">
        <v>384</v>
      </c>
      <c r="T12" s="26">
        <f>T11-T7</f>
        <v>91</v>
      </c>
      <c r="U12" s="38" t="s">
        <v>386</v>
      </c>
      <c r="V12" s="26">
        <f>V11-V7</f>
        <v>235</v>
      </c>
      <c r="W12" s="38" t="s">
        <v>386</v>
      </c>
      <c r="X12" s="19">
        <f>X11-X7</f>
        <v>12275</v>
      </c>
      <c r="Y12" s="38" t="s">
        <v>386</v>
      </c>
      <c r="AI12" s="21"/>
    </row>
    <row r="13" spans="1:35" ht="15.6" x14ac:dyDescent="0.3">
      <c r="A13" s="15">
        <v>10103</v>
      </c>
      <c r="B13" s="14">
        <v>37650</v>
      </c>
      <c r="C13" s="14" t="s">
        <v>278</v>
      </c>
      <c r="D13" s="15" t="s">
        <v>29</v>
      </c>
      <c r="E13" s="15" t="s">
        <v>30</v>
      </c>
      <c r="F13" s="15" t="s">
        <v>31</v>
      </c>
      <c r="G13" s="15" t="s">
        <v>25</v>
      </c>
      <c r="H13" s="15" t="s">
        <v>32</v>
      </c>
      <c r="I13" s="15" t="s">
        <v>34</v>
      </c>
      <c r="J13" s="15" t="s">
        <v>246</v>
      </c>
      <c r="K13" s="15">
        <v>42</v>
      </c>
      <c r="L13" s="16">
        <v>80</v>
      </c>
      <c r="M13" s="17">
        <v>3360</v>
      </c>
      <c r="N13" s="15" t="s">
        <v>367</v>
      </c>
      <c r="O13" s="15" t="s">
        <v>19</v>
      </c>
      <c r="S13" s="23" t="s">
        <v>382</v>
      </c>
      <c r="T13" s="26">
        <f>SKEW(Sales_Table[Quantity_Ordered])</f>
        <v>0.36161492458718297</v>
      </c>
      <c r="U13" s="38" t="s">
        <v>388</v>
      </c>
      <c r="V13" s="26">
        <f>SKEW(Sales_Table[Price_Each])</f>
        <v>2.1386716420504417</v>
      </c>
      <c r="W13" s="38" t="s">
        <v>389</v>
      </c>
      <c r="X13" s="19">
        <f>SKEW(Sales_Table[Sales])</f>
        <v>2.3893628017765138</v>
      </c>
      <c r="Y13" s="38" t="s">
        <v>389</v>
      </c>
    </row>
    <row r="14" spans="1:35" ht="16.2" thickBot="1" x14ac:dyDescent="0.35">
      <c r="A14" s="11">
        <v>10103</v>
      </c>
      <c r="B14" s="10">
        <v>37650</v>
      </c>
      <c r="C14" s="10" t="s">
        <v>278</v>
      </c>
      <c r="D14" s="11" t="s">
        <v>29</v>
      </c>
      <c r="E14" s="11" t="s">
        <v>30</v>
      </c>
      <c r="F14" s="11" t="s">
        <v>31</v>
      </c>
      <c r="G14" s="11" t="s">
        <v>25</v>
      </c>
      <c r="H14" s="11" t="s">
        <v>35</v>
      </c>
      <c r="I14" s="11" t="s">
        <v>36</v>
      </c>
      <c r="J14" s="11" t="s">
        <v>247</v>
      </c>
      <c r="K14" s="11">
        <v>27</v>
      </c>
      <c r="L14" s="12">
        <v>30</v>
      </c>
      <c r="M14" s="13">
        <v>810</v>
      </c>
      <c r="N14" s="11" t="s">
        <v>367</v>
      </c>
      <c r="O14" s="11" t="s">
        <v>19</v>
      </c>
      <c r="S14" s="24" t="s">
        <v>383</v>
      </c>
      <c r="T14" s="27">
        <f>KURT(Sales_Table[Quantity_Ordered])</f>
        <v>0.56589218127512009</v>
      </c>
      <c r="U14" s="39" t="s">
        <v>399</v>
      </c>
      <c r="V14" s="27">
        <f>KURT(Sales_Table[Price_Each])</f>
        <v>4.9505587124471351</v>
      </c>
      <c r="W14" s="39" t="s">
        <v>390</v>
      </c>
      <c r="X14" s="20">
        <f>KURT(Sales_Table[Sales])</f>
        <v>7.0395063911440294</v>
      </c>
      <c r="Y14" s="39" t="s">
        <v>390</v>
      </c>
    </row>
    <row r="15" spans="1:35" ht="15.6" x14ac:dyDescent="0.3">
      <c r="A15" s="15">
        <v>10103</v>
      </c>
      <c r="B15" s="14">
        <v>37650</v>
      </c>
      <c r="C15" s="14" t="s">
        <v>278</v>
      </c>
      <c r="D15" s="15" t="s">
        <v>29</v>
      </c>
      <c r="E15" s="15" t="s">
        <v>30</v>
      </c>
      <c r="F15" s="15" t="s">
        <v>31</v>
      </c>
      <c r="G15" s="15" t="s">
        <v>25</v>
      </c>
      <c r="H15" s="15" t="s">
        <v>35</v>
      </c>
      <c r="I15" s="15" t="s">
        <v>37</v>
      </c>
      <c r="J15" s="15" t="s">
        <v>248</v>
      </c>
      <c r="K15" s="15">
        <v>35</v>
      </c>
      <c r="L15" s="16">
        <v>30</v>
      </c>
      <c r="M15" s="17">
        <v>1050</v>
      </c>
      <c r="N15" s="15" t="s">
        <v>367</v>
      </c>
      <c r="O15" s="15" t="s">
        <v>19</v>
      </c>
    </row>
    <row r="16" spans="1:35" ht="15.6" x14ac:dyDescent="0.3">
      <c r="A16" s="11">
        <v>10103</v>
      </c>
      <c r="B16" s="10">
        <v>37650</v>
      </c>
      <c r="C16" s="10" t="s">
        <v>278</v>
      </c>
      <c r="D16" s="11" t="s">
        <v>29</v>
      </c>
      <c r="E16" s="11" t="s">
        <v>30</v>
      </c>
      <c r="F16" s="11" t="s">
        <v>31</v>
      </c>
      <c r="G16" s="11" t="s">
        <v>25</v>
      </c>
      <c r="H16" s="11" t="s">
        <v>35</v>
      </c>
      <c r="I16" s="11" t="s">
        <v>38</v>
      </c>
      <c r="J16" s="11" t="s">
        <v>249</v>
      </c>
      <c r="K16" s="11">
        <v>22</v>
      </c>
      <c r="L16" s="12">
        <v>20</v>
      </c>
      <c r="M16" s="13">
        <v>440</v>
      </c>
      <c r="N16" s="11" t="s">
        <v>367</v>
      </c>
      <c r="O16" s="11" t="s">
        <v>19</v>
      </c>
      <c r="S16" s="21"/>
    </row>
    <row r="17" spans="1:15" ht="15.6" x14ac:dyDescent="0.3">
      <c r="A17" s="15">
        <v>10103</v>
      </c>
      <c r="B17" s="14">
        <v>37650</v>
      </c>
      <c r="C17" s="14" t="s">
        <v>278</v>
      </c>
      <c r="D17" s="15" t="s">
        <v>29</v>
      </c>
      <c r="E17" s="15" t="s">
        <v>30</v>
      </c>
      <c r="F17" s="15" t="s">
        <v>31</v>
      </c>
      <c r="G17" s="15" t="s">
        <v>25</v>
      </c>
      <c r="H17" s="15" t="s">
        <v>17</v>
      </c>
      <c r="I17" s="15" t="s">
        <v>20</v>
      </c>
      <c r="J17" s="15" t="s">
        <v>242</v>
      </c>
      <c r="K17" s="15">
        <v>27</v>
      </c>
      <c r="L17" s="16">
        <v>48</v>
      </c>
      <c r="M17" s="17">
        <v>1296</v>
      </c>
      <c r="N17" s="15" t="s">
        <v>367</v>
      </c>
      <c r="O17" s="15" t="s">
        <v>19</v>
      </c>
    </row>
    <row r="18" spans="1:15" ht="15.6" x14ac:dyDescent="0.3">
      <c r="A18" s="11">
        <v>10103</v>
      </c>
      <c r="B18" s="10">
        <v>37650</v>
      </c>
      <c r="C18" s="10" t="s">
        <v>278</v>
      </c>
      <c r="D18" s="11" t="s">
        <v>29</v>
      </c>
      <c r="E18" s="11" t="s">
        <v>30</v>
      </c>
      <c r="F18" s="11" t="s">
        <v>31</v>
      </c>
      <c r="G18" s="11" t="s">
        <v>25</v>
      </c>
      <c r="H18" s="11" t="s">
        <v>17</v>
      </c>
      <c r="I18" s="11" t="s">
        <v>20</v>
      </c>
      <c r="J18" s="11" t="s">
        <v>242</v>
      </c>
      <c r="K18" s="11">
        <v>35</v>
      </c>
      <c r="L18" s="12">
        <v>48</v>
      </c>
      <c r="M18" s="13">
        <v>1680</v>
      </c>
      <c r="N18" s="11" t="s">
        <v>367</v>
      </c>
      <c r="O18" s="11" t="s">
        <v>19</v>
      </c>
    </row>
    <row r="19" spans="1:15" ht="15.6" x14ac:dyDescent="0.3">
      <c r="A19" s="15">
        <v>10103</v>
      </c>
      <c r="B19" s="14">
        <v>37650</v>
      </c>
      <c r="C19" s="14" t="s">
        <v>278</v>
      </c>
      <c r="D19" s="15" t="s">
        <v>29</v>
      </c>
      <c r="E19" s="15" t="s">
        <v>30</v>
      </c>
      <c r="F19" s="15" t="s">
        <v>31</v>
      </c>
      <c r="G19" s="15" t="s">
        <v>25</v>
      </c>
      <c r="H19" s="15" t="s">
        <v>17</v>
      </c>
      <c r="I19" s="15" t="s">
        <v>20</v>
      </c>
      <c r="J19" s="15" t="s">
        <v>242</v>
      </c>
      <c r="K19" s="15">
        <v>25</v>
      </c>
      <c r="L19" s="16">
        <v>48</v>
      </c>
      <c r="M19" s="17">
        <v>1200</v>
      </c>
      <c r="N19" s="15" t="s">
        <v>367</v>
      </c>
      <c r="O19" s="15" t="s">
        <v>19</v>
      </c>
    </row>
    <row r="20" spans="1:15" ht="15.6" x14ac:dyDescent="0.3">
      <c r="A20" s="11">
        <v>10103</v>
      </c>
      <c r="B20" s="10">
        <v>37650</v>
      </c>
      <c r="C20" s="10" t="s">
        <v>278</v>
      </c>
      <c r="D20" s="11" t="s">
        <v>29</v>
      </c>
      <c r="E20" s="11" t="s">
        <v>30</v>
      </c>
      <c r="F20" s="11" t="s">
        <v>31</v>
      </c>
      <c r="G20" s="11" t="s">
        <v>25</v>
      </c>
      <c r="H20" s="11" t="s">
        <v>17</v>
      </c>
      <c r="I20" s="11" t="s">
        <v>20</v>
      </c>
      <c r="J20" s="11" t="s">
        <v>242</v>
      </c>
      <c r="K20" s="11">
        <v>46</v>
      </c>
      <c r="L20" s="12">
        <v>48</v>
      </c>
      <c r="M20" s="13">
        <v>2208</v>
      </c>
      <c r="N20" s="11" t="s">
        <v>367</v>
      </c>
      <c r="O20" s="11" t="s">
        <v>19</v>
      </c>
    </row>
    <row r="21" spans="1:15" ht="15.6" x14ac:dyDescent="0.3">
      <c r="A21" s="15">
        <v>10103</v>
      </c>
      <c r="B21" s="14">
        <v>37650</v>
      </c>
      <c r="C21" s="14" t="s">
        <v>278</v>
      </c>
      <c r="D21" s="15" t="s">
        <v>29</v>
      </c>
      <c r="E21" s="15" t="s">
        <v>30</v>
      </c>
      <c r="F21" s="15" t="s">
        <v>31</v>
      </c>
      <c r="G21" s="15" t="s">
        <v>25</v>
      </c>
      <c r="H21" s="15" t="s">
        <v>35</v>
      </c>
      <c r="I21" s="15" t="s">
        <v>36</v>
      </c>
      <c r="J21" s="15" t="s">
        <v>247</v>
      </c>
      <c r="K21" s="15">
        <v>36</v>
      </c>
      <c r="L21" s="16">
        <v>30</v>
      </c>
      <c r="M21" s="17">
        <v>1080</v>
      </c>
      <c r="N21" s="15" t="s">
        <v>367</v>
      </c>
      <c r="O21" s="15" t="s">
        <v>19</v>
      </c>
    </row>
    <row r="22" spans="1:15" ht="15.6" x14ac:dyDescent="0.3">
      <c r="A22" s="11">
        <v>10103</v>
      </c>
      <c r="B22" s="10">
        <v>37650</v>
      </c>
      <c r="C22" s="10" t="s">
        <v>278</v>
      </c>
      <c r="D22" s="11" t="s">
        <v>29</v>
      </c>
      <c r="E22" s="11" t="s">
        <v>30</v>
      </c>
      <c r="F22" s="11" t="s">
        <v>31</v>
      </c>
      <c r="G22" s="11" t="s">
        <v>25</v>
      </c>
      <c r="H22" s="11" t="s">
        <v>17</v>
      </c>
      <c r="I22" s="11" t="s">
        <v>20</v>
      </c>
      <c r="J22" s="11" t="s">
        <v>242</v>
      </c>
      <c r="K22" s="11">
        <v>41</v>
      </c>
      <c r="L22" s="12">
        <v>48</v>
      </c>
      <c r="M22" s="13">
        <v>1968</v>
      </c>
      <c r="N22" s="11" t="s">
        <v>367</v>
      </c>
      <c r="O22" s="11" t="s">
        <v>19</v>
      </c>
    </row>
    <row r="23" spans="1:15" ht="15.6" x14ac:dyDescent="0.3">
      <c r="A23" s="15">
        <v>10103</v>
      </c>
      <c r="B23" s="14">
        <v>37650</v>
      </c>
      <c r="C23" s="14" t="s">
        <v>278</v>
      </c>
      <c r="D23" s="15" t="s">
        <v>29</v>
      </c>
      <c r="E23" s="15" t="s">
        <v>30</v>
      </c>
      <c r="F23" s="15" t="s">
        <v>31</v>
      </c>
      <c r="G23" s="15" t="s">
        <v>25</v>
      </c>
      <c r="H23" s="15" t="s">
        <v>35</v>
      </c>
      <c r="I23" s="15" t="s">
        <v>39</v>
      </c>
      <c r="J23" s="15" t="s">
        <v>250</v>
      </c>
      <c r="K23" s="15">
        <v>36</v>
      </c>
      <c r="L23" s="16">
        <v>20</v>
      </c>
      <c r="M23" s="17">
        <v>720</v>
      </c>
      <c r="N23" s="15" t="s">
        <v>367</v>
      </c>
      <c r="O23" s="15" t="s">
        <v>19</v>
      </c>
    </row>
    <row r="24" spans="1:15" ht="15.6" x14ac:dyDescent="0.3">
      <c r="A24" s="11">
        <v>10103</v>
      </c>
      <c r="B24" s="10">
        <v>37650</v>
      </c>
      <c r="C24" s="10" t="s">
        <v>278</v>
      </c>
      <c r="D24" s="11" t="s">
        <v>29</v>
      </c>
      <c r="E24" s="11" t="s">
        <v>30</v>
      </c>
      <c r="F24" s="11" t="s">
        <v>31</v>
      </c>
      <c r="G24" s="11" t="s">
        <v>25</v>
      </c>
      <c r="H24" s="11" t="s">
        <v>17</v>
      </c>
      <c r="I24" s="11" t="s">
        <v>21</v>
      </c>
      <c r="J24" s="11" t="s">
        <v>243</v>
      </c>
      <c r="K24" s="11">
        <v>25</v>
      </c>
      <c r="L24" s="12">
        <v>110</v>
      </c>
      <c r="M24" s="13">
        <v>2750</v>
      </c>
      <c r="N24" s="11" t="s">
        <v>367</v>
      </c>
      <c r="O24" s="11" t="s">
        <v>19</v>
      </c>
    </row>
    <row r="25" spans="1:15" ht="15.6" x14ac:dyDescent="0.3">
      <c r="A25" s="15">
        <v>10103</v>
      </c>
      <c r="B25" s="14">
        <v>37650</v>
      </c>
      <c r="C25" s="14" t="s">
        <v>278</v>
      </c>
      <c r="D25" s="15" t="s">
        <v>29</v>
      </c>
      <c r="E25" s="15" t="s">
        <v>30</v>
      </c>
      <c r="F25" s="15" t="s">
        <v>31</v>
      </c>
      <c r="G25" s="15" t="s">
        <v>25</v>
      </c>
      <c r="H25" s="15" t="s">
        <v>35</v>
      </c>
      <c r="I25" s="15" t="s">
        <v>36</v>
      </c>
      <c r="J25" s="15" t="s">
        <v>247</v>
      </c>
      <c r="K25" s="15">
        <v>31</v>
      </c>
      <c r="L25" s="16">
        <v>30</v>
      </c>
      <c r="M25" s="17">
        <v>930</v>
      </c>
      <c r="N25" s="15" t="s">
        <v>367</v>
      </c>
      <c r="O25" s="15" t="s">
        <v>19</v>
      </c>
    </row>
    <row r="26" spans="1:15" ht="15.6" x14ac:dyDescent="0.3">
      <c r="A26" s="11">
        <v>10103</v>
      </c>
      <c r="B26" s="10">
        <v>37650</v>
      </c>
      <c r="C26" s="10" t="s">
        <v>278</v>
      </c>
      <c r="D26" s="11" t="s">
        <v>29</v>
      </c>
      <c r="E26" s="11" t="s">
        <v>30</v>
      </c>
      <c r="F26" s="11" t="s">
        <v>31</v>
      </c>
      <c r="G26" s="11" t="s">
        <v>25</v>
      </c>
      <c r="H26" s="11" t="s">
        <v>35</v>
      </c>
      <c r="I26" s="11" t="s">
        <v>40</v>
      </c>
      <c r="J26" s="11" t="s">
        <v>251</v>
      </c>
      <c r="K26" s="11">
        <v>45</v>
      </c>
      <c r="L26" s="12">
        <v>25</v>
      </c>
      <c r="M26" s="13">
        <v>1125</v>
      </c>
      <c r="N26" s="11" t="s">
        <v>367</v>
      </c>
      <c r="O26" s="11" t="s">
        <v>19</v>
      </c>
    </row>
    <row r="27" spans="1:15" ht="15.6" x14ac:dyDescent="0.3">
      <c r="A27" s="15">
        <v>10103</v>
      </c>
      <c r="B27" s="14">
        <v>37650</v>
      </c>
      <c r="C27" s="14" t="s">
        <v>278</v>
      </c>
      <c r="D27" s="15" t="s">
        <v>29</v>
      </c>
      <c r="E27" s="15" t="s">
        <v>30</v>
      </c>
      <c r="F27" s="15" t="s">
        <v>31</v>
      </c>
      <c r="G27" s="15" t="s">
        <v>25</v>
      </c>
      <c r="H27" s="15" t="s">
        <v>32</v>
      </c>
      <c r="I27" s="15" t="s">
        <v>34</v>
      </c>
      <c r="J27" s="15" t="s">
        <v>246</v>
      </c>
      <c r="K27" s="15">
        <v>42</v>
      </c>
      <c r="L27" s="16">
        <v>80</v>
      </c>
      <c r="M27" s="17">
        <v>3360</v>
      </c>
      <c r="N27" s="15" t="s">
        <v>367</v>
      </c>
      <c r="O27" s="15" t="s">
        <v>19</v>
      </c>
    </row>
    <row r="28" spans="1:15" ht="15.6" x14ac:dyDescent="0.3">
      <c r="A28" s="11">
        <v>10104</v>
      </c>
      <c r="B28" s="10">
        <v>37652</v>
      </c>
      <c r="C28" s="10" t="s">
        <v>279</v>
      </c>
      <c r="D28" s="11" t="s">
        <v>41</v>
      </c>
      <c r="E28" s="11" t="s">
        <v>42</v>
      </c>
      <c r="F28" s="11" t="s">
        <v>43</v>
      </c>
      <c r="G28" s="11" t="s">
        <v>25</v>
      </c>
      <c r="H28" s="11" t="s">
        <v>32</v>
      </c>
      <c r="I28" s="11" t="s">
        <v>34</v>
      </c>
      <c r="J28" s="11" t="s">
        <v>246</v>
      </c>
      <c r="K28" s="11">
        <v>34</v>
      </c>
      <c r="L28" s="12">
        <v>80</v>
      </c>
      <c r="M28" s="13">
        <v>2720</v>
      </c>
      <c r="N28" s="11" t="s">
        <v>367</v>
      </c>
      <c r="O28" s="11" t="s">
        <v>19</v>
      </c>
    </row>
    <row r="29" spans="1:15" ht="15.6" x14ac:dyDescent="0.3">
      <c r="A29" s="15">
        <v>10104</v>
      </c>
      <c r="B29" s="14">
        <v>37652</v>
      </c>
      <c r="C29" s="14" t="s">
        <v>279</v>
      </c>
      <c r="D29" s="15" t="s">
        <v>41</v>
      </c>
      <c r="E29" s="15" t="s">
        <v>42</v>
      </c>
      <c r="F29" s="15" t="s">
        <v>43</v>
      </c>
      <c r="G29" s="15" t="s">
        <v>25</v>
      </c>
      <c r="H29" s="15" t="s">
        <v>35</v>
      </c>
      <c r="I29" s="15" t="s">
        <v>40</v>
      </c>
      <c r="J29" s="15" t="s">
        <v>251</v>
      </c>
      <c r="K29" s="15">
        <v>41</v>
      </c>
      <c r="L29" s="16">
        <v>25</v>
      </c>
      <c r="M29" s="17">
        <v>1025</v>
      </c>
      <c r="N29" s="15" t="s">
        <v>367</v>
      </c>
      <c r="O29" s="15" t="s">
        <v>19</v>
      </c>
    </row>
    <row r="30" spans="1:15" ht="15.6" x14ac:dyDescent="0.3">
      <c r="A30" s="11">
        <v>10104</v>
      </c>
      <c r="B30" s="10">
        <v>37652</v>
      </c>
      <c r="C30" s="10" t="s">
        <v>279</v>
      </c>
      <c r="D30" s="11" t="s">
        <v>41</v>
      </c>
      <c r="E30" s="11" t="s">
        <v>42</v>
      </c>
      <c r="F30" s="11" t="s">
        <v>43</v>
      </c>
      <c r="G30" s="11" t="s">
        <v>25</v>
      </c>
      <c r="H30" s="11" t="s">
        <v>32</v>
      </c>
      <c r="I30" s="11" t="s">
        <v>33</v>
      </c>
      <c r="J30" s="11" t="s">
        <v>245</v>
      </c>
      <c r="K30" s="11">
        <v>24</v>
      </c>
      <c r="L30" s="12">
        <v>85</v>
      </c>
      <c r="M30" s="13">
        <v>2040</v>
      </c>
      <c r="N30" s="11" t="s">
        <v>367</v>
      </c>
      <c r="O30" s="11" t="s">
        <v>19</v>
      </c>
    </row>
    <row r="31" spans="1:15" ht="15.6" x14ac:dyDescent="0.3">
      <c r="A31" s="15">
        <v>10104</v>
      </c>
      <c r="B31" s="14">
        <v>37652</v>
      </c>
      <c r="C31" s="14" t="s">
        <v>279</v>
      </c>
      <c r="D31" s="15" t="s">
        <v>41</v>
      </c>
      <c r="E31" s="15" t="s">
        <v>42</v>
      </c>
      <c r="F31" s="15" t="s">
        <v>43</v>
      </c>
      <c r="G31" s="15" t="s">
        <v>25</v>
      </c>
      <c r="H31" s="15" t="s">
        <v>35</v>
      </c>
      <c r="I31" s="15" t="s">
        <v>38</v>
      </c>
      <c r="J31" s="15" t="s">
        <v>249</v>
      </c>
      <c r="K31" s="15">
        <v>29</v>
      </c>
      <c r="L31" s="16">
        <v>20</v>
      </c>
      <c r="M31" s="17">
        <v>580</v>
      </c>
      <c r="N31" s="15" t="s">
        <v>367</v>
      </c>
      <c r="O31" s="15" t="s">
        <v>19</v>
      </c>
    </row>
    <row r="32" spans="1:15" ht="15.6" x14ac:dyDescent="0.3">
      <c r="A32" s="11">
        <v>10104</v>
      </c>
      <c r="B32" s="10">
        <v>37652</v>
      </c>
      <c r="C32" s="10" t="s">
        <v>279</v>
      </c>
      <c r="D32" s="11" t="s">
        <v>41</v>
      </c>
      <c r="E32" s="11" t="s">
        <v>42</v>
      </c>
      <c r="F32" s="11" t="s">
        <v>43</v>
      </c>
      <c r="G32" s="11" t="s">
        <v>25</v>
      </c>
      <c r="H32" s="11" t="s">
        <v>32</v>
      </c>
      <c r="I32" s="11" t="s">
        <v>33</v>
      </c>
      <c r="J32" s="11" t="s">
        <v>245</v>
      </c>
      <c r="K32" s="11">
        <v>23</v>
      </c>
      <c r="L32" s="12">
        <v>85</v>
      </c>
      <c r="M32" s="13">
        <v>1955</v>
      </c>
      <c r="N32" s="11" t="s">
        <v>367</v>
      </c>
      <c r="O32" s="11" t="s">
        <v>19</v>
      </c>
    </row>
    <row r="33" spans="1:15" ht="15.6" x14ac:dyDescent="0.3">
      <c r="A33" s="15">
        <v>10104</v>
      </c>
      <c r="B33" s="14">
        <v>37652</v>
      </c>
      <c r="C33" s="14" t="s">
        <v>279</v>
      </c>
      <c r="D33" s="15" t="s">
        <v>41</v>
      </c>
      <c r="E33" s="15" t="s">
        <v>42</v>
      </c>
      <c r="F33" s="15" t="s">
        <v>43</v>
      </c>
      <c r="G33" s="15" t="s">
        <v>25</v>
      </c>
      <c r="H33" s="15" t="s">
        <v>32</v>
      </c>
      <c r="I33" s="15" t="s">
        <v>44</v>
      </c>
      <c r="J33" s="15" t="s">
        <v>252</v>
      </c>
      <c r="K33" s="15">
        <v>38</v>
      </c>
      <c r="L33" s="16">
        <v>55</v>
      </c>
      <c r="M33" s="17">
        <v>2090</v>
      </c>
      <c r="N33" s="15" t="s">
        <v>367</v>
      </c>
      <c r="O33" s="15" t="s">
        <v>19</v>
      </c>
    </row>
    <row r="34" spans="1:15" ht="15.6" x14ac:dyDescent="0.3">
      <c r="A34" s="11">
        <v>10104</v>
      </c>
      <c r="B34" s="10">
        <v>37652</v>
      </c>
      <c r="C34" s="10" t="s">
        <v>279</v>
      </c>
      <c r="D34" s="11" t="s">
        <v>41</v>
      </c>
      <c r="E34" s="11" t="s">
        <v>42</v>
      </c>
      <c r="F34" s="11" t="s">
        <v>43</v>
      </c>
      <c r="G34" s="11" t="s">
        <v>25</v>
      </c>
      <c r="H34" s="11" t="s">
        <v>32</v>
      </c>
      <c r="I34" s="11" t="s">
        <v>45</v>
      </c>
      <c r="J34" s="11" t="s">
        <v>253</v>
      </c>
      <c r="K34" s="11">
        <v>35</v>
      </c>
      <c r="L34" s="12">
        <v>35</v>
      </c>
      <c r="M34" s="13">
        <v>1225</v>
      </c>
      <c r="N34" s="11" t="s">
        <v>367</v>
      </c>
      <c r="O34" s="11" t="s">
        <v>19</v>
      </c>
    </row>
    <row r="35" spans="1:15" ht="15.6" x14ac:dyDescent="0.3">
      <c r="A35" s="15">
        <v>10104</v>
      </c>
      <c r="B35" s="14">
        <v>37652</v>
      </c>
      <c r="C35" s="14" t="s">
        <v>279</v>
      </c>
      <c r="D35" s="15" t="s">
        <v>41</v>
      </c>
      <c r="E35" s="15" t="s">
        <v>42</v>
      </c>
      <c r="F35" s="15" t="s">
        <v>43</v>
      </c>
      <c r="G35" s="15" t="s">
        <v>25</v>
      </c>
      <c r="H35" s="15" t="s">
        <v>32</v>
      </c>
      <c r="I35" s="15" t="s">
        <v>46</v>
      </c>
      <c r="J35" s="15" t="s">
        <v>254</v>
      </c>
      <c r="K35" s="15">
        <v>44</v>
      </c>
      <c r="L35" s="16">
        <v>90</v>
      </c>
      <c r="M35" s="17">
        <v>3960</v>
      </c>
      <c r="N35" s="15" t="s">
        <v>367</v>
      </c>
      <c r="O35" s="15" t="s">
        <v>19</v>
      </c>
    </row>
    <row r="36" spans="1:15" ht="15.6" x14ac:dyDescent="0.3">
      <c r="A36" s="11">
        <v>10104</v>
      </c>
      <c r="B36" s="10">
        <v>37652</v>
      </c>
      <c r="C36" s="10" t="s">
        <v>279</v>
      </c>
      <c r="D36" s="11" t="s">
        <v>41</v>
      </c>
      <c r="E36" s="11" t="s">
        <v>42</v>
      </c>
      <c r="F36" s="11" t="s">
        <v>43</v>
      </c>
      <c r="G36" s="11" t="s">
        <v>25</v>
      </c>
      <c r="H36" s="11" t="s">
        <v>32</v>
      </c>
      <c r="I36" s="11" t="s">
        <v>46</v>
      </c>
      <c r="J36" s="11" t="s">
        <v>254</v>
      </c>
      <c r="K36" s="11">
        <v>26</v>
      </c>
      <c r="L36" s="12">
        <v>90</v>
      </c>
      <c r="M36" s="13">
        <v>2340</v>
      </c>
      <c r="N36" s="11" t="s">
        <v>367</v>
      </c>
      <c r="O36" s="11" t="s">
        <v>19</v>
      </c>
    </row>
    <row r="37" spans="1:15" ht="15.6" x14ac:dyDescent="0.3">
      <c r="A37" s="15">
        <v>10104</v>
      </c>
      <c r="B37" s="14">
        <v>37652</v>
      </c>
      <c r="C37" s="14" t="s">
        <v>279</v>
      </c>
      <c r="D37" s="15" t="s">
        <v>41</v>
      </c>
      <c r="E37" s="15" t="s">
        <v>42</v>
      </c>
      <c r="F37" s="15" t="s">
        <v>43</v>
      </c>
      <c r="G37" s="15" t="s">
        <v>25</v>
      </c>
      <c r="H37" s="15" t="s">
        <v>35</v>
      </c>
      <c r="I37" s="15" t="s">
        <v>40</v>
      </c>
      <c r="J37" s="15" t="s">
        <v>251</v>
      </c>
      <c r="K37" s="15">
        <v>35</v>
      </c>
      <c r="L37" s="16">
        <v>25</v>
      </c>
      <c r="M37" s="17">
        <v>875</v>
      </c>
      <c r="N37" s="15" t="s">
        <v>367</v>
      </c>
      <c r="O37" s="15" t="s">
        <v>19</v>
      </c>
    </row>
    <row r="38" spans="1:15" ht="15.6" x14ac:dyDescent="0.3">
      <c r="A38" s="11">
        <v>10104</v>
      </c>
      <c r="B38" s="10">
        <v>37652</v>
      </c>
      <c r="C38" s="10" t="s">
        <v>279</v>
      </c>
      <c r="D38" s="11" t="s">
        <v>41</v>
      </c>
      <c r="E38" s="11" t="s">
        <v>42</v>
      </c>
      <c r="F38" s="11" t="s">
        <v>43</v>
      </c>
      <c r="G38" s="11" t="s">
        <v>25</v>
      </c>
      <c r="H38" s="11" t="s">
        <v>47</v>
      </c>
      <c r="I38" s="11" t="s">
        <v>48</v>
      </c>
      <c r="J38" s="11" t="s">
        <v>255</v>
      </c>
      <c r="K38" s="11">
        <v>49</v>
      </c>
      <c r="L38" s="12">
        <v>70</v>
      </c>
      <c r="M38" s="13">
        <v>3430</v>
      </c>
      <c r="N38" s="11" t="s">
        <v>367</v>
      </c>
      <c r="O38" s="11" t="s">
        <v>19</v>
      </c>
    </row>
    <row r="39" spans="1:15" ht="15.6" x14ac:dyDescent="0.3">
      <c r="A39" s="15">
        <v>10104</v>
      </c>
      <c r="B39" s="14">
        <v>37652</v>
      </c>
      <c r="C39" s="14" t="s">
        <v>279</v>
      </c>
      <c r="D39" s="15" t="s">
        <v>41</v>
      </c>
      <c r="E39" s="15" t="s">
        <v>42</v>
      </c>
      <c r="F39" s="15" t="s">
        <v>43</v>
      </c>
      <c r="G39" s="15" t="s">
        <v>25</v>
      </c>
      <c r="H39" s="15" t="s">
        <v>35</v>
      </c>
      <c r="I39" s="15" t="s">
        <v>38</v>
      </c>
      <c r="J39" s="15" t="s">
        <v>249</v>
      </c>
      <c r="K39" s="15">
        <v>33</v>
      </c>
      <c r="L39" s="16">
        <v>20</v>
      </c>
      <c r="M39" s="17">
        <v>660</v>
      </c>
      <c r="N39" s="15" t="s">
        <v>367</v>
      </c>
      <c r="O39" s="15" t="s">
        <v>19</v>
      </c>
    </row>
    <row r="40" spans="1:15" ht="15.6" x14ac:dyDescent="0.3">
      <c r="A40" s="11">
        <v>10104</v>
      </c>
      <c r="B40" s="10">
        <v>37652</v>
      </c>
      <c r="C40" s="10" t="s">
        <v>279</v>
      </c>
      <c r="D40" s="11" t="s">
        <v>41</v>
      </c>
      <c r="E40" s="11" t="s">
        <v>42</v>
      </c>
      <c r="F40" s="11" t="s">
        <v>43</v>
      </c>
      <c r="G40" s="11" t="s">
        <v>25</v>
      </c>
      <c r="H40" s="11" t="s">
        <v>47</v>
      </c>
      <c r="I40" s="11" t="s">
        <v>48</v>
      </c>
      <c r="J40" s="11" t="s">
        <v>255</v>
      </c>
      <c r="K40" s="11">
        <v>32</v>
      </c>
      <c r="L40" s="12">
        <v>70</v>
      </c>
      <c r="M40" s="13">
        <v>2240</v>
      </c>
      <c r="N40" s="11" t="s">
        <v>367</v>
      </c>
      <c r="O40" s="11" t="s">
        <v>19</v>
      </c>
    </row>
    <row r="41" spans="1:15" ht="15.6" x14ac:dyDescent="0.3">
      <c r="A41" s="15">
        <v>10105</v>
      </c>
      <c r="B41" s="14">
        <v>37663</v>
      </c>
      <c r="C41" s="14" t="s">
        <v>280</v>
      </c>
      <c r="D41" s="15" t="s">
        <v>49</v>
      </c>
      <c r="E41" s="15" t="s">
        <v>50</v>
      </c>
      <c r="F41" s="15" t="s">
        <v>51</v>
      </c>
      <c r="G41" s="15" t="s">
        <v>25</v>
      </c>
      <c r="H41" s="15" t="s">
        <v>32</v>
      </c>
      <c r="I41" s="15" t="s">
        <v>34</v>
      </c>
      <c r="J41" s="15" t="s">
        <v>246</v>
      </c>
      <c r="K41" s="15">
        <v>50</v>
      </c>
      <c r="L41" s="16">
        <v>80</v>
      </c>
      <c r="M41" s="17">
        <v>4000</v>
      </c>
      <c r="N41" s="15" t="s">
        <v>368</v>
      </c>
      <c r="O41" s="15" t="s">
        <v>19</v>
      </c>
    </row>
    <row r="42" spans="1:15" ht="15.6" x14ac:dyDescent="0.3">
      <c r="A42" s="11">
        <v>10105</v>
      </c>
      <c r="B42" s="10">
        <v>37663</v>
      </c>
      <c r="C42" s="10" t="s">
        <v>280</v>
      </c>
      <c r="D42" s="11" t="s">
        <v>49</v>
      </c>
      <c r="E42" s="11" t="s">
        <v>50</v>
      </c>
      <c r="F42" s="11" t="s">
        <v>51</v>
      </c>
      <c r="G42" s="11" t="s">
        <v>25</v>
      </c>
      <c r="H42" s="11" t="s">
        <v>32</v>
      </c>
      <c r="I42" s="11" t="s">
        <v>46</v>
      </c>
      <c r="J42" s="11" t="s">
        <v>254</v>
      </c>
      <c r="K42" s="11">
        <v>41</v>
      </c>
      <c r="L42" s="12">
        <v>90</v>
      </c>
      <c r="M42" s="13">
        <v>3690</v>
      </c>
      <c r="N42" s="11" t="s">
        <v>367</v>
      </c>
      <c r="O42" s="11" t="s">
        <v>19</v>
      </c>
    </row>
    <row r="43" spans="1:15" ht="15.6" x14ac:dyDescent="0.3">
      <c r="A43" s="15">
        <v>10105</v>
      </c>
      <c r="B43" s="14">
        <v>37663</v>
      </c>
      <c r="C43" s="14" t="s">
        <v>280</v>
      </c>
      <c r="D43" s="15" t="s">
        <v>49</v>
      </c>
      <c r="E43" s="15" t="s">
        <v>50</v>
      </c>
      <c r="F43" s="15" t="s">
        <v>51</v>
      </c>
      <c r="G43" s="15" t="s">
        <v>25</v>
      </c>
      <c r="H43" s="15" t="s">
        <v>32</v>
      </c>
      <c r="I43" s="15" t="s">
        <v>34</v>
      </c>
      <c r="J43" s="15" t="s">
        <v>246</v>
      </c>
      <c r="K43" s="15">
        <v>29</v>
      </c>
      <c r="L43" s="16">
        <v>80</v>
      </c>
      <c r="M43" s="17">
        <v>2320</v>
      </c>
      <c r="N43" s="15" t="s">
        <v>367</v>
      </c>
      <c r="O43" s="15" t="s">
        <v>19</v>
      </c>
    </row>
    <row r="44" spans="1:15" ht="15.6" x14ac:dyDescent="0.3">
      <c r="A44" s="11">
        <v>10105</v>
      </c>
      <c r="B44" s="10">
        <v>37663</v>
      </c>
      <c r="C44" s="10" t="s">
        <v>280</v>
      </c>
      <c r="D44" s="11" t="s">
        <v>49</v>
      </c>
      <c r="E44" s="11" t="s">
        <v>50</v>
      </c>
      <c r="F44" s="11" t="s">
        <v>51</v>
      </c>
      <c r="G44" s="11" t="s">
        <v>25</v>
      </c>
      <c r="H44" s="11" t="s">
        <v>17</v>
      </c>
      <c r="I44" s="11" t="s">
        <v>52</v>
      </c>
      <c r="J44" s="11" t="s">
        <v>256</v>
      </c>
      <c r="K44" s="11">
        <v>22</v>
      </c>
      <c r="L44" s="12">
        <v>45</v>
      </c>
      <c r="M44" s="13">
        <v>990</v>
      </c>
      <c r="N44" s="11" t="s">
        <v>367</v>
      </c>
      <c r="O44" s="11" t="s">
        <v>19</v>
      </c>
    </row>
    <row r="45" spans="1:15" ht="15.6" x14ac:dyDescent="0.3">
      <c r="A45" s="15">
        <v>10105</v>
      </c>
      <c r="B45" s="14">
        <v>37663</v>
      </c>
      <c r="C45" s="14" t="s">
        <v>280</v>
      </c>
      <c r="D45" s="15" t="s">
        <v>49</v>
      </c>
      <c r="E45" s="15" t="s">
        <v>50</v>
      </c>
      <c r="F45" s="15" t="s">
        <v>51</v>
      </c>
      <c r="G45" s="15" t="s">
        <v>25</v>
      </c>
      <c r="H45" s="15" t="s">
        <v>47</v>
      </c>
      <c r="I45" s="15" t="s">
        <v>53</v>
      </c>
      <c r="J45" s="15" t="s">
        <v>257</v>
      </c>
      <c r="K45" s="15">
        <v>38</v>
      </c>
      <c r="L45" s="16">
        <v>90</v>
      </c>
      <c r="M45" s="17">
        <v>3420</v>
      </c>
      <c r="N45" s="15" t="s">
        <v>367</v>
      </c>
      <c r="O45" s="15" t="s">
        <v>19</v>
      </c>
    </row>
    <row r="46" spans="1:15" ht="15.6" x14ac:dyDescent="0.3">
      <c r="A46" s="11">
        <v>10105</v>
      </c>
      <c r="B46" s="10">
        <v>37663</v>
      </c>
      <c r="C46" s="10" t="s">
        <v>280</v>
      </c>
      <c r="D46" s="11" t="s">
        <v>49</v>
      </c>
      <c r="E46" s="11" t="s">
        <v>50</v>
      </c>
      <c r="F46" s="11" t="s">
        <v>51</v>
      </c>
      <c r="G46" s="11" t="s">
        <v>25</v>
      </c>
      <c r="H46" s="11" t="s">
        <v>17</v>
      </c>
      <c r="I46" s="11" t="s">
        <v>20</v>
      </c>
      <c r="J46" s="11" t="s">
        <v>242</v>
      </c>
      <c r="K46" s="11">
        <v>41</v>
      </c>
      <c r="L46" s="12">
        <v>48</v>
      </c>
      <c r="M46" s="13">
        <v>1968</v>
      </c>
      <c r="N46" s="11" t="s">
        <v>367</v>
      </c>
      <c r="O46" s="11" t="s">
        <v>19</v>
      </c>
    </row>
    <row r="47" spans="1:15" ht="15.6" x14ac:dyDescent="0.3">
      <c r="A47" s="15">
        <v>10105</v>
      </c>
      <c r="B47" s="14">
        <v>37663</v>
      </c>
      <c r="C47" s="14" t="s">
        <v>280</v>
      </c>
      <c r="D47" s="15" t="s">
        <v>49</v>
      </c>
      <c r="E47" s="15" t="s">
        <v>50</v>
      </c>
      <c r="F47" s="15" t="s">
        <v>51</v>
      </c>
      <c r="G47" s="15" t="s">
        <v>25</v>
      </c>
      <c r="H47" s="15" t="s">
        <v>54</v>
      </c>
      <c r="I47" s="15" t="s">
        <v>55</v>
      </c>
      <c r="J47" s="15" t="s">
        <v>258</v>
      </c>
      <c r="K47" s="15">
        <v>43</v>
      </c>
      <c r="L47" s="16">
        <v>180</v>
      </c>
      <c r="M47" s="17">
        <v>7740</v>
      </c>
      <c r="N47" s="15" t="s">
        <v>367</v>
      </c>
      <c r="O47" s="15" t="s">
        <v>19</v>
      </c>
    </row>
    <row r="48" spans="1:15" ht="15.6" x14ac:dyDescent="0.3">
      <c r="A48" s="11">
        <v>10105</v>
      </c>
      <c r="B48" s="10">
        <v>37663</v>
      </c>
      <c r="C48" s="10" t="s">
        <v>280</v>
      </c>
      <c r="D48" s="11" t="s">
        <v>49</v>
      </c>
      <c r="E48" s="11" t="s">
        <v>50</v>
      </c>
      <c r="F48" s="11" t="s">
        <v>51</v>
      </c>
      <c r="G48" s="11" t="s">
        <v>25</v>
      </c>
      <c r="H48" s="11" t="s">
        <v>17</v>
      </c>
      <c r="I48" s="11" t="s">
        <v>20</v>
      </c>
      <c r="J48" s="11" t="s">
        <v>242</v>
      </c>
      <c r="K48" s="11">
        <v>44</v>
      </c>
      <c r="L48" s="12">
        <v>48</v>
      </c>
      <c r="M48" s="13">
        <v>2112</v>
      </c>
      <c r="N48" s="11" t="s">
        <v>367</v>
      </c>
      <c r="O48" s="11" t="s">
        <v>19</v>
      </c>
    </row>
    <row r="49" spans="1:15" ht="15.6" x14ac:dyDescent="0.3">
      <c r="A49" s="15">
        <v>10105</v>
      </c>
      <c r="B49" s="14">
        <v>37663</v>
      </c>
      <c r="C49" s="14" t="s">
        <v>280</v>
      </c>
      <c r="D49" s="15" t="s">
        <v>49</v>
      </c>
      <c r="E49" s="15" t="s">
        <v>50</v>
      </c>
      <c r="F49" s="15" t="s">
        <v>51</v>
      </c>
      <c r="G49" s="15" t="s">
        <v>25</v>
      </c>
      <c r="H49" s="15" t="s">
        <v>17</v>
      </c>
      <c r="I49" s="15" t="s">
        <v>20</v>
      </c>
      <c r="J49" s="15" t="s">
        <v>242</v>
      </c>
      <c r="K49" s="15">
        <v>50</v>
      </c>
      <c r="L49" s="16">
        <v>48</v>
      </c>
      <c r="M49" s="17">
        <v>2400</v>
      </c>
      <c r="N49" s="15" t="s">
        <v>368</v>
      </c>
      <c r="O49" s="15" t="s">
        <v>19</v>
      </c>
    </row>
    <row r="50" spans="1:15" ht="15.6" x14ac:dyDescent="0.3">
      <c r="A50" s="11">
        <v>10105</v>
      </c>
      <c r="B50" s="10">
        <v>37663</v>
      </c>
      <c r="C50" s="10" t="s">
        <v>280</v>
      </c>
      <c r="D50" s="11" t="s">
        <v>49</v>
      </c>
      <c r="E50" s="11" t="s">
        <v>50</v>
      </c>
      <c r="F50" s="11" t="s">
        <v>51</v>
      </c>
      <c r="G50" s="11" t="s">
        <v>25</v>
      </c>
      <c r="H50" s="11" t="s">
        <v>54</v>
      </c>
      <c r="I50" s="11" t="s">
        <v>56</v>
      </c>
      <c r="J50" s="11" t="s">
        <v>259</v>
      </c>
      <c r="K50" s="11">
        <v>41</v>
      </c>
      <c r="L50" s="12">
        <v>250</v>
      </c>
      <c r="M50" s="13">
        <v>10250</v>
      </c>
      <c r="N50" s="11" t="s">
        <v>367</v>
      </c>
      <c r="O50" s="11" t="s">
        <v>19</v>
      </c>
    </row>
    <row r="51" spans="1:15" ht="15.6" x14ac:dyDescent="0.3">
      <c r="A51" s="15">
        <v>10105</v>
      </c>
      <c r="B51" s="14">
        <v>37663</v>
      </c>
      <c r="C51" s="14" t="s">
        <v>280</v>
      </c>
      <c r="D51" s="15" t="s">
        <v>49</v>
      </c>
      <c r="E51" s="15" t="s">
        <v>50</v>
      </c>
      <c r="F51" s="15" t="s">
        <v>51</v>
      </c>
      <c r="G51" s="15" t="s">
        <v>25</v>
      </c>
      <c r="H51" s="15" t="s">
        <v>54</v>
      </c>
      <c r="I51" s="15" t="s">
        <v>55</v>
      </c>
      <c r="J51" s="15" t="s">
        <v>258</v>
      </c>
      <c r="K51" s="15">
        <v>29</v>
      </c>
      <c r="L51" s="16">
        <v>180</v>
      </c>
      <c r="M51" s="17">
        <v>5220</v>
      </c>
      <c r="N51" s="15" t="s">
        <v>367</v>
      </c>
      <c r="O51" s="15" t="s">
        <v>19</v>
      </c>
    </row>
    <row r="52" spans="1:15" ht="15.6" x14ac:dyDescent="0.3">
      <c r="A52" s="11">
        <v>10105</v>
      </c>
      <c r="B52" s="10">
        <v>37663</v>
      </c>
      <c r="C52" s="10" t="s">
        <v>280</v>
      </c>
      <c r="D52" s="11" t="s">
        <v>49</v>
      </c>
      <c r="E52" s="11" t="s">
        <v>50</v>
      </c>
      <c r="F52" s="11" t="s">
        <v>51</v>
      </c>
      <c r="G52" s="11" t="s">
        <v>25</v>
      </c>
      <c r="H52" s="11" t="s">
        <v>54</v>
      </c>
      <c r="I52" s="11" t="s">
        <v>57</v>
      </c>
      <c r="J52" s="11" t="s">
        <v>260</v>
      </c>
      <c r="K52" s="11">
        <v>31</v>
      </c>
      <c r="L52" s="12">
        <v>220</v>
      </c>
      <c r="M52" s="13">
        <v>6820</v>
      </c>
      <c r="N52" s="11" t="s">
        <v>367</v>
      </c>
      <c r="O52" s="11" t="s">
        <v>19</v>
      </c>
    </row>
    <row r="53" spans="1:15" ht="15.6" x14ac:dyDescent="0.3">
      <c r="A53" s="15">
        <v>10105</v>
      </c>
      <c r="B53" s="14">
        <v>37663</v>
      </c>
      <c r="C53" s="14" t="s">
        <v>280</v>
      </c>
      <c r="D53" s="15" t="s">
        <v>49</v>
      </c>
      <c r="E53" s="15" t="s">
        <v>50</v>
      </c>
      <c r="F53" s="15" t="s">
        <v>51</v>
      </c>
      <c r="G53" s="15" t="s">
        <v>25</v>
      </c>
      <c r="H53" s="15" t="s">
        <v>54</v>
      </c>
      <c r="I53" s="15" t="s">
        <v>55</v>
      </c>
      <c r="J53" s="15" t="s">
        <v>258</v>
      </c>
      <c r="K53" s="15">
        <v>39</v>
      </c>
      <c r="L53" s="16">
        <v>180</v>
      </c>
      <c r="M53" s="17">
        <v>7020</v>
      </c>
      <c r="N53" s="15" t="s">
        <v>367</v>
      </c>
      <c r="O53" s="15" t="s">
        <v>19</v>
      </c>
    </row>
    <row r="54" spans="1:15" ht="15.6" x14ac:dyDescent="0.3">
      <c r="A54" s="11">
        <v>10105</v>
      </c>
      <c r="B54" s="10">
        <v>37663</v>
      </c>
      <c r="C54" s="10" t="s">
        <v>280</v>
      </c>
      <c r="D54" s="11" t="s">
        <v>49</v>
      </c>
      <c r="E54" s="11" t="s">
        <v>50</v>
      </c>
      <c r="F54" s="11" t="s">
        <v>51</v>
      </c>
      <c r="G54" s="11" t="s">
        <v>25</v>
      </c>
      <c r="H54" s="11" t="s">
        <v>54</v>
      </c>
      <c r="I54" s="11" t="s">
        <v>55</v>
      </c>
      <c r="J54" s="11" t="s">
        <v>258</v>
      </c>
      <c r="K54" s="11">
        <v>22</v>
      </c>
      <c r="L54" s="12">
        <v>180</v>
      </c>
      <c r="M54" s="13">
        <v>3960</v>
      </c>
      <c r="N54" s="11" t="s">
        <v>367</v>
      </c>
      <c r="O54" s="11" t="s">
        <v>19</v>
      </c>
    </row>
    <row r="55" spans="1:15" ht="15.6" x14ac:dyDescent="0.3">
      <c r="A55" s="15">
        <v>10105</v>
      </c>
      <c r="B55" s="14">
        <v>37663</v>
      </c>
      <c r="C55" s="14" t="s">
        <v>280</v>
      </c>
      <c r="D55" s="15" t="s">
        <v>49</v>
      </c>
      <c r="E55" s="15" t="s">
        <v>50</v>
      </c>
      <c r="F55" s="15" t="s">
        <v>51</v>
      </c>
      <c r="G55" s="15" t="s">
        <v>25</v>
      </c>
      <c r="H55" s="15" t="s">
        <v>54</v>
      </c>
      <c r="I55" s="15" t="s">
        <v>57</v>
      </c>
      <c r="J55" s="15" t="s">
        <v>260</v>
      </c>
      <c r="K55" s="15">
        <v>25</v>
      </c>
      <c r="L55" s="16">
        <v>220</v>
      </c>
      <c r="M55" s="17">
        <v>5500</v>
      </c>
      <c r="N55" s="15" t="s">
        <v>367</v>
      </c>
      <c r="O55" s="15" t="s">
        <v>19</v>
      </c>
    </row>
    <row r="56" spans="1:15" ht="15.6" x14ac:dyDescent="0.3">
      <c r="A56" s="11">
        <v>10106</v>
      </c>
      <c r="B56" s="10">
        <v>37669</v>
      </c>
      <c r="C56" s="10" t="s">
        <v>281</v>
      </c>
      <c r="D56" s="11" t="s">
        <v>58</v>
      </c>
      <c r="E56" s="11" t="s">
        <v>59</v>
      </c>
      <c r="F56" s="11" t="s">
        <v>60</v>
      </c>
      <c r="G56" s="11" t="s">
        <v>25</v>
      </c>
      <c r="H56" s="11" t="s">
        <v>61</v>
      </c>
      <c r="I56" s="11" t="s">
        <v>62</v>
      </c>
      <c r="J56" s="11" t="s">
        <v>261</v>
      </c>
      <c r="K56" s="11">
        <v>36</v>
      </c>
      <c r="L56" s="12">
        <v>15</v>
      </c>
      <c r="M56" s="13">
        <v>540</v>
      </c>
      <c r="N56" s="11" t="s">
        <v>367</v>
      </c>
      <c r="O56" s="11" t="s">
        <v>19</v>
      </c>
    </row>
    <row r="57" spans="1:15" ht="15.6" x14ac:dyDescent="0.3">
      <c r="A57" s="15">
        <v>10106</v>
      </c>
      <c r="B57" s="14">
        <v>37669</v>
      </c>
      <c r="C57" s="14" t="s">
        <v>281</v>
      </c>
      <c r="D57" s="15" t="s">
        <v>58</v>
      </c>
      <c r="E57" s="15" t="s">
        <v>59</v>
      </c>
      <c r="F57" s="15" t="s">
        <v>60</v>
      </c>
      <c r="G57" s="15" t="s">
        <v>25</v>
      </c>
      <c r="H57" s="15" t="s">
        <v>61</v>
      </c>
      <c r="I57" s="15" t="s">
        <v>63</v>
      </c>
      <c r="J57" s="15" t="s">
        <v>262</v>
      </c>
      <c r="K57" s="15">
        <v>34</v>
      </c>
      <c r="L57" s="16">
        <v>40</v>
      </c>
      <c r="M57" s="17">
        <v>1360</v>
      </c>
      <c r="N57" s="15" t="s">
        <v>367</v>
      </c>
      <c r="O57" s="15" t="s">
        <v>19</v>
      </c>
    </row>
    <row r="58" spans="1:15" ht="15.6" x14ac:dyDescent="0.3">
      <c r="A58" s="11">
        <v>10106</v>
      </c>
      <c r="B58" s="10">
        <v>37669</v>
      </c>
      <c r="C58" s="10" t="s">
        <v>281</v>
      </c>
      <c r="D58" s="11" t="s">
        <v>58</v>
      </c>
      <c r="E58" s="11" t="s">
        <v>59</v>
      </c>
      <c r="F58" s="11" t="s">
        <v>60</v>
      </c>
      <c r="G58" s="11" t="s">
        <v>25</v>
      </c>
      <c r="H58" s="11" t="s">
        <v>54</v>
      </c>
      <c r="I58" s="11" t="s">
        <v>56</v>
      </c>
      <c r="J58" s="11" t="s">
        <v>259</v>
      </c>
      <c r="K58" s="11">
        <v>41</v>
      </c>
      <c r="L58" s="12">
        <v>250</v>
      </c>
      <c r="M58" s="13">
        <v>10250</v>
      </c>
      <c r="N58" s="11" t="s">
        <v>367</v>
      </c>
      <c r="O58" s="11" t="s">
        <v>19</v>
      </c>
    </row>
    <row r="59" spans="1:15" ht="15.6" x14ac:dyDescent="0.3">
      <c r="A59" s="15">
        <v>10106</v>
      </c>
      <c r="B59" s="14">
        <v>37669</v>
      </c>
      <c r="C59" s="14" t="s">
        <v>281</v>
      </c>
      <c r="D59" s="15" t="s">
        <v>58</v>
      </c>
      <c r="E59" s="15" t="s">
        <v>59</v>
      </c>
      <c r="F59" s="15" t="s">
        <v>60</v>
      </c>
      <c r="G59" s="15" t="s">
        <v>25</v>
      </c>
      <c r="H59" s="15" t="s">
        <v>17</v>
      </c>
      <c r="I59" s="15" t="s">
        <v>20</v>
      </c>
      <c r="J59" s="15" t="s">
        <v>242</v>
      </c>
      <c r="K59" s="15">
        <v>41</v>
      </c>
      <c r="L59" s="16">
        <v>48</v>
      </c>
      <c r="M59" s="17">
        <v>1968</v>
      </c>
      <c r="N59" s="15" t="s">
        <v>367</v>
      </c>
      <c r="O59" s="15" t="s">
        <v>19</v>
      </c>
    </row>
    <row r="60" spans="1:15" ht="15.6" x14ac:dyDescent="0.3">
      <c r="A60" s="11">
        <v>10106</v>
      </c>
      <c r="B60" s="10">
        <v>37669</v>
      </c>
      <c r="C60" s="10" t="s">
        <v>281</v>
      </c>
      <c r="D60" s="11" t="s">
        <v>58</v>
      </c>
      <c r="E60" s="11" t="s">
        <v>59</v>
      </c>
      <c r="F60" s="11" t="s">
        <v>60</v>
      </c>
      <c r="G60" s="11" t="s">
        <v>25</v>
      </c>
      <c r="H60" s="11" t="s">
        <v>61</v>
      </c>
      <c r="I60" s="11" t="s">
        <v>64</v>
      </c>
      <c r="J60" s="11" t="s">
        <v>263</v>
      </c>
      <c r="K60" s="11">
        <v>28</v>
      </c>
      <c r="L60" s="12">
        <v>35</v>
      </c>
      <c r="M60" s="13">
        <v>980</v>
      </c>
      <c r="N60" s="11" t="s">
        <v>367</v>
      </c>
      <c r="O60" s="11" t="s">
        <v>19</v>
      </c>
    </row>
    <row r="61" spans="1:15" ht="15.6" x14ac:dyDescent="0.3">
      <c r="A61" s="15">
        <v>10106</v>
      </c>
      <c r="B61" s="14">
        <v>37669</v>
      </c>
      <c r="C61" s="14" t="s">
        <v>281</v>
      </c>
      <c r="D61" s="15" t="s">
        <v>58</v>
      </c>
      <c r="E61" s="15" t="s">
        <v>59</v>
      </c>
      <c r="F61" s="15" t="s">
        <v>60</v>
      </c>
      <c r="G61" s="15" t="s">
        <v>25</v>
      </c>
      <c r="H61" s="15" t="s">
        <v>61</v>
      </c>
      <c r="I61" s="15" t="s">
        <v>62</v>
      </c>
      <c r="J61" s="15" t="s">
        <v>261</v>
      </c>
      <c r="K61" s="15">
        <v>49</v>
      </c>
      <c r="L61" s="16">
        <v>15</v>
      </c>
      <c r="M61" s="17">
        <v>735</v>
      </c>
      <c r="N61" s="15" t="s">
        <v>367</v>
      </c>
      <c r="O61" s="15" t="s">
        <v>19</v>
      </c>
    </row>
    <row r="62" spans="1:15" ht="15.6" x14ac:dyDescent="0.3">
      <c r="A62" s="11">
        <v>10106</v>
      </c>
      <c r="B62" s="10">
        <v>37669</v>
      </c>
      <c r="C62" s="10" t="s">
        <v>281</v>
      </c>
      <c r="D62" s="11" t="s">
        <v>58</v>
      </c>
      <c r="E62" s="11" t="s">
        <v>59</v>
      </c>
      <c r="F62" s="11" t="s">
        <v>60</v>
      </c>
      <c r="G62" s="11" t="s">
        <v>25</v>
      </c>
      <c r="H62" s="11" t="s">
        <v>17</v>
      </c>
      <c r="I62" s="11" t="s">
        <v>20</v>
      </c>
      <c r="J62" s="11" t="s">
        <v>242</v>
      </c>
      <c r="K62" s="11">
        <v>31</v>
      </c>
      <c r="L62" s="12">
        <v>48</v>
      </c>
      <c r="M62" s="13">
        <v>1488</v>
      </c>
      <c r="N62" s="11" t="s">
        <v>367</v>
      </c>
      <c r="O62" s="11" t="s">
        <v>19</v>
      </c>
    </row>
    <row r="63" spans="1:15" ht="15.6" x14ac:dyDescent="0.3">
      <c r="A63" s="15">
        <v>10106</v>
      </c>
      <c r="B63" s="14">
        <v>37669</v>
      </c>
      <c r="C63" s="14" t="s">
        <v>281</v>
      </c>
      <c r="D63" s="15" t="s">
        <v>58</v>
      </c>
      <c r="E63" s="15" t="s">
        <v>59</v>
      </c>
      <c r="F63" s="15" t="s">
        <v>60</v>
      </c>
      <c r="G63" s="15" t="s">
        <v>25</v>
      </c>
      <c r="H63" s="15" t="s">
        <v>61</v>
      </c>
      <c r="I63" s="15" t="s">
        <v>65</v>
      </c>
      <c r="J63" s="15" t="s">
        <v>264</v>
      </c>
      <c r="K63" s="15">
        <v>50</v>
      </c>
      <c r="L63" s="16">
        <v>30</v>
      </c>
      <c r="M63" s="17">
        <v>1500</v>
      </c>
      <c r="N63" s="15" t="s">
        <v>368</v>
      </c>
      <c r="O63" s="15" t="s">
        <v>19</v>
      </c>
    </row>
    <row r="64" spans="1:15" ht="15.6" x14ac:dyDescent="0.3">
      <c r="A64" s="11">
        <v>10106</v>
      </c>
      <c r="B64" s="10">
        <v>37669</v>
      </c>
      <c r="C64" s="10" t="s">
        <v>281</v>
      </c>
      <c r="D64" s="11" t="s">
        <v>58</v>
      </c>
      <c r="E64" s="11" t="s">
        <v>59</v>
      </c>
      <c r="F64" s="11" t="s">
        <v>60</v>
      </c>
      <c r="G64" s="11" t="s">
        <v>25</v>
      </c>
      <c r="H64" s="11" t="s">
        <v>61</v>
      </c>
      <c r="I64" s="11" t="s">
        <v>62</v>
      </c>
      <c r="J64" s="11" t="s">
        <v>261</v>
      </c>
      <c r="K64" s="11">
        <v>26</v>
      </c>
      <c r="L64" s="12">
        <v>15</v>
      </c>
      <c r="M64" s="13">
        <v>390</v>
      </c>
      <c r="N64" s="11" t="s">
        <v>367</v>
      </c>
      <c r="O64" s="11" t="s">
        <v>19</v>
      </c>
    </row>
    <row r="65" spans="1:17" ht="15.6" x14ac:dyDescent="0.3">
      <c r="A65" s="15">
        <v>10106</v>
      </c>
      <c r="B65" s="14">
        <v>37669</v>
      </c>
      <c r="C65" s="14" t="s">
        <v>281</v>
      </c>
      <c r="D65" s="15" t="s">
        <v>58</v>
      </c>
      <c r="E65" s="15" t="s">
        <v>59</v>
      </c>
      <c r="F65" s="15" t="s">
        <v>60</v>
      </c>
      <c r="G65" s="15" t="s">
        <v>25</v>
      </c>
      <c r="H65" s="15" t="s">
        <v>17</v>
      </c>
      <c r="I65" s="15" t="s">
        <v>26</v>
      </c>
      <c r="J65" s="15" t="s">
        <v>244</v>
      </c>
      <c r="K65" s="15">
        <v>33</v>
      </c>
      <c r="L65" s="16">
        <v>60</v>
      </c>
      <c r="M65" s="17">
        <v>1980</v>
      </c>
      <c r="N65" s="15" t="s">
        <v>367</v>
      </c>
      <c r="O65" s="15" t="s">
        <v>19</v>
      </c>
    </row>
    <row r="66" spans="1:17" ht="15.6" x14ac:dyDescent="0.3">
      <c r="A66" s="11">
        <v>10106</v>
      </c>
      <c r="B66" s="10">
        <v>37669</v>
      </c>
      <c r="C66" s="10" t="s">
        <v>281</v>
      </c>
      <c r="D66" s="11" t="s">
        <v>58</v>
      </c>
      <c r="E66" s="11" t="s">
        <v>59</v>
      </c>
      <c r="F66" s="11" t="s">
        <v>60</v>
      </c>
      <c r="G66" s="11" t="s">
        <v>25</v>
      </c>
      <c r="H66" s="11" t="s">
        <v>17</v>
      </c>
      <c r="I66" s="11" t="s">
        <v>20</v>
      </c>
      <c r="J66" s="11" t="s">
        <v>242</v>
      </c>
      <c r="K66" s="11">
        <v>39</v>
      </c>
      <c r="L66" s="12">
        <v>48</v>
      </c>
      <c r="M66" s="13">
        <v>1872</v>
      </c>
      <c r="N66" s="11" t="s">
        <v>367</v>
      </c>
      <c r="O66" s="11" t="s">
        <v>19</v>
      </c>
    </row>
    <row r="67" spans="1:17" ht="15.6" x14ac:dyDescent="0.3">
      <c r="A67" s="15">
        <v>10106</v>
      </c>
      <c r="B67" s="14">
        <v>37669</v>
      </c>
      <c r="C67" s="14" t="s">
        <v>281</v>
      </c>
      <c r="D67" s="15" t="s">
        <v>58</v>
      </c>
      <c r="E67" s="15" t="s">
        <v>59</v>
      </c>
      <c r="F67" s="15" t="s">
        <v>60</v>
      </c>
      <c r="G67" s="15" t="s">
        <v>25</v>
      </c>
      <c r="H67" s="15" t="s">
        <v>61</v>
      </c>
      <c r="I67" s="15" t="s">
        <v>62</v>
      </c>
      <c r="J67" s="15" t="s">
        <v>261</v>
      </c>
      <c r="K67" s="15">
        <v>31</v>
      </c>
      <c r="L67" s="16">
        <v>15</v>
      </c>
      <c r="M67" s="17">
        <v>465</v>
      </c>
      <c r="N67" s="15" t="s">
        <v>367</v>
      </c>
      <c r="O67" s="15" t="s">
        <v>19</v>
      </c>
    </row>
    <row r="68" spans="1:17" ht="15.6" x14ac:dyDescent="0.3">
      <c r="A68" s="11">
        <v>10106</v>
      </c>
      <c r="B68" s="10">
        <v>37669</v>
      </c>
      <c r="C68" s="10" t="s">
        <v>281</v>
      </c>
      <c r="D68" s="11" t="s">
        <v>58</v>
      </c>
      <c r="E68" s="11" t="s">
        <v>59</v>
      </c>
      <c r="F68" s="11" t="s">
        <v>60</v>
      </c>
      <c r="G68" s="11" t="s">
        <v>25</v>
      </c>
      <c r="H68" s="11" t="s">
        <v>54</v>
      </c>
      <c r="I68" s="11" t="s">
        <v>55</v>
      </c>
      <c r="J68" s="11" t="s">
        <v>258</v>
      </c>
      <c r="K68" s="11">
        <v>30</v>
      </c>
      <c r="L68" s="12">
        <v>180</v>
      </c>
      <c r="M68" s="13">
        <v>5400</v>
      </c>
      <c r="N68" s="11" t="s">
        <v>367</v>
      </c>
      <c r="O68" s="11" t="s">
        <v>19</v>
      </c>
      <c r="Q68"/>
    </row>
    <row r="69" spans="1:17" ht="15.6" x14ac:dyDescent="0.3">
      <c r="A69" s="15">
        <v>10106</v>
      </c>
      <c r="B69" s="14">
        <v>37669</v>
      </c>
      <c r="C69" s="14" t="s">
        <v>281</v>
      </c>
      <c r="D69" s="15" t="s">
        <v>58</v>
      </c>
      <c r="E69" s="15" t="s">
        <v>59</v>
      </c>
      <c r="F69" s="15" t="s">
        <v>60</v>
      </c>
      <c r="G69" s="15" t="s">
        <v>25</v>
      </c>
      <c r="H69" s="15" t="s">
        <v>61</v>
      </c>
      <c r="I69" s="15" t="s">
        <v>63</v>
      </c>
      <c r="J69" s="15" t="s">
        <v>262</v>
      </c>
      <c r="K69" s="15">
        <v>34</v>
      </c>
      <c r="L69" s="16">
        <v>40</v>
      </c>
      <c r="M69" s="17">
        <v>1360</v>
      </c>
      <c r="N69" s="15" t="s">
        <v>367</v>
      </c>
      <c r="O69" s="15" t="s">
        <v>19</v>
      </c>
      <c r="Q69"/>
    </row>
    <row r="70" spans="1:17" ht="15.6" x14ac:dyDescent="0.3">
      <c r="A70" s="11">
        <v>10106</v>
      </c>
      <c r="B70" s="10">
        <v>37669</v>
      </c>
      <c r="C70" s="10" t="s">
        <v>281</v>
      </c>
      <c r="D70" s="11" t="s">
        <v>58</v>
      </c>
      <c r="E70" s="11" t="s">
        <v>59</v>
      </c>
      <c r="F70" s="11" t="s">
        <v>60</v>
      </c>
      <c r="G70" s="11" t="s">
        <v>25</v>
      </c>
      <c r="H70" s="11" t="s">
        <v>61</v>
      </c>
      <c r="I70" s="11" t="s">
        <v>62</v>
      </c>
      <c r="J70" s="11" t="s">
        <v>261</v>
      </c>
      <c r="K70" s="11">
        <v>32</v>
      </c>
      <c r="L70" s="12">
        <v>15</v>
      </c>
      <c r="M70" s="13">
        <v>480</v>
      </c>
      <c r="N70" s="11" t="s">
        <v>367</v>
      </c>
      <c r="O70" s="11" t="s">
        <v>19</v>
      </c>
      <c r="Q70"/>
    </row>
    <row r="71" spans="1:17" ht="15.6" x14ac:dyDescent="0.3">
      <c r="A71" s="15">
        <v>10106</v>
      </c>
      <c r="B71" s="14">
        <v>37669</v>
      </c>
      <c r="C71" s="14" t="s">
        <v>281</v>
      </c>
      <c r="D71" s="15" t="s">
        <v>58</v>
      </c>
      <c r="E71" s="15" t="s">
        <v>59</v>
      </c>
      <c r="F71" s="15" t="s">
        <v>60</v>
      </c>
      <c r="G71" s="15" t="s">
        <v>25</v>
      </c>
      <c r="H71" s="15" t="s">
        <v>61</v>
      </c>
      <c r="I71" s="15" t="s">
        <v>66</v>
      </c>
      <c r="J71" s="15" t="s">
        <v>265</v>
      </c>
      <c r="K71" s="15">
        <v>44</v>
      </c>
      <c r="L71" s="16">
        <v>35</v>
      </c>
      <c r="M71" s="17">
        <v>1540</v>
      </c>
      <c r="N71" s="15" t="s">
        <v>367</v>
      </c>
      <c r="O71" s="15" t="s">
        <v>19</v>
      </c>
      <c r="Q71"/>
    </row>
    <row r="72" spans="1:17" ht="15.6" x14ac:dyDescent="0.3">
      <c r="A72" s="11">
        <v>10106</v>
      </c>
      <c r="B72" s="10">
        <v>37669</v>
      </c>
      <c r="C72" s="10" t="s">
        <v>281</v>
      </c>
      <c r="D72" s="11" t="s">
        <v>58</v>
      </c>
      <c r="E72" s="11" t="s">
        <v>59</v>
      </c>
      <c r="F72" s="11" t="s">
        <v>60</v>
      </c>
      <c r="G72" s="11" t="s">
        <v>25</v>
      </c>
      <c r="H72" s="11" t="s">
        <v>61</v>
      </c>
      <c r="I72" s="11" t="s">
        <v>66</v>
      </c>
      <c r="J72" s="11" t="s">
        <v>265</v>
      </c>
      <c r="K72" s="11">
        <v>48</v>
      </c>
      <c r="L72" s="12">
        <v>35</v>
      </c>
      <c r="M72" s="13">
        <v>1680</v>
      </c>
      <c r="N72" s="11" t="s">
        <v>367</v>
      </c>
      <c r="O72" s="11" t="s">
        <v>19</v>
      </c>
      <c r="Q72"/>
    </row>
    <row r="73" spans="1:17" ht="15.6" x14ac:dyDescent="0.3">
      <c r="A73" s="15">
        <v>10106</v>
      </c>
      <c r="B73" s="14">
        <v>37669</v>
      </c>
      <c r="C73" s="14" t="s">
        <v>281</v>
      </c>
      <c r="D73" s="15" t="s">
        <v>58</v>
      </c>
      <c r="E73" s="15" t="s">
        <v>59</v>
      </c>
      <c r="F73" s="15" t="s">
        <v>60</v>
      </c>
      <c r="G73" s="15" t="s">
        <v>25</v>
      </c>
      <c r="H73" s="15" t="s">
        <v>61</v>
      </c>
      <c r="I73" s="15" t="s">
        <v>63</v>
      </c>
      <c r="J73" s="15" t="s">
        <v>262</v>
      </c>
      <c r="K73" s="15">
        <v>48</v>
      </c>
      <c r="L73" s="16">
        <v>40</v>
      </c>
      <c r="M73" s="17">
        <v>1920</v>
      </c>
      <c r="N73" s="15" t="s">
        <v>367</v>
      </c>
      <c r="O73" s="15" t="s">
        <v>19</v>
      </c>
      <c r="Q73"/>
    </row>
    <row r="74" spans="1:17" ht="15.6" x14ac:dyDescent="0.3">
      <c r="A74" s="11">
        <v>10107</v>
      </c>
      <c r="B74" s="10">
        <v>37676</v>
      </c>
      <c r="C74" s="10" t="s">
        <v>282</v>
      </c>
      <c r="D74" s="11" t="s">
        <v>67</v>
      </c>
      <c r="E74" s="11" t="s">
        <v>28</v>
      </c>
      <c r="F74" s="11" t="s">
        <v>15</v>
      </c>
      <c r="G74" s="11" t="s">
        <v>16</v>
      </c>
      <c r="H74" s="11" t="s">
        <v>68</v>
      </c>
      <c r="I74" s="11" t="s">
        <v>69</v>
      </c>
      <c r="J74" s="11" t="s">
        <v>266</v>
      </c>
      <c r="K74" s="11">
        <v>30</v>
      </c>
      <c r="L74" s="12">
        <v>25</v>
      </c>
      <c r="M74" s="13">
        <v>750</v>
      </c>
      <c r="N74" s="11" t="s">
        <v>367</v>
      </c>
      <c r="O74" s="11" t="s">
        <v>19</v>
      </c>
      <c r="Q74"/>
    </row>
    <row r="75" spans="1:17" ht="15.6" x14ac:dyDescent="0.3">
      <c r="A75" s="15">
        <v>10107</v>
      </c>
      <c r="B75" s="14">
        <v>37676</v>
      </c>
      <c r="C75" s="14" t="s">
        <v>282</v>
      </c>
      <c r="D75" s="15" t="s">
        <v>67</v>
      </c>
      <c r="E75" s="15" t="s">
        <v>28</v>
      </c>
      <c r="F75" s="15" t="s">
        <v>15</v>
      </c>
      <c r="G75" s="15" t="s">
        <v>16</v>
      </c>
      <c r="H75" s="15" t="s">
        <v>68</v>
      </c>
      <c r="I75" s="15" t="s">
        <v>69</v>
      </c>
      <c r="J75" s="15" t="s">
        <v>266</v>
      </c>
      <c r="K75" s="15">
        <v>39</v>
      </c>
      <c r="L75" s="16">
        <v>25</v>
      </c>
      <c r="M75" s="17">
        <v>975</v>
      </c>
      <c r="N75" s="15" t="s">
        <v>367</v>
      </c>
      <c r="O75" s="15" t="s">
        <v>19</v>
      </c>
      <c r="Q75"/>
    </row>
    <row r="76" spans="1:17" ht="15.6" x14ac:dyDescent="0.3">
      <c r="A76" s="11">
        <v>10107</v>
      </c>
      <c r="B76" s="10">
        <v>37676</v>
      </c>
      <c r="C76" s="10" t="s">
        <v>282</v>
      </c>
      <c r="D76" s="11" t="s">
        <v>67</v>
      </c>
      <c r="E76" s="11" t="s">
        <v>28</v>
      </c>
      <c r="F76" s="11" t="s">
        <v>15</v>
      </c>
      <c r="G76" s="11" t="s">
        <v>16</v>
      </c>
      <c r="H76" s="11" t="s">
        <v>68</v>
      </c>
      <c r="I76" s="11" t="s">
        <v>70</v>
      </c>
      <c r="J76" s="11" t="s">
        <v>267</v>
      </c>
      <c r="K76" s="11">
        <v>27</v>
      </c>
      <c r="L76" s="12">
        <v>50</v>
      </c>
      <c r="M76" s="13">
        <v>1350</v>
      </c>
      <c r="N76" s="11" t="s">
        <v>367</v>
      </c>
      <c r="O76" s="11" t="s">
        <v>19</v>
      </c>
      <c r="Q76"/>
    </row>
    <row r="77" spans="1:17" ht="15.6" x14ac:dyDescent="0.3">
      <c r="A77" s="15">
        <v>10107</v>
      </c>
      <c r="B77" s="14">
        <v>37676</v>
      </c>
      <c r="C77" s="14" t="s">
        <v>282</v>
      </c>
      <c r="D77" s="15" t="s">
        <v>67</v>
      </c>
      <c r="E77" s="15" t="s">
        <v>28</v>
      </c>
      <c r="F77" s="15" t="s">
        <v>15</v>
      </c>
      <c r="G77" s="15" t="s">
        <v>16</v>
      </c>
      <c r="H77" s="15" t="s">
        <v>68</v>
      </c>
      <c r="I77" s="15" t="s">
        <v>69</v>
      </c>
      <c r="J77" s="15" t="s">
        <v>266</v>
      </c>
      <c r="K77" s="15">
        <v>21</v>
      </c>
      <c r="L77" s="16">
        <v>25</v>
      </c>
      <c r="M77" s="17">
        <v>525</v>
      </c>
      <c r="N77" s="15" t="s">
        <v>367</v>
      </c>
      <c r="O77" s="15" t="s">
        <v>19</v>
      </c>
      <c r="Q77"/>
    </row>
    <row r="78" spans="1:17" ht="15.6" x14ac:dyDescent="0.3">
      <c r="A78" s="11">
        <v>10107</v>
      </c>
      <c r="B78" s="10">
        <v>37676</v>
      </c>
      <c r="C78" s="10" t="s">
        <v>282</v>
      </c>
      <c r="D78" s="11" t="s">
        <v>67</v>
      </c>
      <c r="E78" s="11" t="s">
        <v>28</v>
      </c>
      <c r="F78" s="11" t="s">
        <v>15</v>
      </c>
      <c r="G78" s="11" t="s">
        <v>16</v>
      </c>
      <c r="H78" s="11" t="s">
        <v>68</v>
      </c>
      <c r="I78" s="11" t="s">
        <v>70</v>
      </c>
      <c r="J78" s="11" t="s">
        <v>267</v>
      </c>
      <c r="K78" s="11">
        <v>29</v>
      </c>
      <c r="L78" s="12">
        <v>50</v>
      </c>
      <c r="M78" s="13">
        <v>1450</v>
      </c>
      <c r="N78" s="11" t="s">
        <v>367</v>
      </c>
      <c r="O78" s="11" t="s">
        <v>19</v>
      </c>
      <c r="Q78"/>
    </row>
    <row r="79" spans="1:17" ht="15.6" x14ac:dyDescent="0.3">
      <c r="A79" s="15">
        <v>10107</v>
      </c>
      <c r="B79" s="14">
        <v>37676</v>
      </c>
      <c r="C79" s="14" t="s">
        <v>282</v>
      </c>
      <c r="D79" s="15" t="s">
        <v>67</v>
      </c>
      <c r="E79" s="15" t="s">
        <v>28</v>
      </c>
      <c r="F79" s="15" t="s">
        <v>15</v>
      </c>
      <c r="G79" s="15" t="s">
        <v>16</v>
      </c>
      <c r="H79" s="15" t="s">
        <v>68</v>
      </c>
      <c r="I79" s="15" t="s">
        <v>70</v>
      </c>
      <c r="J79" s="15" t="s">
        <v>267</v>
      </c>
      <c r="K79" s="15">
        <v>25</v>
      </c>
      <c r="L79" s="16">
        <v>50</v>
      </c>
      <c r="M79" s="17">
        <v>1250</v>
      </c>
      <c r="N79" s="15" t="s">
        <v>367</v>
      </c>
      <c r="O79" s="15" t="s">
        <v>19</v>
      </c>
      <c r="Q79"/>
    </row>
    <row r="80" spans="1:17" ht="15.6" x14ac:dyDescent="0.3">
      <c r="A80" s="11">
        <v>10107</v>
      </c>
      <c r="B80" s="10">
        <v>37676</v>
      </c>
      <c r="C80" s="10" t="s">
        <v>282</v>
      </c>
      <c r="D80" s="11" t="s">
        <v>67</v>
      </c>
      <c r="E80" s="11" t="s">
        <v>28</v>
      </c>
      <c r="F80" s="11" t="s">
        <v>15</v>
      </c>
      <c r="G80" s="11" t="s">
        <v>16</v>
      </c>
      <c r="H80" s="11" t="s">
        <v>68</v>
      </c>
      <c r="I80" s="11" t="s">
        <v>70</v>
      </c>
      <c r="J80" s="11" t="s">
        <v>267</v>
      </c>
      <c r="K80" s="11">
        <v>38</v>
      </c>
      <c r="L80" s="12">
        <v>50</v>
      </c>
      <c r="M80" s="13">
        <v>1900</v>
      </c>
      <c r="N80" s="11" t="s">
        <v>367</v>
      </c>
      <c r="O80" s="11" t="s">
        <v>19</v>
      </c>
      <c r="Q80"/>
    </row>
    <row r="81" spans="1:17" ht="15.6" x14ac:dyDescent="0.3">
      <c r="A81" s="15">
        <v>10107</v>
      </c>
      <c r="B81" s="14">
        <v>37676</v>
      </c>
      <c r="C81" s="14" t="s">
        <v>282</v>
      </c>
      <c r="D81" s="15" t="s">
        <v>67</v>
      </c>
      <c r="E81" s="15" t="s">
        <v>28</v>
      </c>
      <c r="F81" s="15" t="s">
        <v>15</v>
      </c>
      <c r="G81" s="15" t="s">
        <v>16</v>
      </c>
      <c r="H81" s="15" t="s">
        <v>68</v>
      </c>
      <c r="I81" s="15" t="s">
        <v>69</v>
      </c>
      <c r="J81" s="15" t="s">
        <v>266</v>
      </c>
      <c r="K81" s="15">
        <v>20</v>
      </c>
      <c r="L81" s="16">
        <v>25</v>
      </c>
      <c r="M81" s="17">
        <v>500</v>
      </c>
      <c r="N81" s="15" t="s">
        <v>367</v>
      </c>
      <c r="O81" s="15" t="s">
        <v>19</v>
      </c>
      <c r="Q81"/>
    </row>
    <row r="82" spans="1:17" ht="15.6" x14ac:dyDescent="0.3">
      <c r="A82" s="11">
        <v>10108</v>
      </c>
      <c r="B82" s="10">
        <v>37683</v>
      </c>
      <c r="C82" s="10" t="s">
        <v>283</v>
      </c>
      <c r="D82" s="11" t="s">
        <v>71</v>
      </c>
      <c r="E82" s="11" t="s">
        <v>72</v>
      </c>
      <c r="F82" s="11" t="s">
        <v>73</v>
      </c>
      <c r="G82" s="11" t="s">
        <v>74</v>
      </c>
      <c r="H82" s="11" t="s">
        <v>32</v>
      </c>
      <c r="I82" s="11" t="s">
        <v>34</v>
      </c>
      <c r="J82" s="11" t="s">
        <v>246</v>
      </c>
      <c r="K82" s="11">
        <v>33</v>
      </c>
      <c r="L82" s="12">
        <v>80</v>
      </c>
      <c r="M82" s="13">
        <v>2640</v>
      </c>
      <c r="N82" s="11" t="s">
        <v>367</v>
      </c>
      <c r="O82" s="11" t="s">
        <v>19</v>
      </c>
      <c r="Q82"/>
    </row>
    <row r="83" spans="1:17" ht="15.6" x14ac:dyDescent="0.3">
      <c r="A83" s="15">
        <v>10108</v>
      </c>
      <c r="B83" s="14">
        <v>37683</v>
      </c>
      <c r="C83" s="14" t="s">
        <v>283</v>
      </c>
      <c r="D83" s="15" t="s">
        <v>71</v>
      </c>
      <c r="E83" s="15" t="s">
        <v>72</v>
      </c>
      <c r="F83" s="15" t="s">
        <v>73</v>
      </c>
      <c r="G83" s="15" t="s">
        <v>74</v>
      </c>
      <c r="H83" s="15" t="s">
        <v>32</v>
      </c>
      <c r="I83" s="15" t="s">
        <v>34</v>
      </c>
      <c r="J83" s="15" t="s">
        <v>246</v>
      </c>
      <c r="K83" s="15">
        <v>45</v>
      </c>
      <c r="L83" s="16">
        <v>80</v>
      </c>
      <c r="M83" s="17">
        <v>3600</v>
      </c>
      <c r="N83" s="15" t="s">
        <v>367</v>
      </c>
      <c r="O83" s="15" t="s">
        <v>19</v>
      </c>
      <c r="Q83"/>
    </row>
    <row r="84" spans="1:17" ht="15.6" x14ac:dyDescent="0.3">
      <c r="A84" s="11">
        <v>10108</v>
      </c>
      <c r="B84" s="10">
        <v>37683</v>
      </c>
      <c r="C84" s="10" t="s">
        <v>283</v>
      </c>
      <c r="D84" s="11" t="s">
        <v>71</v>
      </c>
      <c r="E84" s="11" t="s">
        <v>72</v>
      </c>
      <c r="F84" s="11" t="s">
        <v>73</v>
      </c>
      <c r="G84" s="11" t="s">
        <v>74</v>
      </c>
      <c r="H84" s="11" t="s">
        <v>32</v>
      </c>
      <c r="I84" s="11" t="s">
        <v>46</v>
      </c>
      <c r="J84" s="11" t="s">
        <v>254</v>
      </c>
      <c r="K84" s="11">
        <v>39</v>
      </c>
      <c r="L84" s="12">
        <v>90</v>
      </c>
      <c r="M84" s="13">
        <v>3510</v>
      </c>
      <c r="N84" s="11" t="s">
        <v>367</v>
      </c>
      <c r="O84" s="11" t="s">
        <v>19</v>
      </c>
      <c r="Q84"/>
    </row>
    <row r="85" spans="1:17" ht="15.6" x14ac:dyDescent="0.3">
      <c r="A85" s="15">
        <v>10108</v>
      </c>
      <c r="B85" s="14">
        <v>37683</v>
      </c>
      <c r="C85" s="14" t="s">
        <v>283</v>
      </c>
      <c r="D85" s="15" t="s">
        <v>71</v>
      </c>
      <c r="E85" s="15" t="s">
        <v>72</v>
      </c>
      <c r="F85" s="15" t="s">
        <v>73</v>
      </c>
      <c r="G85" s="15" t="s">
        <v>74</v>
      </c>
      <c r="H85" s="15" t="s">
        <v>32</v>
      </c>
      <c r="I85" s="15" t="s">
        <v>45</v>
      </c>
      <c r="J85" s="15" t="s">
        <v>253</v>
      </c>
      <c r="K85" s="15">
        <v>36</v>
      </c>
      <c r="L85" s="16">
        <v>35</v>
      </c>
      <c r="M85" s="17">
        <v>1260</v>
      </c>
      <c r="N85" s="15" t="s">
        <v>367</v>
      </c>
      <c r="O85" s="15" t="s">
        <v>19</v>
      </c>
      <c r="Q85"/>
    </row>
    <row r="86" spans="1:17" ht="15.6" x14ac:dyDescent="0.3">
      <c r="A86" s="11">
        <v>10108</v>
      </c>
      <c r="B86" s="10">
        <v>37683</v>
      </c>
      <c r="C86" s="10" t="s">
        <v>283</v>
      </c>
      <c r="D86" s="11" t="s">
        <v>71</v>
      </c>
      <c r="E86" s="11" t="s">
        <v>72</v>
      </c>
      <c r="F86" s="11" t="s">
        <v>73</v>
      </c>
      <c r="G86" s="11" t="s">
        <v>74</v>
      </c>
      <c r="H86" s="11" t="s">
        <v>32</v>
      </c>
      <c r="I86" s="11" t="s">
        <v>45</v>
      </c>
      <c r="J86" s="11" t="s">
        <v>253</v>
      </c>
      <c r="K86" s="11">
        <v>38</v>
      </c>
      <c r="L86" s="12">
        <v>35</v>
      </c>
      <c r="M86" s="13">
        <v>1330</v>
      </c>
      <c r="N86" s="11" t="s">
        <v>367</v>
      </c>
      <c r="O86" s="11" t="s">
        <v>19</v>
      </c>
      <c r="Q86"/>
    </row>
    <row r="87" spans="1:17" ht="15.6" x14ac:dyDescent="0.3">
      <c r="A87" s="15">
        <v>10108</v>
      </c>
      <c r="B87" s="14">
        <v>37683</v>
      </c>
      <c r="C87" s="14" t="s">
        <v>283</v>
      </c>
      <c r="D87" s="15" t="s">
        <v>71</v>
      </c>
      <c r="E87" s="15" t="s">
        <v>72</v>
      </c>
      <c r="F87" s="15" t="s">
        <v>73</v>
      </c>
      <c r="G87" s="15" t="s">
        <v>74</v>
      </c>
      <c r="H87" s="15" t="s">
        <v>32</v>
      </c>
      <c r="I87" s="15" t="s">
        <v>46</v>
      </c>
      <c r="J87" s="15" t="s">
        <v>254</v>
      </c>
      <c r="K87" s="15">
        <v>26</v>
      </c>
      <c r="L87" s="16">
        <v>90</v>
      </c>
      <c r="M87" s="17">
        <v>2340</v>
      </c>
      <c r="N87" s="15" t="s">
        <v>367</v>
      </c>
      <c r="O87" s="15" t="s">
        <v>19</v>
      </c>
      <c r="Q87"/>
    </row>
    <row r="88" spans="1:17" ht="15.6" x14ac:dyDescent="0.3">
      <c r="A88" s="11">
        <v>10108</v>
      </c>
      <c r="B88" s="10">
        <v>37683</v>
      </c>
      <c r="C88" s="10" t="s">
        <v>283</v>
      </c>
      <c r="D88" s="11" t="s">
        <v>71</v>
      </c>
      <c r="E88" s="11" t="s">
        <v>72</v>
      </c>
      <c r="F88" s="11" t="s">
        <v>73</v>
      </c>
      <c r="G88" s="11" t="s">
        <v>74</v>
      </c>
      <c r="H88" s="11" t="s">
        <v>32</v>
      </c>
      <c r="I88" s="11" t="s">
        <v>33</v>
      </c>
      <c r="J88" s="11" t="s">
        <v>245</v>
      </c>
      <c r="K88" s="11">
        <v>29</v>
      </c>
      <c r="L88" s="12">
        <v>85</v>
      </c>
      <c r="M88" s="13">
        <v>2465</v>
      </c>
      <c r="N88" s="11" t="s">
        <v>367</v>
      </c>
      <c r="O88" s="11" t="s">
        <v>19</v>
      </c>
      <c r="Q88"/>
    </row>
    <row r="89" spans="1:17" ht="15.6" x14ac:dyDescent="0.3">
      <c r="A89" s="15">
        <v>10108</v>
      </c>
      <c r="B89" s="14">
        <v>37683</v>
      </c>
      <c r="C89" s="14" t="s">
        <v>283</v>
      </c>
      <c r="D89" s="15" t="s">
        <v>71</v>
      </c>
      <c r="E89" s="15" t="s">
        <v>72</v>
      </c>
      <c r="F89" s="15" t="s">
        <v>73</v>
      </c>
      <c r="G89" s="15" t="s">
        <v>74</v>
      </c>
      <c r="H89" s="15" t="s">
        <v>68</v>
      </c>
      <c r="I89" s="15" t="s">
        <v>70</v>
      </c>
      <c r="J89" s="15" t="s">
        <v>267</v>
      </c>
      <c r="K89" s="15">
        <v>43</v>
      </c>
      <c r="L89" s="16">
        <v>50</v>
      </c>
      <c r="M89" s="17">
        <v>2150</v>
      </c>
      <c r="N89" s="15" t="s">
        <v>367</v>
      </c>
      <c r="O89" s="15" t="s">
        <v>19</v>
      </c>
      <c r="Q89"/>
    </row>
    <row r="90" spans="1:17" ht="15.6" x14ac:dyDescent="0.3">
      <c r="A90" s="11">
        <v>10108</v>
      </c>
      <c r="B90" s="10">
        <v>37683</v>
      </c>
      <c r="C90" s="10" t="s">
        <v>283</v>
      </c>
      <c r="D90" s="11" t="s">
        <v>71</v>
      </c>
      <c r="E90" s="11" t="s">
        <v>72</v>
      </c>
      <c r="F90" s="11" t="s">
        <v>73</v>
      </c>
      <c r="G90" s="11" t="s">
        <v>74</v>
      </c>
      <c r="H90" s="11" t="s">
        <v>32</v>
      </c>
      <c r="I90" s="11" t="s">
        <v>33</v>
      </c>
      <c r="J90" s="11" t="s">
        <v>245</v>
      </c>
      <c r="K90" s="11">
        <v>44</v>
      </c>
      <c r="L90" s="12">
        <v>85</v>
      </c>
      <c r="M90" s="13">
        <v>3740</v>
      </c>
      <c r="N90" s="11" t="s">
        <v>367</v>
      </c>
      <c r="O90" s="11" t="s">
        <v>19</v>
      </c>
      <c r="Q90"/>
    </row>
    <row r="91" spans="1:17" ht="15.6" x14ac:dyDescent="0.3">
      <c r="A91" s="15">
        <v>10108</v>
      </c>
      <c r="B91" s="14">
        <v>37683</v>
      </c>
      <c r="C91" s="14" t="s">
        <v>283</v>
      </c>
      <c r="D91" s="15" t="s">
        <v>71</v>
      </c>
      <c r="E91" s="15" t="s">
        <v>72</v>
      </c>
      <c r="F91" s="15" t="s">
        <v>73</v>
      </c>
      <c r="G91" s="15" t="s">
        <v>74</v>
      </c>
      <c r="H91" s="15" t="s">
        <v>68</v>
      </c>
      <c r="I91" s="15" t="s">
        <v>75</v>
      </c>
      <c r="J91" s="15" t="s">
        <v>268</v>
      </c>
      <c r="K91" s="15">
        <v>35</v>
      </c>
      <c r="L91" s="16">
        <v>35</v>
      </c>
      <c r="M91" s="17">
        <v>1225</v>
      </c>
      <c r="N91" s="15" t="s">
        <v>367</v>
      </c>
      <c r="O91" s="15" t="s">
        <v>19</v>
      </c>
      <c r="Q91"/>
    </row>
    <row r="92" spans="1:17" ht="15.6" x14ac:dyDescent="0.3">
      <c r="A92" s="11">
        <v>10108</v>
      </c>
      <c r="B92" s="10">
        <v>37683</v>
      </c>
      <c r="C92" s="10" t="s">
        <v>283</v>
      </c>
      <c r="D92" s="11" t="s">
        <v>71</v>
      </c>
      <c r="E92" s="11" t="s">
        <v>72</v>
      </c>
      <c r="F92" s="11" t="s">
        <v>73</v>
      </c>
      <c r="G92" s="11" t="s">
        <v>74</v>
      </c>
      <c r="H92" s="11" t="s">
        <v>32</v>
      </c>
      <c r="I92" s="11" t="s">
        <v>46</v>
      </c>
      <c r="J92" s="11" t="s">
        <v>254</v>
      </c>
      <c r="K92" s="11">
        <v>30</v>
      </c>
      <c r="L92" s="12">
        <v>90</v>
      </c>
      <c r="M92" s="13">
        <v>2700</v>
      </c>
      <c r="N92" s="11" t="s">
        <v>367</v>
      </c>
      <c r="O92" s="11" t="s">
        <v>19</v>
      </c>
      <c r="Q92"/>
    </row>
    <row r="93" spans="1:17" ht="15.6" x14ac:dyDescent="0.3">
      <c r="A93" s="15">
        <v>10108</v>
      </c>
      <c r="B93" s="14">
        <v>37683</v>
      </c>
      <c r="C93" s="14" t="s">
        <v>283</v>
      </c>
      <c r="D93" s="15" t="s">
        <v>71</v>
      </c>
      <c r="E93" s="15" t="s">
        <v>72</v>
      </c>
      <c r="F93" s="15" t="s">
        <v>73</v>
      </c>
      <c r="G93" s="15" t="s">
        <v>74</v>
      </c>
      <c r="H93" s="15" t="s">
        <v>32</v>
      </c>
      <c r="I93" s="15" t="s">
        <v>33</v>
      </c>
      <c r="J93" s="15" t="s">
        <v>245</v>
      </c>
      <c r="K93" s="15">
        <v>40</v>
      </c>
      <c r="L93" s="16">
        <v>85</v>
      </c>
      <c r="M93" s="17">
        <v>3400</v>
      </c>
      <c r="N93" s="15" t="s">
        <v>367</v>
      </c>
      <c r="O93" s="15" t="s">
        <v>19</v>
      </c>
      <c r="Q93"/>
    </row>
    <row r="94" spans="1:17" ht="15.6" x14ac:dyDescent="0.3">
      <c r="A94" s="11">
        <v>10108</v>
      </c>
      <c r="B94" s="10">
        <v>37683</v>
      </c>
      <c r="C94" s="10" t="s">
        <v>283</v>
      </c>
      <c r="D94" s="11" t="s">
        <v>71</v>
      </c>
      <c r="E94" s="11" t="s">
        <v>72</v>
      </c>
      <c r="F94" s="11" t="s">
        <v>73</v>
      </c>
      <c r="G94" s="11" t="s">
        <v>74</v>
      </c>
      <c r="H94" s="11" t="s">
        <v>32</v>
      </c>
      <c r="I94" s="11" t="s">
        <v>46</v>
      </c>
      <c r="J94" s="11" t="s">
        <v>254</v>
      </c>
      <c r="K94" s="11">
        <v>31</v>
      </c>
      <c r="L94" s="12">
        <v>90</v>
      </c>
      <c r="M94" s="13">
        <v>2790</v>
      </c>
      <c r="N94" s="11" t="s">
        <v>367</v>
      </c>
      <c r="O94" s="11" t="s">
        <v>19</v>
      </c>
      <c r="Q94"/>
    </row>
    <row r="95" spans="1:17" ht="15.6" x14ac:dyDescent="0.3">
      <c r="A95" s="15">
        <v>10108</v>
      </c>
      <c r="B95" s="14">
        <v>37683</v>
      </c>
      <c r="C95" s="14" t="s">
        <v>283</v>
      </c>
      <c r="D95" s="15" t="s">
        <v>71</v>
      </c>
      <c r="E95" s="15" t="s">
        <v>72</v>
      </c>
      <c r="F95" s="15" t="s">
        <v>73</v>
      </c>
      <c r="G95" s="15" t="s">
        <v>74</v>
      </c>
      <c r="H95" s="15" t="s">
        <v>68</v>
      </c>
      <c r="I95" s="15" t="s">
        <v>69</v>
      </c>
      <c r="J95" s="15" t="s">
        <v>266</v>
      </c>
      <c r="K95" s="15">
        <v>27</v>
      </c>
      <c r="L95" s="16">
        <v>25</v>
      </c>
      <c r="M95" s="17">
        <v>675</v>
      </c>
      <c r="N95" s="15" t="s">
        <v>367</v>
      </c>
      <c r="O95" s="15" t="s">
        <v>19</v>
      </c>
      <c r="Q95"/>
    </row>
    <row r="96" spans="1:17" ht="15.6" x14ac:dyDescent="0.3">
      <c r="A96" s="11">
        <v>10108</v>
      </c>
      <c r="B96" s="10">
        <v>37683</v>
      </c>
      <c r="C96" s="10" t="s">
        <v>283</v>
      </c>
      <c r="D96" s="11" t="s">
        <v>71</v>
      </c>
      <c r="E96" s="11" t="s">
        <v>72</v>
      </c>
      <c r="F96" s="11" t="s">
        <v>73</v>
      </c>
      <c r="G96" s="11" t="s">
        <v>74</v>
      </c>
      <c r="H96" s="11" t="s">
        <v>68</v>
      </c>
      <c r="I96" s="11" t="s">
        <v>69</v>
      </c>
      <c r="J96" s="11" t="s">
        <v>266</v>
      </c>
      <c r="K96" s="11">
        <v>31</v>
      </c>
      <c r="L96" s="12">
        <v>25</v>
      </c>
      <c r="M96" s="13">
        <v>775</v>
      </c>
      <c r="N96" s="11" t="s">
        <v>367</v>
      </c>
      <c r="O96" s="11" t="s">
        <v>19</v>
      </c>
      <c r="Q96"/>
    </row>
    <row r="97" spans="1:17" ht="15.6" x14ac:dyDescent="0.3">
      <c r="A97" s="15">
        <v>10108</v>
      </c>
      <c r="B97" s="14">
        <v>37683</v>
      </c>
      <c r="C97" s="14" t="s">
        <v>283</v>
      </c>
      <c r="D97" s="15" t="s">
        <v>71</v>
      </c>
      <c r="E97" s="15" t="s">
        <v>72</v>
      </c>
      <c r="F97" s="15" t="s">
        <v>73</v>
      </c>
      <c r="G97" s="15" t="s">
        <v>74</v>
      </c>
      <c r="H97" s="15" t="s">
        <v>68</v>
      </c>
      <c r="I97" s="15" t="s">
        <v>76</v>
      </c>
      <c r="J97" s="15" t="s">
        <v>269</v>
      </c>
      <c r="K97" s="15">
        <v>34</v>
      </c>
      <c r="L97" s="16">
        <v>30</v>
      </c>
      <c r="M97" s="17">
        <v>1020</v>
      </c>
      <c r="N97" s="15" t="s">
        <v>367</v>
      </c>
      <c r="O97" s="15" t="s">
        <v>19</v>
      </c>
      <c r="Q97"/>
    </row>
    <row r="98" spans="1:17" ht="15.6" x14ac:dyDescent="0.3">
      <c r="A98" s="11">
        <v>10109</v>
      </c>
      <c r="B98" s="10">
        <v>37690</v>
      </c>
      <c r="C98" s="10" t="s">
        <v>284</v>
      </c>
      <c r="D98" s="11" t="s">
        <v>77</v>
      </c>
      <c r="E98" s="11" t="s">
        <v>78</v>
      </c>
      <c r="F98" s="11" t="s">
        <v>15</v>
      </c>
      <c r="G98" s="11" t="s">
        <v>16</v>
      </c>
      <c r="H98" s="11" t="s">
        <v>32</v>
      </c>
      <c r="I98" s="11" t="s">
        <v>46</v>
      </c>
      <c r="J98" s="11" t="s">
        <v>254</v>
      </c>
      <c r="K98" s="11">
        <v>26</v>
      </c>
      <c r="L98" s="12">
        <v>90</v>
      </c>
      <c r="M98" s="13">
        <v>2340</v>
      </c>
      <c r="N98" s="11" t="s">
        <v>367</v>
      </c>
      <c r="O98" s="11" t="s">
        <v>19</v>
      </c>
      <c r="Q98"/>
    </row>
    <row r="99" spans="1:17" ht="15.6" x14ac:dyDescent="0.3">
      <c r="A99" s="15">
        <v>10109</v>
      </c>
      <c r="B99" s="14">
        <v>37690</v>
      </c>
      <c r="C99" s="14" t="s">
        <v>284</v>
      </c>
      <c r="D99" s="15" t="s">
        <v>77</v>
      </c>
      <c r="E99" s="15" t="s">
        <v>78</v>
      </c>
      <c r="F99" s="15" t="s">
        <v>15</v>
      </c>
      <c r="G99" s="15" t="s">
        <v>16</v>
      </c>
      <c r="H99" s="15" t="s">
        <v>32</v>
      </c>
      <c r="I99" s="15" t="s">
        <v>45</v>
      </c>
      <c r="J99" s="15" t="s">
        <v>253</v>
      </c>
      <c r="K99" s="15">
        <v>38</v>
      </c>
      <c r="L99" s="16">
        <v>35</v>
      </c>
      <c r="M99" s="17">
        <v>1330</v>
      </c>
      <c r="N99" s="15" t="s">
        <v>367</v>
      </c>
      <c r="O99" s="15" t="s">
        <v>19</v>
      </c>
      <c r="Q99"/>
    </row>
    <row r="100" spans="1:17" ht="15.6" x14ac:dyDescent="0.3">
      <c r="A100" s="11">
        <v>10109</v>
      </c>
      <c r="B100" s="10">
        <v>37690</v>
      </c>
      <c r="C100" s="10" t="s">
        <v>284</v>
      </c>
      <c r="D100" s="11" t="s">
        <v>77</v>
      </c>
      <c r="E100" s="11" t="s">
        <v>78</v>
      </c>
      <c r="F100" s="11" t="s">
        <v>15</v>
      </c>
      <c r="G100" s="11" t="s">
        <v>16</v>
      </c>
      <c r="H100" s="11" t="s">
        <v>32</v>
      </c>
      <c r="I100" s="11" t="s">
        <v>44</v>
      </c>
      <c r="J100" s="11" t="s">
        <v>252</v>
      </c>
      <c r="K100" s="11">
        <v>26</v>
      </c>
      <c r="L100" s="12">
        <v>55</v>
      </c>
      <c r="M100" s="13">
        <v>1430</v>
      </c>
      <c r="N100" s="11" t="s">
        <v>367</v>
      </c>
      <c r="O100" s="11" t="s">
        <v>19</v>
      </c>
      <c r="Q100"/>
    </row>
    <row r="101" spans="1:17" ht="15.6" x14ac:dyDescent="0.3">
      <c r="A101" s="15">
        <v>10109</v>
      </c>
      <c r="B101" s="14">
        <v>37690</v>
      </c>
      <c r="C101" s="14" t="s">
        <v>284</v>
      </c>
      <c r="D101" s="15" t="s">
        <v>77</v>
      </c>
      <c r="E101" s="15" t="s">
        <v>78</v>
      </c>
      <c r="F101" s="15" t="s">
        <v>15</v>
      </c>
      <c r="G101" s="15" t="s">
        <v>16</v>
      </c>
      <c r="H101" s="15" t="s">
        <v>32</v>
      </c>
      <c r="I101" s="15" t="s">
        <v>44</v>
      </c>
      <c r="J101" s="15" t="s">
        <v>252</v>
      </c>
      <c r="K101" s="15">
        <v>46</v>
      </c>
      <c r="L101" s="16">
        <v>55</v>
      </c>
      <c r="M101" s="17">
        <v>2530</v>
      </c>
      <c r="N101" s="15" t="s">
        <v>367</v>
      </c>
      <c r="O101" s="15" t="s">
        <v>19</v>
      </c>
      <c r="Q101"/>
    </row>
    <row r="102" spans="1:17" ht="15.6" x14ac:dyDescent="0.3">
      <c r="A102" s="11">
        <v>10109</v>
      </c>
      <c r="B102" s="10">
        <v>37690</v>
      </c>
      <c r="C102" s="10" t="s">
        <v>284</v>
      </c>
      <c r="D102" s="11" t="s">
        <v>77</v>
      </c>
      <c r="E102" s="11" t="s">
        <v>78</v>
      </c>
      <c r="F102" s="11" t="s">
        <v>15</v>
      </c>
      <c r="G102" s="11" t="s">
        <v>16</v>
      </c>
      <c r="H102" s="11" t="s">
        <v>32</v>
      </c>
      <c r="I102" s="11" t="s">
        <v>46</v>
      </c>
      <c r="J102" s="11" t="s">
        <v>254</v>
      </c>
      <c r="K102" s="11">
        <v>47</v>
      </c>
      <c r="L102" s="12">
        <v>90</v>
      </c>
      <c r="M102" s="13">
        <v>4230</v>
      </c>
      <c r="N102" s="11" t="s">
        <v>367</v>
      </c>
      <c r="O102" s="11" t="s">
        <v>19</v>
      </c>
      <c r="Q102"/>
    </row>
    <row r="103" spans="1:17" ht="15.6" x14ac:dyDescent="0.3">
      <c r="A103" s="15">
        <v>10109</v>
      </c>
      <c r="B103" s="14">
        <v>37690</v>
      </c>
      <c r="C103" s="14" t="s">
        <v>284</v>
      </c>
      <c r="D103" s="15" t="s">
        <v>77</v>
      </c>
      <c r="E103" s="15" t="s">
        <v>78</v>
      </c>
      <c r="F103" s="15" t="s">
        <v>15</v>
      </c>
      <c r="G103" s="15" t="s">
        <v>16</v>
      </c>
      <c r="H103" s="15" t="s">
        <v>32</v>
      </c>
      <c r="I103" s="15" t="s">
        <v>34</v>
      </c>
      <c r="J103" s="15" t="s">
        <v>246</v>
      </c>
      <c r="K103" s="15">
        <v>29</v>
      </c>
      <c r="L103" s="16">
        <v>80</v>
      </c>
      <c r="M103" s="17">
        <v>2320</v>
      </c>
      <c r="N103" s="15" t="s">
        <v>367</v>
      </c>
      <c r="O103" s="15" t="s">
        <v>19</v>
      </c>
      <c r="Q103"/>
    </row>
    <row r="104" spans="1:17" ht="15.6" x14ac:dyDescent="0.3">
      <c r="A104" s="11">
        <v>10110</v>
      </c>
      <c r="B104" s="10">
        <v>37698</v>
      </c>
      <c r="C104" s="10" t="s">
        <v>285</v>
      </c>
      <c r="D104" s="11" t="s">
        <v>79</v>
      </c>
      <c r="E104" s="11" t="s">
        <v>80</v>
      </c>
      <c r="F104" s="11" t="s">
        <v>81</v>
      </c>
      <c r="G104" s="11" t="s">
        <v>25</v>
      </c>
      <c r="H104" s="11" t="s">
        <v>32</v>
      </c>
      <c r="I104" s="11" t="s">
        <v>44</v>
      </c>
      <c r="J104" s="11" t="s">
        <v>252</v>
      </c>
      <c r="K104" s="11">
        <v>37</v>
      </c>
      <c r="L104" s="12">
        <v>55</v>
      </c>
      <c r="M104" s="13">
        <v>2035</v>
      </c>
      <c r="N104" s="11" t="s">
        <v>367</v>
      </c>
      <c r="O104" s="11" t="s">
        <v>19</v>
      </c>
      <c r="Q104"/>
    </row>
    <row r="105" spans="1:17" ht="15.6" x14ac:dyDescent="0.3">
      <c r="A105" s="15">
        <v>10110</v>
      </c>
      <c r="B105" s="14">
        <v>37698</v>
      </c>
      <c r="C105" s="14" t="s">
        <v>285</v>
      </c>
      <c r="D105" s="15" t="s">
        <v>79</v>
      </c>
      <c r="E105" s="15" t="s">
        <v>80</v>
      </c>
      <c r="F105" s="15" t="s">
        <v>81</v>
      </c>
      <c r="G105" s="15" t="s">
        <v>25</v>
      </c>
      <c r="H105" s="15" t="s">
        <v>17</v>
      </c>
      <c r="I105" s="15" t="s">
        <v>20</v>
      </c>
      <c r="J105" s="15" t="s">
        <v>242</v>
      </c>
      <c r="K105" s="15">
        <v>42</v>
      </c>
      <c r="L105" s="16">
        <v>48</v>
      </c>
      <c r="M105" s="17">
        <v>2016</v>
      </c>
      <c r="N105" s="15" t="s">
        <v>367</v>
      </c>
      <c r="O105" s="15" t="s">
        <v>19</v>
      </c>
      <c r="Q105"/>
    </row>
    <row r="106" spans="1:17" ht="15.6" x14ac:dyDescent="0.3">
      <c r="A106" s="11">
        <v>10110</v>
      </c>
      <c r="B106" s="10">
        <v>37698</v>
      </c>
      <c r="C106" s="10" t="s">
        <v>285</v>
      </c>
      <c r="D106" s="11" t="s">
        <v>79</v>
      </c>
      <c r="E106" s="11" t="s">
        <v>80</v>
      </c>
      <c r="F106" s="11" t="s">
        <v>81</v>
      </c>
      <c r="G106" s="11" t="s">
        <v>25</v>
      </c>
      <c r="H106" s="11" t="s">
        <v>17</v>
      </c>
      <c r="I106" s="11" t="s">
        <v>52</v>
      </c>
      <c r="J106" s="11" t="s">
        <v>256</v>
      </c>
      <c r="K106" s="11">
        <v>32</v>
      </c>
      <c r="L106" s="12">
        <v>45</v>
      </c>
      <c r="M106" s="13">
        <v>1440</v>
      </c>
      <c r="N106" s="11" t="s">
        <v>367</v>
      </c>
      <c r="O106" s="11" t="s">
        <v>19</v>
      </c>
      <c r="Q106"/>
    </row>
    <row r="107" spans="1:17" ht="15.6" x14ac:dyDescent="0.3">
      <c r="A107" s="15">
        <v>10110</v>
      </c>
      <c r="B107" s="14">
        <v>37698</v>
      </c>
      <c r="C107" s="14" t="s">
        <v>285</v>
      </c>
      <c r="D107" s="15" t="s">
        <v>79</v>
      </c>
      <c r="E107" s="15" t="s">
        <v>80</v>
      </c>
      <c r="F107" s="15" t="s">
        <v>81</v>
      </c>
      <c r="G107" s="15" t="s">
        <v>25</v>
      </c>
      <c r="H107" s="15" t="s">
        <v>17</v>
      </c>
      <c r="I107" s="15" t="s">
        <v>26</v>
      </c>
      <c r="J107" s="15" t="s">
        <v>244</v>
      </c>
      <c r="K107" s="15">
        <v>33</v>
      </c>
      <c r="L107" s="16">
        <v>60</v>
      </c>
      <c r="M107" s="17">
        <v>1980</v>
      </c>
      <c r="N107" s="15" t="s">
        <v>367</v>
      </c>
      <c r="O107" s="15" t="s">
        <v>19</v>
      </c>
      <c r="Q107"/>
    </row>
    <row r="108" spans="1:17" ht="15.6" x14ac:dyDescent="0.3">
      <c r="A108" s="11">
        <v>10110</v>
      </c>
      <c r="B108" s="10">
        <v>37698</v>
      </c>
      <c r="C108" s="10" t="s">
        <v>285</v>
      </c>
      <c r="D108" s="11" t="s">
        <v>79</v>
      </c>
      <c r="E108" s="11" t="s">
        <v>80</v>
      </c>
      <c r="F108" s="11" t="s">
        <v>81</v>
      </c>
      <c r="G108" s="11" t="s">
        <v>25</v>
      </c>
      <c r="H108" s="11" t="s">
        <v>17</v>
      </c>
      <c r="I108" s="11" t="s">
        <v>82</v>
      </c>
      <c r="J108" s="11" t="s">
        <v>270</v>
      </c>
      <c r="K108" s="11">
        <v>31</v>
      </c>
      <c r="L108" s="12">
        <v>75</v>
      </c>
      <c r="M108" s="13">
        <v>2325</v>
      </c>
      <c r="N108" s="11" t="s">
        <v>367</v>
      </c>
      <c r="O108" s="11" t="s">
        <v>19</v>
      </c>
      <c r="Q108"/>
    </row>
    <row r="109" spans="1:17" ht="15.6" x14ac:dyDescent="0.3">
      <c r="A109" s="15">
        <v>10110</v>
      </c>
      <c r="B109" s="14">
        <v>37698</v>
      </c>
      <c r="C109" s="14" t="s">
        <v>285</v>
      </c>
      <c r="D109" s="15" t="s">
        <v>79</v>
      </c>
      <c r="E109" s="15" t="s">
        <v>80</v>
      </c>
      <c r="F109" s="15" t="s">
        <v>81</v>
      </c>
      <c r="G109" s="15" t="s">
        <v>25</v>
      </c>
      <c r="H109" s="15" t="s">
        <v>17</v>
      </c>
      <c r="I109" s="15" t="s">
        <v>82</v>
      </c>
      <c r="J109" s="15" t="s">
        <v>270</v>
      </c>
      <c r="K109" s="15">
        <v>28</v>
      </c>
      <c r="L109" s="16">
        <v>75</v>
      </c>
      <c r="M109" s="17">
        <v>2100</v>
      </c>
      <c r="N109" s="15" t="s">
        <v>367</v>
      </c>
      <c r="O109" s="15" t="s">
        <v>19</v>
      </c>
      <c r="Q109"/>
    </row>
    <row r="110" spans="1:17" ht="15.6" x14ac:dyDescent="0.3">
      <c r="A110" s="11">
        <v>10110</v>
      </c>
      <c r="B110" s="10">
        <v>37698</v>
      </c>
      <c r="C110" s="10" t="s">
        <v>285</v>
      </c>
      <c r="D110" s="11" t="s">
        <v>79</v>
      </c>
      <c r="E110" s="11" t="s">
        <v>80</v>
      </c>
      <c r="F110" s="11" t="s">
        <v>81</v>
      </c>
      <c r="G110" s="11" t="s">
        <v>25</v>
      </c>
      <c r="H110" s="11" t="s">
        <v>32</v>
      </c>
      <c r="I110" s="11" t="s">
        <v>33</v>
      </c>
      <c r="J110" s="11" t="s">
        <v>245</v>
      </c>
      <c r="K110" s="11">
        <v>42</v>
      </c>
      <c r="L110" s="12">
        <v>85</v>
      </c>
      <c r="M110" s="13">
        <v>3570</v>
      </c>
      <c r="N110" s="11" t="s">
        <v>367</v>
      </c>
      <c r="O110" s="11" t="s">
        <v>19</v>
      </c>
      <c r="Q110"/>
    </row>
    <row r="111" spans="1:17" ht="15.6" x14ac:dyDescent="0.3">
      <c r="A111" s="15">
        <v>10110</v>
      </c>
      <c r="B111" s="14">
        <v>37698</v>
      </c>
      <c r="C111" s="14" t="s">
        <v>285</v>
      </c>
      <c r="D111" s="15" t="s">
        <v>79</v>
      </c>
      <c r="E111" s="15" t="s">
        <v>80</v>
      </c>
      <c r="F111" s="15" t="s">
        <v>81</v>
      </c>
      <c r="G111" s="15" t="s">
        <v>25</v>
      </c>
      <c r="H111" s="15" t="s">
        <v>32</v>
      </c>
      <c r="I111" s="15" t="s">
        <v>44</v>
      </c>
      <c r="J111" s="15" t="s">
        <v>252</v>
      </c>
      <c r="K111" s="15">
        <v>36</v>
      </c>
      <c r="L111" s="16">
        <v>55</v>
      </c>
      <c r="M111" s="17">
        <v>1980</v>
      </c>
      <c r="N111" s="15" t="s">
        <v>367</v>
      </c>
      <c r="O111" s="15" t="s">
        <v>19</v>
      </c>
      <c r="Q111"/>
    </row>
    <row r="112" spans="1:17" ht="15.6" x14ac:dyDescent="0.3">
      <c r="A112" s="11">
        <v>10110</v>
      </c>
      <c r="B112" s="10">
        <v>37698</v>
      </c>
      <c r="C112" s="10" t="s">
        <v>285</v>
      </c>
      <c r="D112" s="11" t="s">
        <v>79</v>
      </c>
      <c r="E112" s="11" t="s">
        <v>80</v>
      </c>
      <c r="F112" s="11" t="s">
        <v>81</v>
      </c>
      <c r="G112" s="11" t="s">
        <v>25</v>
      </c>
      <c r="H112" s="11" t="s">
        <v>32</v>
      </c>
      <c r="I112" s="11" t="s">
        <v>33</v>
      </c>
      <c r="J112" s="11" t="s">
        <v>245</v>
      </c>
      <c r="K112" s="11">
        <v>29</v>
      </c>
      <c r="L112" s="12">
        <v>85</v>
      </c>
      <c r="M112" s="13">
        <v>2465</v>
      </c>
      <c r="N112" s="11" t="s">
        <v>367</v>
      </c>
      <c r="O112" s="11" t="s">
        <v>19</v>
      </c>
      <c r="Q112"/>
    </row>
    <row r="113" spans="1:17" ht="15.6" x14ac:dyDescent="0.3">
      <c r="A113" s="15">
        <v>10110</v>
      </c>
      <c r="B113" s="14">
        <v>37698</v>
      </c>
      <c r="C113" s="14" t="s">
        <v>285</v>
      </c>
      <c r="D113" s="15" t="s">
        <v>79</v>
      </c>
      <c r="E113" s="15" t="s">
        <v>80</v>
      </c>
      <c r="F113" s="15" t="s">
        <v>81</v>
      </c>
      <c r="G113" s="15" t="s">
        <v>25</v>
      </c>
      <c r="H113" s="15" t="s">
        <v>17</v>
      </c>
      <c r="I113" s="15" t="s">
        <v>20</v>
      </c>
      <c r="J113" s="15" t="s">
        <v>242</v>
      </c>
      <c r="K113" s="15">
        <v>20</v>
      </c>
      <c r="L113" s="16">
        <v>48</v>
      </c>
      <c r="M113" s="17">
        <v>960</v>
      </c>
      <c r="N113" s="15" t="s">
        <v>367</v>
      </c>
      <c r="O113" s="15" t="s">
        <v>19</v>
      </c>
      <c r="Q113"/>
    </row>
    <row r="114" spans="1:17" ht="15.6" x14ac:dyDescent="0.3">
      <c r="A114" s="11">
        <v>10110</v>
      </c>
      <c r="B114" s="10">
        <v>37698</v>
      </c>
      <c r="C114" s="10" t="s">
        <v>285</v>
      </c>
      <c r="D114" s="11" t="s">
        <v>79</v>
      </c>
      <c r="E114" s="11" t="s">
        <v>80</v>
      </c>
      <c r="F114" s="11" t="s">
        <v>81</v>
      </c>
      <c r="G114" s="11" t="s">
        <v>25</v>
      </c>
      <c r="H114" s="11" t="s">
        <v>17</v>
      </c>
      <c r="I114" s="11" t="s">
        <v>82</v>
      </c>
      <c r="J114" s="11" t="s">
        <v>270</v>
      </c>
      <c r="K114" s="11">
        <v>39</v>
      </c>
      <c r="L114" s="12">
        <v>75</v>
      </c>
      <c r="M114" s="13">
        <v>2925</v>
      </c>
      <c r="N114" s="11" t="s">
        <v>367</v>
      </c>
      <c r="O114" s="11" t="s">
        <v>19</v>
      </c>
      <c r="Q114"/>
    </row>
    <row r="115" spans="1:17" ht="15.6" x14ac:dyDescent="0.3">
      <c r="A115" s="15">
        <v>10110</v>
      </c>
      <c r="B115" s="14">
        <v>37698</v>
      </c>
      <c r="C115" s="14" t="s">
        <v>285</v>
      </c>
      <c r="D115" s="15" t="s">
        <v>79</v>
      </c>
      <c r="E115" s="15" t="s">
        <v>80</v>
      </c>
      <c r="F115" s="15" t="s">
        <v>81</v>
      </c>
      <c r="G115" s="15" t="s">
        <v>25</v>
      </c>
      <c r="H115" s="15" t="s">
        <v>32</v>
      </c>
      <c r="I115" s="15" t="s">
        <v>44</v>
      </c>
      <c r="J115" s="15" t="s">
        <v>252</v>
      </c>
      <c r="K115" s="15">
        <v>43</v>
      </c>
      <c r="L115" s="16">
        <v>55</v>
      </c>
      <c r="M115" s="17">
        <v>2365</v>
      </c>
      <c r="N115" s="15" t="s">
        <v>367</v>
      </c>
      <c r="O115" s="15" t="s">
        <v>19</v>
      </c>
      <c r="Q115"/>
    </row>
    <row r="116" spans="1:17" ht="15.6" x14ac:dyDescent="0.3">
      <c r="A116" s="11">
        <v>10110</v>
      </c>
      <c r="B116" s="10">
        <v>37698</v>
      </c>
      <c r="C116" s="10" t="s">
        <v>285</v>
      </c>
      <c r="D116" s="11" t="s">
        <v>79</v>
      </c>
      <c r="E116" s="11" t="s">
        <v>80</v>
      </c>
      <c r="F116" s="11" t="s">
        <v>81</v>
      </c>
      <c r="G116" s="11" t="s">
        <v>25</v>
      </c>
      <c r="H116" s="11" t="s">
        <v>32</v>
      </c>
      <c r="I116" s="11" t="s">
        <v>34</v>
      </c>
      <c r="J116" s="11" t="s">
        <v>246</v>
      </c>
      <c r="K116" s="11">
        <v>46</v>
      </c>
      <c r="L116" s="12">
        <v>80</v>
      </c>
      <c r="M116" s="13">
        <v>3680</v>
      </c>
      <c r="N116" s="11" t="s">
        <v>367</v>
      </c>
      <c r="O116" s="11" t="s">
        <v>19</v>
      </c>
      <c r="Q116"/>
    </row>
    <row r="117" spans="1:17" ht="15.6" x14ac:dyDescent="0.3">
      <c r="A117" s="15">
        <v>10110</v>
      </c>
      <c r="B117" s="14">
        <v>37698</v>
      </c>
      <c r="C117" s="14" t="s">
        <v>285</v>
      </c>
      <c r="D117" s="15" t="s">
        <v>79</v>
      </c>
      <c r="E117" s="15" t="s">
        <v>80</v>
      </c>
      <c r="F117" s="15" t="s">
        <v>81</v>
      </c>
      <c r="G117" s="15" t="s">
        <v>25</v>
      </c>
      <c r="H117" s="15" t="s">
        <v>32</v>
      </c>
      <c r="I117" s="15" t="s">
        <v>33</v>
      </c>
      <c r="J117" s="15" t="s">
        <v>245</v>
      </c>
      <c r="K117" s="15">
        <v>27</v>
      </c>
      <c r="L117" s="16">
        <v>85</v>
      </c>
      <c r="M117" s="17">
        <v>2295</v>
      </c>
      <c r="N117" s="15" t="s">
        <v>367</v>
      </c>
      <c r="O117" s="15" t="s">
        <v>19</v>
      </c>
      <c r="Q117"/>
    </row>
    <row r="118" spans="1:17" ht="15.6" x14ac:dyDescent="0.3">
      <c r="A118" s="11">
        <v>10110</v>
      </c>
      <c r="B118" s="10">
        <v>37698</v>
      </c>
      <c r="C118" s="10" t="s">
        <v>285</v>
      </c>
      <c r="D118" s="11" t="s">
        <v>79</v>
      </c>
      <c r="E118" s="11" t="s">
        <v>80</v>
      </c>
      <c r="F118" s="11" t="s">
        <v>81</v>
      </c>
      <c r="G118" s="11" t="s">
        <v>25</v>
      </c>
      <c r="H118" s="11" t="s">
        <v>32</v>
      </c>
      <c r="I118" s="11" t="s">
        <v>33</v>
      </c>
      <c r="J118" s="11" t="s">
        <v>245</v>
      </c>
      <c r="K118" s="11">
        <v>37</v>
      </c>
      <c r="L118" s="12">
        <v>85</v>
      </c>
      <c r="M118" s="13">
        <v>3145</v>
      </c>
      <c r="N118" s="11" t="s">
        <v>367</v>
      </c>
      <c r="O118" s="11" t="s">
        <v>19</v>
      </c>
      <c r="Q118"/>
    </row>
    <row r="119" spans="1:17" ht="15.6" x14ac:dyDescent="0.3">
      <c r="A119" s="15">
        <v>10110</v>
      </c>
      <c r="B119" s="14">
        <v>37698</v>
      </c>
      <c r="C119" s="14" t="s">
        <v>285</v>
      </c>
      <c r="D119" s="15" t="s">
        <v>79</v>
      </c>
      <c r="E119" s="15" t="s">
        <v>80</v>
      </c>
      <c r="F119" s="15" t="s">
        <v>81</v>
      </c>
      <c r="G119" s="15" t="s">
        <v>25</v>
      </c>
      <c r="H119" s="15" t="s">
        <v>17</v>
      </c>
      <c r="I119" s="15" t="s">
        <v>20</v>
      </c>
      <c r="J119" s="15" t="s">
        <v>242</v>
      </c>
      <c r="K119" s="15">
        <v>48</v>
      </c>
      <c r="L119" s="16">
        <v>48</v>
      </c>
      <c r="M119" s="17">
        <v>2304</v>
      </c>
      <c r="N119" s="15" t="s">
        <v>367</v>
      </c>
      <c r="O119" s="15" t="s">
        <v>19</v>
      </c>
      <c r="Q119"/>
    </row>
    <row r="120" spans="1:17" ht="15.6" x14ac:dyDescent="0.3">
      <c r="A120" s="11">
        <v>10112</v>
      </c>
      <c r="B120" s="10">
        <v>37704</v>
      </c>
      <c r="C120" s="10" t="s">
        <v>286</v>
      </c>
      <c r="D120" s="11" t="s">
        <v>83</v>
      </c>
      <c r="E120" s="11" t="s">
        <v>84</v>
      </c>
      <c r="F120" s="11" t="s">
        <v>85</v>
      </c>
      <c r="G120" s="11" t="s">
        <v>25</v>
      </c>
      <c r="H120" s="11" t="s">
        <v>32</v>
      </c>
      <c r="I120" s="11" t="s">
        <v>33</v>
      </c>
      <c r="J120" s="11" t="s">
        <v>245</v>
      </c>
      <c r="K120" s="11">
        <v>29</v>
      </c>
      <c r="L120" s="12">
        <v>85</v>
      </c>
      <c r="M120" s="13">
        <v>2465</v>
      </c>
      <c r="N120" s="11" t="s">
        <v>367</v>
      </c>
      <c r="O120" s="11" t="s">
        <v>19</v>
      </c>
      <c r="Q120"/>
    </row>
    <row r="121" spans="1:17" ht="15.6" x14ac:dyDescent="0.3">
      <c r="A121" s="15">
        <v>10112</v>
      </c>
      <c r="B121" s="14">
        <v>37704</v>
      </c>
      <c r="C121" s="14" t="s">
        <v>286</v>
      </c>
      <c r="D121" s="15" t="s">
        <v>83</v>
      </c>
      <c r="E121" s="15" t="s">
        <v>84</v>
      </c>
      <c r="F121" s="15" t="s">
        <v>85</v>
      </c>
      <c r="G121" s="15" t="s">
        <v>25</v>
      </c>
      <c r="H121" s="15" t="s">
        <v>17</v>
      </c>
      <c r="I121" s="15" t="s">
        <v>18</v>
      </c>
      <c r="J121" s="15" t="s">
        <v>241</v>
      </c>
      <c r="K121" s="15">
        <v>23</v>
      </c>
      <c r="L121" s="16">
        <v>30</v>
      </c>
      <c r="M121" s="17">
        <v>690</v>
      </c>
      <c r="N121" s="15" t="s">
        <v>367</v>
      </c>
      <c r="O121" s="15" t="s">
        <v>19</v>
      </c>
      <c r="Q121"/>
    </row>
    <row r="122" spans="1:17" ht="15.6" x14ac:dyDescent="0.3">
      <c r="A122" s="11">
        <v>10111</v>
      </c>
      <c r="B122" s="10">
        <v>37705</v>
      </c>
      <c r="C122" s="10" t="s">
        <v>287</v>
      </c>
      <c r="D122" s="11" t="s">
        <v>86</v>
      </c>
      <c r="E122" s="11" t="s">
        <v>87</v>
      </c>
      <c r="F122" s="11" t="s">
        <v>15</v>
      </c>
      <c r="G122" s="11" t="s">
        <v>16</v>
      </c>
      <c r="H122" s="11" t="s">
        <v>17</v>
      </c>
      <c r="I122" s="11" t="s">
        <v>20</v>
      </c>
      <c r="J122" s="11" t="s">
        <v>242</v>
      </c>
      <c r="K122" s="11">
        <v>33</v>
      </c>
      <c r="L122" s="12">
        <v>48</v>
      </c>
      <c r="M122" s="13">
        <v>1584</v>
      </c>
      <c r="N122" s="11" t="s">
        <v>367</v>
      </c>
      <c r="O122" s="11" t="s">
        <v>19</v>
      </c>
      <c r="Q122"/>
    </row>
    <row r="123" spans="1:17" ht="15.6" x14ac:dyDescent="0.3">
      <c r="A123" s="15">
        <v>10111</v>
      </c>
      <c r="B123" s="14">
        <v>37705</v>
      </c>
      <c r="C123" s="14" t="s">
        <v>287</v>
      </c>
      <c r="D123" s="15" t="s">
        <v>86</v>
      </c>
      <c r="E123" s="15" t="s">
        <v>87</v>
      </c>
      <c r="F123" s="15" t="s">
        <v>15</v>
      </c>
      <c r="G123" s="15" t="s">
        <v>16</v>
      </c>
      <c r="H123" s="15" t="s">
        <v>17</v>
      </c>
      <c r="I123" s="15" t="s">
        <v>26</v>
      </c>
      <c r="J123" s="15" t="s">
        <v>244</v>
      </c>
      <c r="K123" s="15">
        <v>48</v>
      </c>
      <c r="L123" s="16">
        <v>60</v>
      </c>
      <c r="M123" s="17">
        <v>2880</v>
      </c>
      <c r="N123" s="15" t="s">
        <v>367</v>
      </c>
      <c r="O123" s="15" t="s">
        <v>19</v>
      </c>
      <c r="Q123"/>
    </row>
    <row r="124" spans="1:17" ht="15.6" x14ac:dyDescent="0.3">
      <c r="A124" s="11">
        <v>10111</v>
      </c>
      <c r="B124" s="10">
        <v>37705</v>
      </c>
      <c r="C124" s="10" t="s">
        <v>287</v>
      </c>
      <c r="D124" s="11" t="s">
        <v>86</v>
      </c>
      <c r="E124" s="11" t="s">
        <v>87</v>
      </c>
      <c r="F124" s="11" t="s">
        <v>15</v>
      </c>
      <c r="G124" s="11" t="s">
        <v>16</v>
      </c>
      <c r="H124" s="11" t="s">
        <v>17</v>
      </c>
      <c r="I124" s="11" t="s">
        <v>21</v>
      </c>
      <c r="J124" s="11" t="s">
        <v>243</v>
      </c>
      <c r="K124" s="11">
        <v>28</v>
      </c>
      <c r="L124" s="12">
        <v>110</v>
      </c>
      <c r="M124" s="13">
        <v>3080</v>
      </c>
      <c r="N124" s="11" t="s">
        <v>367</v>
      </c>
      <c r="O124" s="11" t="s">
        <v>19</v>
      </c>
      <c r="Q124"/>
    </row>
    <row r="125" spans="1:17" ht="15.6" x14ac:dyDescent="0.3">
      <c r="A125" s="15">
        <v>10111</v>
      </c>
      <c r="B125" s="14">
        <v>37705</v>
      </c>
      <c r="C125" s="14" t="s">
        <v>287</v>
      </c>
      <c r="D125" s="15" t="s">
        <v>86</v>
      </c>
      <c r="E125" s="15" t="s">
        <v>87</v>
      </c>
      <c r="F125" s="15" t="s">
        <v>15</v>
      </c>
      <c r="G125" s="15" t="s">
        <v>16</v>
      </c>
      <c r="H125" s="15" t="s">
        <v>17</v>
      </c>
      <c r="I125" s="15" t="s">
        <v>26</v>
      </c>
      <c r="J125" s="15" t="s">
        <v>244</v>
      </c>
      <c r="K125" s="15">
        <v>43</v>
      </c>
      <c r="L125" s="16">
        <v>60</v>
      </c>
      <c r="M125" s="17">
        <v>2580</v>
      </c>
      <c r="N125" s="15" t="s">
        <v>367</v>
      </c>
      <c r="O125" s="15" t="s">
        <v>19</v>
      </c>
      <c r="Q125"/>
    </row>
    <row r="126" spans="1:17" ht="15.6" x14ac:dyDescent="0.3">
      <c r="A126" s="11">
        <v>10111</v>
      </c>
      <c r="B126" s="10">
        <v>37705</v>
      </c>
      <c r="C126" s="10" t="s">
        <v>287</v>
      </c>
      <c r="D126" s="11" t="s">
        <v>86</v>
      </c>
      <c r="E126" s="11" t="s">
        <v>87</v>
      </c>
      <c r="F126" s="11" t="s">
        <v>15</v>
      </c>
      <c r="G126" s="11" t="s">
        <v>16</v>
      </c>
      <c r="H126" s="11" t="s">
        <v>17</v>
      </c>
      <c r="I126" s="11" t="s">
        <v>20</v>
      </c>
      <c r="J126" s="11" t="s">
        <v>242</v>
      </c>
      <c r="K126" s="11">
        <v>39</v>
      </c>
      <c r="L126" s="12">
        <v>48</v>
      </c>
      <c r="M126" s="13">
        <v>1872</v>
      </c>
      <c r="N126" s="11" t="s">
        <v>367</v>
      </c>
      <c r="O126" s="11" t="s">
        <v>19</v>
      </c>
      <c r="Q126"/>
    </row>
    <row r="127" spans="1:17" ht="15.6" x14ac:dyDescent="0.3">
      <c r="A127" s="15">
        <v>10111</v>
      </c>
      <c r="B127" s="14">
        <v>37705</v>
      </c>
      <c r="C127" s="14" t="s">
        <v>287</v>
      </c>
      <c r="D127" s="15" t="s">
        <v>86</v>
      </c>
      <c r="E127" s="15" t="s">
        <v>87</v>
      </c>
      <c r="F127" s="15" t="s">
        <v>15</v>
      </c>
      <c r="G127" s="15" t="s">
        <v>16</v>
      </c>
      <c r="H127" s="15" t="s">
        <v>17</v>
      </c>
      <c r="I127" s="15" t="s">
        <v>82</v>
      </c>
      <c r="J127" s="15" t="s">
        <v>270</v>
      </c>
      <c r="K127" s="15">
        <v>26</v>
      </c>
      <c r="L127" s="16">
        <v>75</v>
      </c>
      <c r="M127" s="17">
        <v>1950</v>
      </c>
      <c r="N127" s="15" t="s">
        <v>367</v>
      </c>
      <c r="O127" s="15" t="s">
        <v>19</v>
      </c>
      <c r="Q127"/>
    </row>
    <row r="128" spans="1:17" ht="15.6" x14ac:dyDescent="0.3">
      <c r="A128" s="11">
        <v>10113</v>
      </c>
      <c r="B128" s="10">
        <v>37706</v>
      </c>
      <c r="C128" s="10" t="s">
        <v>288</v>
      </c>
      <c r="D128" s="11" t="s">
        <v>88</v>
      </c>
      <c r="E128" s="11" t="s">
        <v>89</v>
      </c>
      <c r="F128" s="11" t="s">
        <v>15</v>
      </c>
      <c r="G128" s="11" t="s">
        <v>16</v>
      </c>
      <c r="H128" s="11" t="s">
        <v>35</v>
      </c>
      <c r="I128" s="11" t="s">
        <v>39</v>
      </c>
      <c r="J128" s="11" t="s">
        <v>250</v>
      </c>
      <c r="K128" s="11">
        <v>21</v>
      </c>
      <c r="L128" s="12">
        <v>20</v>
      </c>
      <c r="M128" s="13">
        <v>420</v>
      </c>
      <c r="N128" s="11" t="s">
        <v>367</v>
      </c>
      <c r="O128" s="11" t="s">
        <v>19</v>
      </c>
      <c r="Q128"/>
    </row>
    <row r="129" spans="1:17" ht="15.6" x14ac:dyDescent="0.3">
      <c r="A129" s="15">
        <v>10113</v>
      </c>
      <c r="B129" s="14">
        <v>37706</v>
      </c>
      <c r="C129" s="14" t="s">
        <v>288</v>
      </c>
      <c r="D129" s="15" t="s">
        <v>88</v>
      </c>
      <c r="E129" s="15" t="s">
        <v>89</v>
      </c>
      <c r="F129" s="15" t="s">
        <v>15</v>
      </c>
      <c r="G129" s="15" t="s">
        <v>16</v>
      </c>
      <c r="H129" s="15" t="s">
        <v>35</v>
      </c>
      <c r="I129" s="15" t="s">
        <v>40</v>
      </c>
      <c r="J129" s="15" t="s">
        <v>251</v>
      </c>
      <c r="K129" s="15">
        <v>49</v>
      </c>
      <c r="L129" s="16">
        <v>25</v>
      </c>
      <c r="M129" s="17">
        <v>1225</v>
      </c>
      <c r="N129" s="15" t="s">
        <v>367</v>
      </c>
      <c r="O129" s="15" t="s">
        <v>19</v>
      </c>
      <c r="Q129"/>
    </row>
    <row r="130" spans="1:17" ht="15.6" x14ac:dyDescent="0.3">
      <c r="A130" s="11">
        <v>10113</v>
      </c>
      <c r="B130" s="10">
        <v>37706</v>
      </c>
      <c r="C130" s="10" t="s">
        <v>288</v>
      </c>
      <c r="D130" s="11" t="s">
        <v>88</v>
      </c>
      <c r="E130" s="11" t="s">
        <v>89</v>
      </c>
      <c r="F130" s="11" t="s">
        <v>15</v>
      </c>
      <c r="G130" s="11" t="s">
        <v>16</v>
      </c>
      <c r="H130" s="11" t="s">
        <v>17</v>
      </c>
      <c r="I130" s="11" t="s">
        <v>20</v>
      </c>
      <c r="J130" s="11" t="s">
        <v>242</v>
      </c>
      <c r="K130" s="11">
        <v>50</v>
      </c>
      <c r="L130" s="12">
        <v>48</v>
      </c>
      <c r="M130" s="13">
        <v>2400</v>
      </c>
      <c r="N130" s="11" t="s">
        <v>368</v>
      </c>
      <c r="O130" s="11" t="s">
        <v>19</v>
      </c>
      <c r="Q130"/>
    </row>
    <row r="131" spans="1:17" ht="15.6" x14ac:dyDescent="0.3">
      <c r="A131" s="15">
        <v>10113</v>
      </c>
      <c r="B131" s="14">
        <v>37706</v>
      </c>
      <c r="C131" s="14" t="s">
        <v>288</v>
      </c>
      <c r="D131" s="15" t="s">
        <v>88</v>
      </c>
      <c r="E131" s="15" t="s">
        <v>89</v>
      </c>
      <c r="F131" s="15" t="s">
        <v>15</v>
      </c>
      <c r="G131" s="15" t="s">
        <v>16</v>
      </c>
      <c r="H131" s="15" t="s">
        <v>35</v>
      </c>
      <c r="I131" s="15" t="s">
        <v>37</v>
      </c>
      <c r="J131" s="15" t="s">
        <v>248</v>
      </c>
      <c r="K131" s="15">
        <v>23</v>
      </c>
      <c r="L131" s="16">
        <v>30</v>
      </c>
      <c r="M131" s="17">
        <v>690</v>
      </c>
      <c r="N131" s="15" t="s">
        <v>367</v>
      </c>
      <c r="O131" s="15" t="s">
        <v>19</v>
      </c>
      <c r="Q131"/>
    </row>
    <row r="132" spans="1:17" ht="15.6" x14ac:dyDescent="0.3">
      <c r="A132" s="11">
        <v>10114</v>
      </c>
      <c r="B132" s="10">
        <v>37712</v>
      </c>
      <c r="C132" s="10" t="s">
        <v>289</v>
      </c>
      <c r="D132" s="11" t="s">
        <v>90</v>
      </c>
      <c r="E132" s="11" t="s">
        <v>91</v>
      </c>
      <c r="F132" s="11" t="s">
        <v>92</v>
      </c>
      <c r="G132" s="11" t="s">
        <v>25</v>
      </c>
      <c r="H132" s="11" t="s">
        <v>32</v>
      </c>
      <c r="I132" s="11" t="s">
        <v>46</v>
      </c>
      <c r="J132" s="11" t="s">
        <v>254</v>
      </c>
      <c r="K132" s="11">
        <v>31</v>
      </c>
      <c r="L132" s="12">
        <v>90</v>
      </c>
      <c r="M132" s="13">
        <v>2790</v>
      </c>
      <c r="N132" s="11" t="s">
        <v>367</v>
      </c>
      <c r="O132" s="11" t="s">
        <v>19</v>
      </c>
      <c r="Q132"/>
    </row>
    <row r="133" spans="1:17" ht="15.6" x14ac:dyDescent="0.3">
      <c r="A133" s="15">
        <v>10114</v>
      </c>
      <c r="B133" s="14">
        <v>37712</v>
      </c>
      <c r="C133" s="14" t="s">
        <v>289</v>
      </c>
      <c r="D133" s="15" t="s">
        <v>90</v>
      </c>
      <c r="E133" s="15" t="s">
        <v>91</v>
      </c>
      <c r="F133" s="15" t="s">
        <v>92</v>
      </c>
      <c r="G133" s="15" t="s">
        <v>25</v>
      </c>
      <c r="H133" s="15" t="s">
        <v>35</v>
      </c>
      <c r="I133" s="15" t="s">
        <v>39</v>
      </c>
      <c r="J133" s="15" t="s">
        <v>250</v>
      </c>
      <c r="K133" s="15">
        <v>39</v>
      </c>
      <c r="L133" s="16">
        <v>20</v>
      </c>
      <c r="M133" s="17">
        <v>780</v>
      </c>
      <c r="N133" s="15" t="s">
        <v>367</v>
      </c>
      <c r="O133" s="15" t="s">
        <v>19</v>
      </c>
      <c r="Q133"/>
    </row>
    <row r="134" spans="1:17" ht="15.6" x14ac:dyDescent="0.3">
      <c r="A134" s="11">
        <v>10114</v>
      </c>
      <c r="B134" s="10">
        <v>37712</v>
      </c>
      <c r="C134" s="10" t="s">
        <v>289</v>
      </c>
      <c r="D134" s="11" t="s">
        <v>90</v>
      </c>
      <c r="E134" s="11" t="s">
        <v>91</v>
      </c>
      <c r="F134" s="11" t="s">
        <v>92</v>
      </c>
      <c r="G134" s="11" t="s">
        <v>25</v>
      </c>
      <c r="H134" s="11" t="s">
        <v>35</v>
      </c>
      <c r="I134" s="11" t="s">
        <v>40</v>
      </c>
      <c r="J134" s="11" t="s">
        <v>251</v>
      </c>
      <c r="K134" s="11">
        <v>45</v>
      </c>
      <c r="L134" s="12">
        <v>25</v>
      </c>
      <c r="M134" s="13">
        <v>1125</v>
      </c>
      <c r="N134" s="11" t="s">
        <v>367</v>
      </c>
      <c r="O134" s="11" t="s">
        <v>19</v>
      </c>
      <c r="Q134"/>
    </row>
    <row r="135" spans="1:17" ht="15.6" x14ac:dyDescent="0.3">
      <c r="A135" s="15">
        <v>10114</v>
      </c>
      <c r="B135" s="14">
        <v>37712</v>
      </c>
      <c r="C135" s="14" t="s">
        <v>289</v>
      </c>
      <c r="D135" s="15" t="s">
        <v>90</v>
      </c>
      <c r="E135" s="15" t="s">
        <v>91</v>
      </c>
      <c r="F135" s="15" t="s">
        <v>92</v>
      </c>
      <c r="G135" s="15" t="s">
        <v>25</v>
      </c>
      <c r="H135" s="15" t="s">
        <v>32</v>
      </c>
      <c r="I135" s="15" t="s">
        <v>44</v>
      </c>
      <c r="J135" s="15" t="s">
        <v>252</v>
      </c>
      <c r="K135" s="15">
        <v>48</v>
      </c>
      <c r="L135" s="16">
        <v>55</v>
      </c>
      <c r="M135" s="17">
        <v>2640</v>
      </c>
      <c r="N135" s="15" t="s">
        <v>367</v>
      </c>
      <c r="O135" s="15" t="s">
        <v>19</v>
      </c>
      <c r="Q135"/>
    </row>
    <row r="136" spans="1:17" ht="15.6" x14ac:dyDescent="0.3">
      <c r="A136" s="11">
        <v>10114</v>
      </c>
      <c r="B136" s="10">
        <v>37712</v>
      </c>
      <c r="C136" s="10" t="s">
        <v>289</v>
      </c>
      <c r="D136" s="11" t="s">
        <v>90</v>
      </c>
      <c r="E136" s="11" t="s">
        <v>91</v>
      </c>
      <c r="F136" s="11" t="s">
        <v>92</v>
      </c>
      <c r="G136" s="11" t="s">
        <v>25</v>
      </c>
      <c r="H136" s="11" t="s">
        <v>35</v>
      </c>
      <c r="I136" s="11" t="s">
        <v>38</v>
      </c>
      <c r="J136" s="11" t="s">
        <v>249</v>
      </c>
      <c r="K136" s="11">
        <v>41</v>
      </c>
      <c r="L136" s="12">
        <v>20</v>
      </c>
      <c r="M136" s="13">
        <v>820</v>
      </c>
      <c r="N136" s="11" t="s">
        <v>367</v>
      </c>
      <c r="O136" s="11" t="s">
        <v>19</v>
      </c>
      <c r="Q136"/>
    </row>
    <row r="137" spans="1:17" ht="15.6" x14ac:dyDescent="0.3">
      <c r="A137" s="15">
        <v>10114</v>
      </c>
      <c r="B137" s="14">
        <v>37712</v>
      </c>
      <c r="C137" s="14" t="s">
        <v>289</v>
      </c>
      <c r="D137" s="15" t="s">
        <v>90</v>
      </c>
      <c r="E137" s="15" t="s">
        <v>91</v>
      </c>
      <c r="F137" s="15" t="s">
        <v>92</v>
      </c>
      <c r="G137" s="15" t="s">
        <v>25</v>
      </c>
      <c r="H137" s="15" t="s">
        <v>35</v>
      </c>
      <c r="I137" s="15" t="s">
        <v>36</v>
      </c>
      <c r="J137" s="15" t="s">
        <v>247</v>
      </c>
      <c r="K137" s="15">
        <v>21</v>
      </c>
      <c r="L137" s="16">
        <v>30</v>
      </c>
      <c r="M137" s="17">
        <v>630</v>
      </c>
      <c r="N137" s="15" t="s">
        <v>367</v>
      </c>
      <c r="O137" s="15" t="s">
        <v>19</v>
      </c>
      <c r="Q137"/>
    </row>
    <row r="138" spans="1:17" ht="15.6" x14ac:dyDescent="0.3">
      <c r="A138" s="11">
        <v>10114</v>
      </c>
      <c r="B138" s="10">
        <v>37712</v>
      </c>
      <c r="C138" s="10" t="s">
        <v>289</v>
      </c>
      <c r="D138" s="11" t="s">
        <v>90</v>
      </c>
      <c r="E138" s="11" t="s">
        <v>91</v>
      </c>
      <c r="F138" s="11" t="s">
        <v>92</v>
      </c>
      <c r="G138" s="11" t="s">
        <v>25</v>
      </c>
      <c r="H138" s="11" t="s">
        <v>32</v>
      </c>
      <c r="I138" s="11" t="s">
        <v>33</v>
      </c>
      <c r="J138" s="11" t="s">
        <v>245</v>
      </c>
      <c r="K138" s="11">
        <v>24</v>
      </c>
      <c r="L138" s="12">
        <v>85</v>
      </c>
      <c r="M138" s="13">
        <v>2040</v>
      </c>
      <c r="N138" s="11" t="s">
        <v>367</v>
      </c>
      <c r="O138" s="11" t="s">
        <v>19</v>
      </c>
      <c r="Q138"/>
    </row>
    <row r="139" spans="1:17" ht="15.6" x14ac:dyDescent="0.3">
      <c r="A139" s="15">
        <v>10114</v>
      </c>
      <c r="B139" s="14">
        <v>37712</v>
      </c>
      <c r="C139" s="14" t="s">
        <v>289</v>
      </c>
      <c r="D139" s="15" t="s">
        <v>90</v>
      </c>
      <c r="E139" s="15" t="s">
        <v>91</v>
      </c>
      <c r="F139" s="15" t="s">
        <v>92</v>
      </c>
      <c r="G139" s="15" t="s">
        <v>25</v>
      </c>
      <c r="H139" s="15" t="s">
        <v>35</v>
      </c>
      <c r="I139" s="15" t="s">
        <v>38</v>
      </c>
      <c r="J139" s="15" t="s">
        <v>249</v>
      </c>
      <c r="K139" s="15">
        <v>32</v>
      </c>
      <c r="L139" s="16">
        <v>20</v>
      </c>
      <c r="M139" s="17">
        <v>640</v>
      </c>
      <c r="N139" s="15" t="s">
        <v>367</v>
      </c>
      <c r="O139" s="15" t="s">
        <v>19</v>
      </c>
      <c r="Q139"/>
    </row>
    <row r="140" spans="1:17" ht="15.6" x14ac:dyDescent="0.3">
      <c r="A140" s="11">
        <v>10114</v>
      </c>
      <c r="B140" s="10">
        <v>37712</v>
      </c>
      <c r="C140" s="10" t="s">
        <v>289</v>
      </c>
      <c r="D140" s="11" t="s">
        <v>90</v>
      </c>
      <c r="E140" s="11" t="s">
        <v>91</v>
      </c>
      <c r="F140" s="11" t="s">
        <v>92</v>
      </c>
      <c r="G140" s="11" t="s">
        <v>25</v>
      </c>
      <c r="H140" s="11" t="s">
        <v>35</v>
      </c>
      <c r="I140" s="11" t="s">
        <v>40</v>
      </c>
      <c r="J140" s="11" t="s">
        <v>251</v>
      </c>
      <c r="K140" s="11">
        <v>28</v>
      </c>
      <c r="L140" s="12">
        <v>25</v>
      </c>
      <c r="M140" s="13">
        <v>700</v>
      </c>
      <c r="N140" s="11" t="s">
        <v>367</v>
      </c>
      <c r="O140" s="11" t="s">
        <v>19</v>
      </c>
      <c r="Q140"/>
    </row>
    <row r="141" spans="1:17" ht="15.6" x14ac:dyDescent="0.3">
      <c r="A141" s="15">
        <v>10114</v>
      </c>
      <c r="B141" s="14">
        <v>37712</v>
      </c>
      <c r="C141" s="14" t="s">
        <v>289</v>
      </c>
      <c r="D141" s="15" t="s">
        <v>90</v>
      </c>
      <c r="E141" s="15" t="s">
        <v>91</v>
      </c>
      <c r="F141" s="15" t="s">
        <v>92</v>
      </c>
      <c r="G141" s="15" t="s">
        <v>25</v>
      </c>
      <c r="H141" s="15" t="s">
        <v>32</v>
      </c>
      <c r="I141" s="15" t="s">
        <v>45</v>
      </c>
      <c r="J141" s="15" t="s">
        <v>253</v>
      </c>
      <c r="K141" s="15">
        <v>42</v>
      </c>
      <c r="L141" s="16">
        <v>35</v>
      </c>
      <c r="M141" s="17">
        <v>1470</v>
      </c>
      <c r="N141" s="15" t="s">
        <v>367</v>
      </c>
      <c r="O141" s="15" t="s">
        <v>19</v>
      </c>
      <c r="Q141"/>
    </row>
    <row r="142" spans="1:17" ht="15.6" x14ac:dyDescent="0.3">
      <c r="A142" s="11">
        <v>10115</v>
      </c>
      <c r="B142" s="10">
        <v>37715</v>
      </c>
      <c r="C142" s="10" t="s">
        <v>290</v>
      </c>
      <c r="D142" s="11" t="s">
        <v>93</v>
      </c>
      <c r="E142" s="11" t="s">
        <v>28</v>
      </c>
      <c r="F142" s="11" t="s">
        <v>15</v>
      </c>
      <c r="G142" s="11" t="s">
        <v>16</v>
      </c>
      <c r="H142" s="11" t="s">
        <v>35</v>
      </c>
      <c r="I142" s="11" t="s">
        <v>39</v>
      </c>
      <c r="J142" s="11" t="s">
        <v>250</v>
      </c>
      <c r="K142" s="11">
        <v>46</v>
      </c>
      <c r="L142" s="12">
        <v>20</v>
      </c>
      <c r="M142" s="13">
        <v>920</v>
      </c>
      <c r="N142" s="11" t="s">
        <v>367</v>
      </c>
      <c r="O142" s="11" t="s">
        <v>19</v>
      </c>
      <c r="Q142"/>
    </row>
    <row r="143" spans="1:17" ht="15.6" x14ac:dyDescent="0.3">
      <c r="A143" s="15">
        <v>10115</v>
      </c>
      <c r="B143" s="14">
        <v>37715</v>
      </c>
      <c r="C143" s="14" t="s">
        <v>290</v>
      </c>
      <c r="D143" s="15" t="s">
        <v>93</v>
      </c>
      <c r="E143" s="15" t="s">
        <v>28</v>
      </c>
      <c r="F143" s="15" t="s">
        <v>15</v>
      </c>
      <c r="G143" s="15" t="s">
        <v>16</v>
      </c>
      <c r="H143" s="15" t="s">
        <v>32</v>
      </c>
      <c r="I143" s="15" t="s">
        <v>34</v>
      </c>
      <c r="J143" s="15" t="s">
        <v>246</v>
      </c>
      <c r="K143" s="15">
        <v>46</v>
      </c>
      <c r="L143" s="16">
        <v>80</v>
      </c>
      <c r="M143" s="17">
        <v>3680</v>
      </c>
      <c r="N143" s="15" t="s">
        <v>367</v>
      </c>
      <c r="O143" s="15" t="s">
        <v>19</v>
      </c>
      <c r="Q143"/>
    </row>
    <row r="144" spans="1:17" ht="15.6" x14ac:dyDescent="0.3">
      <c r="A144" s="11">
        <v>10115</v>
      </c>
      <c r="B144" s="10">
        <v>37715</v>
      </c>
      <c r="C144" s="10" t="s">
        <v>290</v>
      </c>
      <c r="D144" s="11" t="s">
        <v>93</v>
      </c>
      <c r="E144" s="11" t="s">
        <v>28</v>
      </c>
      <c r="F144" s="11" t="s">
        <v>15</v>
      </c>
      <c r="G144" s="11" t="s">
        <v>16</v>
      </c>
      <c r="H144" s="11" t="s">
        <v>32</v>
      </c>
      <c r="I144" s="11" t="s">
        <v>46</v>
      </c>
      <c r="J144" s="11" t="s">
        <v>254</v>
      </c>
      <c r="K144" s="11">
        <v>47</v>
      </c>
      <c r="L144" s="12">
        <v>90</v>
      </c>
      <c r="M144" s="13">
        <v>4230</v>
      </c>
      <c r="N144" s="11" t="s">
        <v>367</v>
      </c>
      <c r="O144" s="11" t="s">
        <v>19</v>
      </c>
      <c r="Q144"/>
    </row>
    <row r="145" spans="1:17" ht="15.6" x14ac:dyDescent="0.3">
      <c r="A145" s="15">
        <v>10115</v>
      </c>
      <c r="B145" s="14">
        <v>37715</v>
      </c>
      <c r="C145" s="14" t="s">
        <v>290</v>
      </c>
      <c r="D145" s="15" t="s">
        <v>93</v>
      </c>
      <c r="E145" s="15" t="s">
        <v>28</v>
      </c>
      <c r="F145" s="15" t="s">
        <v>15</v>
      </c>
      <c r="G145" s="15" t="s">
        <v>16</v>
      </c>
      <c r="H145" s="15" t="s">
        <v>32</v>
      </c>
      <c r="I145" s="15" t="s">
        <v>46</v>
      </c>
      <c r="J145" s="15" t="s">
        <v>254</v>
      </c>
      <c r="K145" s="15">
        <v>44</v>
      </c>
      <c r="L145" s="16">
        <v>90</v>
      </c>
      <c r="M145" s="17">
        <v>3960</v>
      </c>
      <c r="N145" s="15" t="s">
        <v>367</v>
      </c>
      <c r="O145" s="15" t="s">
        <v>19</v>
      </c>
      <c r="Q145"/>
    </row>
    <row r="146" spans="1:17" ht="15.6" x14ac:dyDescent="0.3">
      <c r="A146" s="11">
        <v>10115</v>
      </c>
      <c r="B146" s="10">
        <v>37715</v>
      </c>
      <c r="C146" s="10" t="s">
        <v>290</v>
      </c>
      <c r="D146" s="11" t="s">
        <v>93</v>
      </c>
      <c r="E146" s="11" t="s">
        <v>28</v>
      </c>
      <c r="F146" s="11" t="s">
        <v>15</v>
      </c>
      <c r="G146" s="11" t="s">
        <v>16</v>
      </c>
      <c r="H146" s="11" t="s">
        <v>35</v>
      </c>
      <c r="I146" s="11" t="s">
        <v>40</v>
      </c>
      <c r="J146" s="11" t="s">
        <v>251</v>
      </c>
      <c r="K146" s="11">
        <v>27</v>
      </c>
      <c r="L146" s="12">
        <v>25</v>
      </c>
      <c r="M146" s="13">
        <v>675</v>
      </c>
      <c r="N146" s="11" t="s">
        <v>367</v>
      </c>
      <c r="O146" s="11" t="s">
        <v>19</v>
      </c>
      <c r="Q146"/>
    </row>
    <row r="147" spans="1:17" ht="15.6" x14ac:dyDescent="0.3">
      <c r="A147" s="15">
        <v>10116</v>
      </c>
      <c r="B147" s="14">
        <v>37722</v>
      </c>
      <c r="C147" s="14" t="s">
        <v>291</v>
      </c>
      <c r="D147" s="15" t="s">
        <v>94</v>
      </c>
      <c r="E147" s="15" t="s">
        <v>95</v>
      </c>
      <c r="F147" s="15" t="s">
        <v>96</v>
      </c>
      <c r="G147" s="15" t="s">
        <v>25</v>
      </c>
      <c r="H147" s="15" t="s">
        <v>47</v>
      </c>
      <c r="I147" s="15" t="s">
        <v>48</v>
      </c>
      <c r="J147" s="15" t="s">
        <v>255</v>
      </c>
      <c r="K147" s="15">
        <v>27</v>
      </c>
      <c r="L147" s="16">
        <v>70</v>
      </c>
      <c r="M147" s="17">
        <v>1890</v>
      </c>
      <c r="N147" s="15" t="s">
        <v>367</v>
      </c>
      <c r="O147" s="15" t="s">
        <v>19</v>
      </c>
      <c r="Q147"/>
    </row>
    <row r="148" spans="1:17" ht="15.6" x14ac:dyDescent="0.3">
      <c r="A148" s="11">
        <v>10117</v>
      </c>
      <c r="B148" s="10">
        <v>37727</v>
      </c>
      <c r="C148" s="10" t="s">
        <v>292</v>
      </c>
      <c r="D148" s="11" t="s">
        <v>97</v>
      </c>
      <c r="E148" s="11" t="s">
        <v>98</v>
      </c>
      <c r="F148" s="11" t="s">
        <v>98</v>
      </c>
      <c r="G148" s="11" t="s">
        <v>74</v>
      </c>
      <c r="H148" s="11" t="s">
        <v>32</v>
      </c>
      <c r="I148" s="11" t="s">
        <v>33</v>
      </c>
      <c r="J148" s="11" t="s">
        <v>245</v>
      </c>
      <c r="K148" s="11">
        <v>33</v>
      </c>
      <c r="L148" s="12">
        <v>85</v>
      </c>
      <c r="M148" s="13">
        <v>2805</v>
      </c>
      <c r="N148" s="11" t="s">
        <v>367</v>
      </c>
      <c r="O148" s="11" t="s">
        <v>19</v>
      </c>
      <c r="Q148"/>
    </row>
    <row r="149" spans="1:17" ht="15.6" x14ac:dyDescent="0.3">
      <c r="A149" s="15">
        <v>10117</v>
      </c>
      <c r="B149" s="14">
        <v>37727</v>
      </c>
      <c r="C149" s="14" t="s">
        <v>292</v>
      </c>
      <c r="D149" s="15" t="s">
        <v>97</v>
      </c>
      <c r="E149" s="15" t="s">
        <v>98</v>
      </c>
      <c r="F149" s="15" t="s">
        <v>98</v>
      </c>
      <c r="G149" s="15" t="s">
        <v>74</v>
      </c>
      <c r="H149" s="15" t="s">
        <v>32</v>
      </c>
      <c r="I149" s="15" t="s">
        <v>44</v>
      </c>
      <c r="J149" s="15" t="s">
        <v>252</v>
      </c>
      <c r="K149" s="15">
        <v>43</v>
      </c>
      <c r="L149" s="16">
        <v>55</v>
      </c>
      <c r="M149" s="17">
        <v>2365</v>
      </c>
      <c r="N149" s="15" t="s">
        <v>367</v>
      </c>
      <c r="O149" s="15" t="s">
        <v>19</v>
      </c>
      <c r="Q149"/>
    </row>
    <row r="150" spans="1:17" ht="15.6" x14ac:dyDescent="0.3">
      <c r="A150" s="11">
        <v>10117</v>
      </c>
      <c r="B150" s="10">
        <v>37727</v>
      </c>
      <c r="C150" s="10" t="s">
        <v>292</v>
      </c>
      <c r="D150" s="11" t="s">
        <v>97</v>
      </c>
      <c r="E150" s="11" t="s">
        <v>98</v>
      </c>
      <c r="F150" s="11" t="s">
        <v>98</v>
      </c>
      <c r="G150" s="11" t="s">
        <v>74</v>
      </c>
      <c r="H150" s="11" t="s">
        <v>32</v>
      </c>
      <c r="I150" s="11" t="s">
        <v>34</v>
      </c>
      <c r="J150" s="11" t="s">
        <v>246</v>
      </c>
      <c r="K150" s="11">
        <v>39</v>
      </c>
      <c r="L150" s="12">
        <v>80</v>
      </c>
      <c r="M150" s="13">
        <v>3120</v>
      </c>
      <c r="N150" s="11" t="s">
        <v>367</v>
      </c>
      <c r="O150" s="11" t="s">
        <v>19</v>
      </c>
      <c r="Q150"/>
    </row>
    <row r="151" spans="1:17" ht="15.6" x14ac:dyDescent="0.3">
      <c r="A151" s="15">
        <v>10117</v>
      </c>
      <c r="B151" s="14">
        <v>37727</v>
      </c>
      <c r="C151" s="14" t="s">
        <v>292</v>
      </c>
      <c r="D151" s="15" t="s">
        <v>97</v>
      </c>
      <c r="E151" s="15" t="s">
        <v>98</v>
      </c>
      <c r="F151" s="15" t="s">
        <v>98</v>
      </c>
      <c r="G151" s="15" t="s">
        <v>74</v>
      </c>
      <c r="H151" s="15" t="s">
        <v>17</v>
      </c>
      <c r="I151" s="15" t="s">
        <v>20</v>
      </c>
      <c r="J151" s="15" t="s">
        <v>242</v>
      </c>
      <c r="K151" s="15">
        <v>26</v>
      </c>
      <c r="L151" s="16">
        <v>48</v>
      </c>
      <c r="M151" s="17">
        <v>1248</v>
      </c>
      <c r="N151" s="15" t="s">
        <v>367</v>
      </c>
      <c r="O151" s="15" t="s">
        <v>19</v>
      </c>
      <c r="Q151"/>
    </row>
    <row r="152" spans="1:17" ht="15.6" x14ac:dyDescent="0.3">
      <c r="A152" s="11">
        <v>10117</v>
      </c>
      <c r="B152" s="10">
        <v>37727</v>
      </c>
      <c r="C152" s="10" t="s">
        <v>292</v>
      </c>
      <c r="D152" s="11" t="s">
        <v>97</v>
      </c>
      <c r="E152" s="11" t="s">
        <v>98</v>
      </c>
      <c r="F152" s="11" t="s">
        <v>98</v>
      </c>
      <c r="G152" s="11" t="s">
        <v>74</v>
      </c>
      <c r="H152" s="11" t="s">
        <v>47</v>
      </c>
      <c r="I152" s="11" t="s">
        <v>48</v>
      </c>
      <c r="J152" s="11" t="s">
        <v>255</v>
      </c>
      <c r="K152" s="11">
        <v>21</v>
      </c>
      <c r="L152" s="12">
        <v>70</v>
      </c>
      <c r="M152" s="13">
        <v>1470</v>
      </c>
      <c r="N152" s="11" t="s">
        <v>367</v>
      </c>
      <c r="O152" s="11" t="s">
        <v>19</v>
      </c>
      <c r="Q152"/>
    </row>
    <row r="153" spans="1:17" ht="15.6" x14ac:dyDescent="0.3">
      <c r="A153" s="15">
        <v>10117</v>
      </c>
      <c r="B153" s="14">
        <v>37727</v>
      </c>
      <c r="C153" s="14" t="s">
        <v>292</v>
      </c>
      <c r="D153" s="15" t="s">
        <v>97</v>
      </c>
      <c r="E153" s="15" t="s">
        <v>98</v>
      </c>
      <c r="F153" s="15" t="s">
        <v>98</v>
      </c>
      <c r="G153" s="15" t="s">
        <v>74</v>
      </c>
      <c r="H153" s="15" t="s">
        <v>32</v>
      </c>
      <c r="I153" s="15" t="s">
        <v>33</v>
      </c>
      <c r="J153" s="15" t="s">
        <v>245</v>
      </c>
      <c r="K153" s="15">
        <v>22</v>
      </c>
      <c r="L153" s="16">
        <v>85</v>
      </c>
      <c r="M153" s="17">
        <v>1870</v>
      </c>
      <c r="N153" s="15" t="s">
        <v>367</v>
      </c>
      <c r="O153" s="15" t="s">
        <v>19</v>
      </c>
      <c r="Q153"/>
    </row>
    <row r="154" spans="1:17" ht="15.6" x14ac:dyDescent="0.3">
      <c r="A154" s="11">
        <v>10117</v>
      </c>
      <c r="B154" s="10">
        <v>37727</v>
      </c>
      <c r="C154" s="10" t="s">
        <v>292</v>
      </c>
      <c r="D154" s="11" t="s">
        <v>97</v>
      </c>
      <c r="E154" s="11" t="s">
        <v>98</v>
      </c>
      <c r="F154" s="11" t="s">
        <v>98</v>
      </c>
      <c r="G154" s="11" t="s">
        <v>74</v>
      </c>
      <c r="H154" s="11" t="s">
        <v>17</v>
      </c>
      <c r="I154" s="11" t="s">
        <v>26</v>
      </c>
      <c r="J154" s="11" t="s">
        <v>244</v>
      </c>
      <c r="K154" s="11">
        <v>23</v>
      </c>
      <c r="L154" s="12">
        <v>60</v>
      </c>
      <c r="M154" s="13">
        <v>1380</v>
      </c>
      <c r="N154" s="11" t="s">
        <v>367</v>
      </c>
      <c r="O154" s="11" t="s">
        <v>19</v>
      </c>
      <c r="Q154"/>
    </row>
    <row r="155" spans="1:17" ht="15.6" x14ac:dyDescent="0.3">
      <c r="A155" s="15">
        <v>10117</v>
      </c>
      <c r="B155" s="14">
        <v>37727</v>
      </c>
      <c r="C155" s="14" t="s">
        <v>292</v>
      </c>
      <c r="D155" s="15" t="s">
        <v>97</v>
      </c>
      <c r="E155" s="15" t="s">
        <v>98</v>
      </c>
      <c r="F155" s="15" t="s">
        <v>98</v>
      </c>
      <c r="G155" s="15" t="s">
        <v>74</v>
      </c>
      <c r="H155" s="15" t="s">
        <v>54</v>
      </c>
      <c r="I155" s="15" t="s">
        <v>56</v>
      </c>
      <c r="J155" s="15" t="s">
        <v>259</v>
      </c>
      <c r="K155" s="15">
        <v>41</v>
      </c>
      <c r="L155" s="16">
        <v>250</v>
      </c>
      <c r="M155" s="17">
        <v>10250</v>
      </c>
      <c r="N155" s="15" t="s">
        <v>367</v>
      </c>
      <c r="O155" s="15" t="s">
        <v>19</v>
      </c>
      <c r="Q155"/>
    </row>
    <row r="156" spans="1:17" ht="15.6" x14ac:dyDescent="0.3">
      <c r="A156" s="11">
        <v>10117</v>
      </c>
      <c r="B156" s="10">
        <v>37727</v>
      </c>
      <c r="C156" s="10" t="s">
        <v>292</v>
      </c>
      <c r="D156" s="11" t="s">
        <v>97</v>
      </c>
      <c r="E156" s="11" t="s">
        <v>98</v>
      </c>
      <c r="F156" s="11" t="s">
        <v>98</v>
      </c>
      <c r="G156" s="11" t="s">
        <v>74</v>
      </c>
      <c r="H156" s="11" t="s">
        <v>47</v>
      </c>
      <c r="I156" s="11" t="s">
        <v>53</v>
      </c>
      <c r="J156" s="11" t="s">
        <v>257</v>
      </c>
      <c r="K156" s="11">
        <v>21</v>
      </c>
      <c r="L156" s="12">
        <v>90</v>
      </c>
      <c r="M156" s="13">
        <v>1890</v>
      </c>
      <c r="N156" s="11" t="s">
        <v>367</v>
      </c>
      <c r="O156" s="11" t="s">
        <v>19</v>
      </c>
      <c r="Q156"/>
    </row>
    <row r="157" spans="1:17" ht="15.6" x14ac:dyDescent="0.3">
      <c r="A157" s="15">
        <v>10117</v>
      </c>
      <c r="B157" s="14">
        <v>37727</v>
      </c>
      <c r="C157" s="14" t="s">
        <v>292</v>
      </c>
      <c r="D157" s="15" t="s">
        <v>97</v>
      </c>
      <c r="E157" s="15" t="s">
        <v>98</v>
      </c>
      <c r="F157" s="15" t="s">
        <v>98</v>
      </c>
      <c r="G157" s="15" t="s">
        <v>74</v>
      </c>
      <c r="H157" s="15" t="s">
        <v>54</v>
      </c>
      <c r="I157" s="15" t="s">
        <v>57</v>
      </c>
      <c r="J157" s="15" t="s">
        <v>260</v>
      </c>
      <c r="K157" s="15">
        <v>38</v>
      </c>
      <c r="L157" s="16">
        <v>220</v>
      </c>
      <c r="M157" s="17">
        <v>8360</v>
      </c>
      <c r="N157" s="15" t="s">
        <v>367</v>
      </c>
      <c r="O157" s="15" t="s">
        <v>19</v>
      </c>
      <c r="Q157"/>
    </row>
    <row r="158" spans="1:17" ht="15.6" x14ac:dyDescent="0.3">
      <c r="A158" s="11">
        <v>10117</v>
      </c>
      <c r="B158" s="10">
        <v>37727</v>
      </c>
      <c r="C158" s="10" t="s">
        <v>292</v>
      </c>
      <c r="D158" s="11" t="s">
        <v>97</v>
      </c>
      <c r="E158" s="11" t="s">
        <v>98</v>
      </c>
      <c r="F158" s="11" t="s">
        <v>98</v>
      </c>
      <c r="G158" s="11" t="s">
        <v>74</v>
      </c>
      <c r="H158" s="11" t="s">
        <v>54</v>
      </c>
      <c r="I158" s="11" t="s">
        <v>56</v>
      </c>
      <c r="J158" s="11" t="s">
        <v>259</v>
      </c>
      <c r="K158" s="11">
        <v>45</v>
      </c>
      <c r="L158" s="12">
        <v>250</v>
      </c>
      <c r="M158" s="13">
        <v>11250</v>
      </c>
      <c r="N158" s="11" t="s">
        <v>367</v>
      </c>
      <c r="O158" s="11" t="s">
        <v>19</v>
      </c>
      <c r="Q158"/>
    </row>
    <row r="159" spans="1:17" ht="15.6" x14ac:dyDescent="0.3">
      <c r="A159" s="15">
        <v>10117</v>
      </c>
      <c r="B159" s="14">
        <v>37727</v>
      </c>
      <c r="C159" s="14" t="s">
        <v>292</v>
      </c>
      <c r="D159" s="15" t="s">
        <v>97</v>
      </c>
      <c r="E159" s="15" t="s">
        <v>98</v>
      </c>
      <c r="F159" s="15" t="s">
        <v>98</v>
      </c>
      <c r="G159" s="15" t="s">
        <v>74</v>
      </c>
      <c r="H159" s="15" t="s">
        <v>54</v>
      </c>
      <c r="I159" s="15" t="s">
        <v>57</v>
      </c>
      <c r="J159" s="15" t="s">
        <v>260</v>
      </c>
      <c r="K159" s="15">
        <v>50</v>
      </c>
      <c r="L159" s="16">
        <v>220</v>
      </c>
      <c r="M159" s="17">
        <v>11000</v>
      </c>
      <c r="N159" s="15" t="s">
        <v>368</v>
      </c>
      <c r="O159" s="15" t="s">
        <v>19</v>
      </c>
      <c r="Q159"/>
    </row>
    <row r="160" spans="1:17" ht="15.6" x14ac:dyDescent="0.3">
      <c r="A160" s="11">
        <v>10118</v>
      </c>
      <c r="B160" s="10">
        <v>37732</v>
      </c>
      <c r="C160" s="10" t="s">
        <v>293</v>
      </c>
      <c r="D160" s="11" t="s">
        <v>99</v>
      </c>
      <c r="E160" s="11" t="s">
        <v>100</v>
      </c>
      <c r="F160" s="11" t="s">
        <v>43</v>
      </c>
      <c r="G160" s="11" t="s">
        <v>25</v>
      </c>
      <c r="H160" s="11" t="s">
        <v>54</v>
      </c>
      <c r="I160" s="11" t="s">
        <v>56</v>
      </c>
      <c r="J160" s="11" t="s">
        <v>259</v>
      </c>
      <c r="K160" s="11">
        <v>36</v>
      </c>
      <c r="L160" s="12">
        <v>250</v>
      </c>
      <c r="M160" s="13">
        <v>9000</v>
      </c>
      <c r="N160" s="11" t="s">
        <v>367</v>
      </c>
      <c r="O160" s="11" t="s">
        <v>19</v>
      </c>
      <c r="Q160"/>
    </row>
    <row r="161" spans="1:17" ht="15.6" x14ac:dyDescent="0.3">
      <c r="A161" s="15">
        <v>10119</v>
      </c>
      <c r="B161" s="14">
        <v>37739</v>
      </c>
      <c r="C161" s="14" t="s">
        <v>294</v>
      </c>
      <c r="D161" s="15" t="s">
        <v>101</v>
      </c>
      <c r="E161" s="15" t="s">
        <v>102</v>
      </c>
      <c r="F161" s="15" t="s">
        <v>103</v>
      </c>
      <c r="G161" s="15" t="s">
        <v>25</v>
      </c>
      <c r="H161" s="15" t="s">
        <v>32</v>
      </c>
      <c r="I161" s="15" t="s">
        <v>44</v>
      </c>
      <c r="J161" s="15" t="s">
        <v>252</v>
      </c>
      <c r="K161" s="15">
        <v>46</v>
      </c>
      <c r="L161" s="16">
        <v>55</v>
      </c>
      <c r="M161" s="17">
        <v>2530</v>
      </c>
      <c r="N161" s="15" t="s">
        <v>367</v>
      </c>
      <c r="O161" s="15" t="s">
        <v>19</v>
      </c>
      <c r="Q161"/>
    </row>
    <row r="162" spans="1:17" ht="15.6" x14ac:dyDescent="0.3">
      <c r="A162" s="11">
        <v>10119</v>
      </c>
      <c r="B162" s="10">
        <v>37739</v>
      </c>
      <c r="C162" s="10" t="s">
        <v>294</v>
      </c>
      <c r="D162" s="11" t="s">
        <v>101</v>
      </c>
      <c r="E162" s="11" t="s">
        <v>102</v>
      </c>
      <c r="F162" s="11" t="s">
        <v>103</v>
      </c>
      <c r="G162" s="11" t="s">
        <v>25</v>
      </c>
      <c r="H162" s="11" t="s">
        <v>61</v>
      </c>
      <c r="I162" s="11" t="s">
        <v>62</v>
      </c>
      <c r="J162" s="11" t="s">
        <v>261</v>
      </c>
      <c r="K162" s="11">
        <v>43</v>
      </c>
      <c r="L162" s="12">
        <v>15</v>
      </c>
      <c r="M162" s="13">
        <v>645</v>
      </c>
      <c r="N162" s="11" t="s">
        <v>367</v>
      </c>
      <c r="O162" s="11" t="s">
        <v>19</v>
      </c>
      <c r="Q162"/>
    </row>
    <row r="163" spans="1:17" ht="15.6" x14ac:dyDescent="0.3">
      <c r="A163" s="15">
        <v>10119</v>
      </c>
      <c r="B163" s="14">
        <v>37739</v>
      </c>
      <c r="C163" s="14" t="s">
        <v>294</v>
      </c>
      <c r="D163" s="15" t="s">
        <v>101</v>
      </c>
      <c r="E163" s="15" t="s">
        <v>102</v>
      </c>
      <c r="F163" s="15" t="s">
        <v>103</v>
      </c>
      <c r="G163" s="15" t="s">
        <v>25</v>
      </c>
      <c r="H163" s="15" t="s">
        <v>54</v>
      </c>
      <c r="I163" s="15" t="s">
        <v>57</v>
      </c>
      <c r="J163" s="15" t="s">
        <v>260</v>
      </c>
      <c r="K163" s="15">
        <v>21</v>
      </c>
      <c r="L163" s="16">
        <v>220</v>
      </c>
      <c r="M163" s="17">
        <v>4620</v>
      </c>
      <c r="N163" s="15" t="s">
        <v>367</v>
      </c>
      <c r="O163" s="15" t="s">
        <v>19</v>
      </c>
      <c r="Q163"/>
    </row>
    <row r="164" spans="1:17" ht="15.6" x14ac:dyDescent="0.3">
      <c r="A164" s="11">
        <v>10119</v>
      </c>
      <c r="B164" s="10">
        <v>37739</v>
      </c>
      <c r="C164" s="10" t="s">
        <v>294</v>
      </c>
      <c r="D164" s="11" t="s">
        <v>101</v>
      </c>
      <c r="E164" s="11" t="s">
        <v>102</v>
      </c>
      <c r="F164" s="11" t="s">
        <v>103</v>
      </c>
      <c r="G164" s="11" t="s">
        <v>25</v>
      </c>
      <c r="H164" s="11" t="s">
        <v>17</v>
      </c>
      <c r="I164" s="11" t="s">
        <v>18</v>
      </c>
      <c r="J164" s="11" t="s">
        <v>241</v>
      </c>
      <c r="K164" s="11">
        <v>27</v>
      </c>
      <c r="L164" s="12">
        <v>30</v>
      </c>
      <c r="M164" s="13">
        <v>810</v>
      </c>
      <c r="N164" s="11" t="s">
        <v>367</v>
      </c>
      <c r="O164" s="11" t="s">
        <v>19</v>
      </c>
      <c r="Q164"/>
    </row>
    <row r="165" spans="1:17" ht="15.6" x14ac:dyDescent="0.3">
      <c r="A165" s="15">
        <v>10119</v>
      </c>
      <c r="B165" s="14">
        <v>37739</v>
      </c>
      <c r="C165" s="14" t="s">
        <v>294</v>
      </c>
      <c r="D165" s="15" t="s">
        <v>101</v>
      </c>
      <c r="E165" s="15" t="s">
        <v>102</v>
      </c>
      <c r="F165" s="15" t="s">
        <v>103</v>
      </c>
      <c r="G165" s="15" t="s">
        <v>25</v>
      </c>
      <c r="H165" s="15" t="s">
        <v>61</v>
      </c>
      <c r="I165" s="15" t="s">
        <v>66</v>
      </c>
      <c r="J165" s="15" t="s">
        <v>265</v>
      </c>
      <c r="K165" s="15">
        <v>41</v>
      </c>
      <c r="L165" s="16">
        <v>35</v>
      </c>
      <c r="M165" s="17">
        <v>1435</v>
      </c>
      <c r="N165" s="15" t="s">
        <v>367</v>
      </c>
      <c r="O165" s="15" t="s">
        <v>19</v>
      </c>
      <c r="Q165"/>
    </row>
    <row r="166" spans="1:17" ht="15.6" x14ac:dyDescent="0.3">
      <c r="A166" s="11">
        <v>10119</v>
      </c>
      <c r="B166" s="10">
        <v>37739</v>
      </c>
      <c r="C166" s="10" t="s">
        <v>294</v>
      </c>
      <c r="D166" s="11" t="s">
        <v>101</v>
      </c>
      <c r="E166" s="11" t="s">
        <v>102</v>
      </c>
      <c r="F166" s="11" t="s">
        <v>103</v>
      </c>
      <c r="G166" s="11" t="s">
        <v>25</v>
      </c>
      <c r="H166" s="11" t="s">
        <v>17</v>
      </c>
      <c r="I166" s="11" t="s">
        <v>82</v>
      </c>
      <c r="J166" s="11" t="s">
        <v>270</v>
      </c>
      <c r="K166" s="11">
        <v>35</v>
      </c>
      <c r="L166" s="12">
        <v>75</v>
      </c>
      <c r="M166" s="13">
        <v>2625</v>
      </c>
      <c r="N166" s="11" t="s">
        <v>367</v>
      </c>
      <c r="O166" s="11" t="s">
        <v>19</v>
      </c>
      <c r="Q166"/>
    </row>
    <row r="167" spans="1:17" ht="15.6" x14ac:dyDescent="0.3">
      <c r="A167" s="15">
        <v>10119</v>
      </c>
      <c r="B167" s="14">
        <v>37739</v>
      </c>
      <c r="C167" s="14" t="s">
        <v>294</v>
      </c>
      <c r="D167" s="15" t="s">
        <v>101</v>
      </c>
      <c r="E167" s="15" t="s">
        <v>102</v>
      </c>
      <c r="F167" s="15" t="s">
        <v>103</v>
      </c>
      <c r="G167" s="15" t="s">
        <v>25</v>
      </c>
      <c r="H167" s="15" t="s">
        <v>17</v>
      </c>
      <c r="I167" s="15" t="s">
        <v>20</v>
      </c>
      <c r="J167" s="15" t="s">
        <v>242</v>
      </c>
      <c r="K167" s="15">
        <v>20</v>
      </c>
      <c r="L167" s="16">
        <v>48</v>
      </c>
      <c r="M167" s="17">
        <v>960</v>
      </c>
      <c r="N167" s="15" t="s">
        <v>367</v>
      </c>
      <c r="O167" s="15" t="s">
        <v>19</v>
      </c>
      <c r="Q167"/>
    </row>
    <row r="168" spans="1:17" ht="15.6" x14ac:dyDescent="0.3">
      <c r="A168" s="11">
        <v>10119</v>
      </c>
      <c r="B168" s="10">
        <v>37739</v>
      </c>
      <c r="C168" s="10" t="s">
        <v>294</v>
      </c>
      <c r="D168" s="11" t="s">
        <v>101</v>
      </c>
      <c r="E168" s="11" t="s">
        <v>102</v>
      </c>
      <c r="F168" s="11" t="s">
        <v>103</v>
      </c>
      <c r="G168" s="11" t="s">
        <v>25</v>
      </c>
      <c r="H168" s="11" t="s">
        <v>17</v>
      </c>
      <c r="I168" s="11" t="s">
        <v>26</v>
      </c>
      <c r="J168" s="11" t="s">
        <v>244</v>
      </c>
      <c r="K168" s="11">
        <v>35</v>
      </c>
      <c r="L168" s="12">
        <v>60</v>
      </c>
      <c r="M168" s="13">
        <v>2100</v>
      </c>
      <c r="N168" s="11" t="s">
        <v>367</v>
      </c>
      <c r="O168" s="11" t="s">
        <v>19</v>
      </c>
      <c r="Q168"/>
    </row>
    <row r="169" spans="1:17" ht="15.6" x14ac:dyDescent="0.3">
      <c r="A169" s="15">
        <v>10119</v>
      </c>
      <c r="B169" s="14">
        <v>37739</v>
      </c>
      <c r="C169" s="14" t="s">
        <v>294</v>
      </c>
      <c r="D169" s="15" t="s">
        <v>101</v>
      </c>
      <c r="E169" s="15" t="s">
        <v>102</v>
      </c>
      <c r="F169" s="15" t="s">
        <v>103</v>
      </c>
      <c r="G169" s="15" t="s">
        <v>25</v>
      </c>
      <c r="H169" s="15" t="s">
        <v>61</v>
      </c>
      <c r="I169" s="15" t="s">
        <v>66</v>
      </c>
      <c r="J169" s="15" t="s">
        <v>265</v>
      </c>
      <c r="K169" s="15">
        <v>28</v>
      </c>
      <c r="L169" s="16">
        <v>35</v>
      </c>
      <c r="M169" s="17">
        <v>980</v>
      </c>
      <c r="N169" s="15" t="s">
        <v>367</v>
      </c>
      <c r="O169" s="15" t="s">
        <v>19</v>
      </c>
      <c r="Q169"/>
    </row>
    <row r="170" spans="1:17" ht="15.6" x14ac:dyDescent="0.3">
      <c r="A170" s="11">
        <v>10119</v>
      </c>
      <c r="B170" s="10">
        <v>37739</v>
      </c>
      <c r="C170" s="10" t="s">
        <v>294</v>
      </c>
      <c r="D170" s="11" t="s">
        <v>101</v>
      </c>
      <c r="E170" s="11" t="s">
        <v>102</v>
      </c>
      <c r="F170" s="11" t="s">
        <v>103</v>
      </c>
      <c r="G170" s="11" t="s">
        <v>25</v>
      </c>
      <c r="H170" s="11" t="s">
        <v>54</v>
      </c>
      <c r="I170" s="11" t="s">
        <v>56</v>
      </c>
      <c r="J170" s="11" t="s">
        <v>259</v>
      </c>
      <c r="K170" s="11">
        <v>25</v>
      </c>
      <c r="L170" s="12">
        <v>250</v>
      </c>
      <c r="M170" s="13">
        <v>6250</v>
      </c>
      <c r="N170" s="11" t="s">
        <v>367</v>
      </c>
      <c r="O170" s="11" t="s">
        <v>19</v>
      </c>
      <c r="Q170"/>
    </row>
    <row r="171" spans="1:17" ht="15.6" x14ac:dyDescent="0.3">
      <c r="A171" s="15">
        <v>10119</v>
      </c>
      <c r="B171" s="14">
        <v>37739</v>
      </c>
      <c r="C171" s="14" t="s">
        <v>294</v>
      </c>
      <c r="D171" s="15" t="s">
        <v>101</v>
      </c>
      <c r="E171" s="15" t="s">
        <v>102</v>
      </c>
      <c r="F171" s="15" t="s">
        <v>103</v>
      </c>
      <c r="G171" s="15" t="s">
        <v>25</v>
      </c>
      <c r="H171" s="15" t="s">
        <v>54</v>
      </c>
      <c r="I171" s="15" t="s">
        <v>57</v>
      </c>
      <c r="J171" s="15" t="s">
        <v>260</v>
      </c>
      <c r="K171" s="15">
        <v>29</v>
      </c>
      <c r="L171" s="16">
        <v>220</v>
      </c>
      <c r="M171" s="17">
        <v>6380</v>
      </c>
      <c r="N171" s="15" t="s">
        <v>367</v>
      </c>
      <c r="O171" s="15" t="s">
        <v>19</v>
      </c>
      <c r="Q171"/>
    </row>
    <row r="172" spans="1:17" ht="15.6" x14ac:dyDescent="0.3">
      <c r="A172" s="11">
        <v>10119</v>
      </c>
      <c r="B172" s="10">
        <v>37739</v>
      </c>
      <c r="C172" s="10" t="s">
        <v>294</v>
      </c>
      <c r="D172" s="11" t="s">
        <v>101</v>
      </c>
      <c r="E172" s="11" t="s">
        <v>102</v>
      </c>
      <c r="F172" s="11" t="s">
        <v>103</v>
      </c>
      <c r="G172" s="11" t="s">
        <v>25</v>
      </c>
      <c r="H172" s="11" t="s">
        <v>54</v>
      </c>
      <c r="I172" s="11" t="s">
        <v>55</v>
      </c>
      <c r="J172" s="11" t="s">
        <v>258</v>
      </c>
      <c r="K172" s="11">
        <v>38</v>
      </c>
      <c r="L172" s="12">
        <v>180</v>
      </c>
      <c r="M172" s="13">
        <v>6840</v>
      </c>
      <c r="N172" s="11" t="s">
        <v>367</v>
      </c>
      <c r="O172" s="11" t="s">
        <v>19</v>
      </c>
      <c r="Q172"/>
    </row>
    <row r="173" spans="1:17" ht="15.6" x14ac:dyDescent="0.3">
      <c r="A173" s="15">
        <v>10119</v>
      </c>
      <c r="B173" s="14">
        <v>37739</v>
      </c>
      <c r="C173" s="14" t="s">
        <v>294</v>
      </c>
      <c r="D173" s="15" t="s">
        <v>101</v>
      </c>
      <c r="E173" s="15" t="s">
        <v>102</v>
      </c>
      <c r="F173" s="15" t="s">
        <v>103</v>
      </c>
      <c r="G173" s="15" t="s">
        <v>25</v>
      </c>
      <c r="H173" s="15" t="s">
        <v>61</v>
      </c>
      <c r="I173" s="15" t="s">
        <v>63</v>
      </c>
      <c r="J173" s="15" t="s">
        <v>262</v>
      </c>
      <c r="K173" s="15">
        <v>26</v>
      </c>
      <c r="L173" s="16">
        <v>40</v>
      </c>
      <c r="M173" s="17">
        <v>1040</v>
      </c>
      <c r="N173" s="15" t="s">
        <v>367</v>
      </c>
      <c r="O173" s="15" t="s">
        <v>19</v>
      </c>
      <c r="Q173"/>
    </row>
    <row r="174" spans="1:17" ht="15.6" x14ac:dyDescent="0.3">
      <c r="A174" s="11">
        <v>10119</v>
      </c>
      <c r="B174" s="10">
        <v>37739</v>
      </c>
      <c r="C174" s="10" t="s">
        <v>294</v>
      </c>
      <c r="D174" s="11" t="s">
        <v>101</v>
      </c>
      <c r="E174" s="11" t="s">
        <v>102</v>
      </c>
      <c r="F174" s="11" t="s">
        <v>103</v>
      </c>
      <c r="G174" s="11" t="s">
        <v>25</v>
      </c>
      <c r="H174" s="11" t="s">
        <v>61</v>
      </c>
      <c r="I174" s="11" t="s">
        <v>62</v>
      </c>
      <c r="J174" s="11" t="s">
        <v>261</v>
      </c>
      <c r="K174" s="11">
        <v>28</v>
      </c>
      <c r="L174" s="12">
        <v>15</v>
      </c>
      <c r="M174" s="13">
        <v>420</v>
      </c>
      <c r="N174" s="11" t="s">
        <v>367</v>
      </c>
      <c r="O174" s="11" t="s">
        <v>19</v>
      </c>
      <c r="Q174"/>
    </row>
    <row r="175" spans="1:17" ht="15.6" x14ac:dyDescent="0.3">
      <c r="A175" s="15">
        <v>10120</v>
      </c>
      <c r="B175" s="14">
        <v>37740</v>
      </c>
      <c r="C175" s="14" t="s">
        <v>295</v>
      </c>
      <c r="D175" s="15" t="s">
        <v>104</v>
      </c>
      <c r="E175" s="15" t="s">
        <v>105</v>
      </c>
      <c r="F175" s="15" t="s">
        <v>106</v>
      </c>
      <c r="G175" s="15" t="s">
        <v>107</v>
      </c>
      <c r="H175" s="15" t="s">
        <v>68</v>
      </c>
      <c r="I175" s="15" t="s">
        <v>69</v>
      </c>
      <c r="J175" s="15" t="s">
        <v>266</v>
      </c>
      <c r="K175" s="15">
        <v>29</v>
      </c>
      <c r="L175" s="16">
        <v>25</v>
      </c>
      <c r="M175" s="17">
        <v>725</v>
      </c>
      <c r="N175" s="15" t="s">
        <v>367</v>
      </c>
      <c r="O175" s="15" t="s">
        <v>19</v>
      </c>
      <c r="Q175"/>
    </row>
    <row r="176" spans="1:17" ht="15.6" x14ac:dyDescent="0.3">
      <c r="A176" s="11">
        <v>10120</v>
      </c>
      <c r="B176" s="10">
        <v>37740</v>
      </c>
      <c r="C176" s="10" t="s">
        <v>295</v>
      </c>
      <c r="D176" s="11" t="s">
        <v>104</v>
      </c>
      <c r="E176" s="11" t="s">
        <v>105</v>
      </c>
      <c r="F176" s="11" t="s">
        <v>106</v>
      </c>
      <c r="G176" s="11" t="s">
        <v>107</v>
      </c>
      <c r="H176" s="11" t="s">
        <v>68</v>
      </c>
      <c r="I176" s="11" t="s">
        <v>76</v>
      </c>
      <c r="J176" s="11" t="s">
        <v>269</v>
      </c>
      <c r="K176" s="11">
        <v>46</v>
      </c>
      <c r="L176" s="12">
        <v>30</v>
      </c>
      <c r="M176" s="13">
        <v>1380</v>
      </c>
      <c r="N176" s="11" t="s">
        <v>367</v>
      </c>
      <c r="O176" s="11" t="s">
        <v>19</v>
      </c>
      <c r="Q176"/>
    </row>
    <row r="177" spans="1:17" ht="15.6" x14ac:dyDescent="0.3">
      <c r="A177" s="15">
        <v>10120</v>
      </c>
      <c r="B177" s="14">
        <v>37740</v>
      </c>
      <c r="C177" s="14" t="s">
        <v>295</v>
      </c>
      <c r="D177" s="15" t="s">
        <v>104</v>
      </c>
      <c r="E177" s="15" t="s">
        <v>105</v>
      </c>
      <c r="F177" s="15" t="s">
        <v>106</v>
      </c>
      <c r="G177" s="15" t="s">
        <v>107</v>
      </c>
      <c r="H177" s="15" t="s">
        <v>61</v>
      </c>
      <c r="I177" s="15" t="s">
        <v>62</v>
      </c>
      <c r="J177" s="15" t="s">
        <v>261</v>
      </c>
      <c r="K177" s="15">
        <v>29</v>
      </c>
      <c r="L177" s="16">
        <v>15</v>
      </c>
      <c r="M177" s="17">
        <v>435</v>
      </c>
      <c r="N177" s="15" t="s">
        <v>367</v>
      </c>
      <c r="O177" s="15" t="s">
        <v>19</v>
      </c>
      <c r="Q177"/>
    </row>
    <row r="178" spans="1:17" ht="15.6" x14ac:dyDescent="0.3">
      <c r="A178" s="11">
        <v>10120</v>
      </c>
      <c r="B178" s="10">
        <v>37740</v>
      </c>
      <c r="C178" s="10" t="s">
        <v>295</v>
      </c>
      <c r="D178" s="11" t="s">
        <v>104</v>
      </c>
      <c r="E178" s="11" t="s">
        <v>105</v>
      </c>
      <c r="F178" s="11" t="s">
        <v>106</v>
      </c>
      <c r="G178" s="11" t="s">
        <v>107</v>
      </c>
      <c r="H178" s="11" t="s">
        <v>68</v>
      </c>
      <c r="I178" s="11" t="s">
        <v>70</v>
      </c>
      <c r="J178" s="11" t="s">
        <v>267</v>
      </c>
      <c r="K178" s="11">
        <v>46</v>
      </c>
      <c r="L178" s="12">
        <v>50</v>
      </c>
      <c r="M178" s="13">
        <v>2300</v>
      </c>
      <c r="N178" s="11" t="s">
        <v>367</v>
      </c>
      <c r="O178" s="11" t="s">
        <v>19</v>
      </c>
      <c r="Q178"/>
    </row>
    <row r="179" spans="1:17" ht="15.6" x14ac:dyDescent="0.3">
      <c r="A179" s="15">
        <v>10120</v>
      </c>
      <c r="B179" s="14">
        <v>37740</v>
      </c>
      <c r="C179" s="14" t="s">
        <v>295</v>
      </c>
      <c r="D179" s="15" t="s">
        <v>104</v>
      </c>
      <c r="E179" s="15" t="s">
        <v>105</v>
      </c>
      <c r="F179" s="15" t="s">
        <v>106</v>
      </c>
      <c r="G179" s="15" t="s">
        <v>107</v>
      </c>
      <c r="H179" s="15" t="s">
        <v>68</v>
      </c>
      <c r="I179" s="15" t="s">
        <v>70</v>
      </c>
      <c r="J179" s="15" t="s">
        <v>267</v>
      </c>
      <c r="K179" s="15">
        <v>35</v>
      </c>
      <c r="L179" s="16">
        <v>50</v>
      </c>
      <c r="M179" s="17">
        <v>1750</v>
      </c>
      <c r="N179" s="15" t="s">
        <v>367</v>
      </c>
      <c r="O179" s="15" t="s">
        <v>19</v>
      </c>
      <c r="Q179"/>
    </row>
    <row r="180" spans="1:17" ht="15.6" x14ac:dyDescent="0.3">
      <c r="A180" s="11">
        <v>10120</v>
      </c>
      <c r="B180" s="10">
        <v>37740</v>
      </c>
      <c r="C180" s="10" t="s">
        <v>295</v>
      </c>
      <c r="D180" s="11" t="s">
        <v>104</v>
      </c>
      <c r="E180" s="11" t="s">
        <v>105</v>
      </c>
      <c r="F180" s="11" t="s">
        <v>106</v>
      </c>
      <c r="G180" s="11" t="s">
        <v>107</v>
      </c>
      <c r="H180" s="11" t="s">
        <v>61</v>
      </c>
      <c r="I180" s="11" t="s">
        <v>66</v>
      </c>
      <c r="J180" s="11" t="s">
        <v>265</v>
      </c>
      <c r="K180" s="11">
        <v>39</v>
      </c>
      <c r="L180" s="12">
        <v>35</v>
      </c>
      <c r="M180" s="13">
        <v>1365</v>
      </c>
      <c r="N180" s="11" t="s">
        <v>367</v>
      </c>
      <c r="O180" s="11" t="s">
        <v>19</v>
      </c>
      <c r="Q180"/>
    </row>
    <row r="181" spans="1:17" ht="15.6" x14ac:dyDescent="0.3">
      <c r="A181" s="15">
        <v>10120</v>
      </c>
      <c r="B181" s="14">
        <v>37740</v>
      </c>
      <c r="C181" s="14" t="s">
        <v>295</v>
      </c>
      <c r="D181" s="15" t="s">
        <v>104</v>
      </c>
      <c r="E181" s="15" t="s">
        <v>105</v>
      </c>
      <c r="F181" s="15" t="s">
        <v>106</v>
      </c>
      <c r="G181" s="15" t="s">
        <v>107</v>
      </c>
      <c r="H181" s="15" t="s">
        <v>68</v>
      </c>
      <c r="I181" s="15" t="s">
        <v>108</v>
      </c>
      <c r="J181" s="15" t="s">
        <v>271</v>
      </c>
      <c r="K181" s="15">
        <v>34</v>
      </c>
      <c r="L181" s="16">
        <v>45</v>
      </c>
      <c r="M181" s="17">
        <v>1530</v>
      </c>
      <c r="N181" s="15" t="s">
        <v>367</v>
      </c>
      <c r="O181" s="15" t="s">
        <v>19</v>
      </c>
      <c r="Q181"/>
    </row>
    <row r="182" spans="1:17" ht="15.6" x14ac:dyDescent="0.3">
      <c r="A182" s="11">
        <v>10120</v>
      </c>
      <c r="B182" s="10">
        <v>37740</v>
      </c>
      <c r="C182" s="10" t="s">
        <v>295</v>
      </c>
      <c r="D182" s="11" t="s">
        <v>104</v>
      </c>
      <c r="E182" s="11" t="s">
        <v>105</v>
      </c>
      <c r="F182" s="11" t="s">
        <v>106</v>
      </c>
      <c r="G182" s="11" t="s">
        <v>107</v>
      </c>
      <c r="H182" s="11" t="s">
        <v>61</v>
      </c>
      <c r="I182" s="11" t="s">
        <v>64</v>
      </c>
      <c r="J182" s="11" t="s">
        <v>263</v>
      </c>
      <c r="K182" s="11">
        <v>29</v>
      </c>
      <c r="L182" s="12">
        <v>35</v>
      </c>
      <c r="M182" s="13">
        <v>1015</v>
      </c>
      <c r="N182" s="11" t="s">
        <v>367</v>
      </c>
      <c r="O182" s="11" t="s">
        <v>19</v>
      </c>
      <c r="Q182"/>
    </row>
    <row r="183" spans="1:17" ht="15.6" x14ac:dyDescent="0.3">
      <c r="A183" s="15">
        <v>10120</v>
      </c>
      <c r="B183" s="14">
        <v>37740</v>
      </c>
      <c r="C183" s="14" t="s">
        <v>295</v>
      </c>
      <c r="D183" s="15" t="s">
        <v>104</v>
      </c>
      <c r="E183" s="15" t="s">
        <v>105</v>
      </c>
      <c r="F183" s="15" t="s">
        <v>106</v>
      </c>
      <c r="G183" s="15" t="s">
        <v>107</v>
      </c>
      <c r="H183" s="15" t="s">
        <v>68</v>
      </c>
      <c r="I183" s="15" t="s">
        <v>69</v>
      </c>
      <c r="J183" s="15" t="s">
        <v>266</v>
      </c>
      <c r="K183" s="15">
        <v>22</v>
      </c>
      <c r="L183" s="16">
        <v>25</v>
      </c>
      <c r="M183" s="17">
        <v>550</v>
      </c>
      <c r="N183" s="15" t="s">
        <v>367</v>
      </c>
      <c r="O183" s="15" t="s">
        <v>19</v>
      </c>
      <c r="Q183"/>
    </row>
    <row r="184" spans="1:17" ht="15.6" x14ac:dyDescent="0.3">
      <c r="A184" s="11">
        <v>10120</v>
      </c>
      <c r="B184" s="10">
        <v>37740</v>
      </c>
      <c r="C184" s="10" t="s">
        <v>295</v>
      </c>
      <c r="D184" s="11" t="s">
        <v>104</v>
      </c>
      <c r="E184" s="11" t="s">
        <v>105</v>
      </c>
      <c r="F184" s="11" t="s">
        <v>106</v>
      </c>
      <c r="G184" s="11" t="s">
        <v>107</v>
      </c>
      <c r="H184" s="11" t="s">
        <v>17</v>
      </c>
      <c r="I184" s="11" t="s">
        <v>26</v>
      </c>
      <c r="J184" s="11" t="s">
        <v>244</v>
      </c>
      <c r="K184" s="11">
        <v>29</v>
      </c>
      <c r="L184" s="12">
        <v>60</v>
      </c>
      <c r="M184" s="13">
        <v>1740</v>
      </c>
      <c r="N184" s="11" t="s">
        <v>367</v>
      </c>
      <c r="O184" s="11" t="s">
        <v>19</v>
      </c>
      <c r="Q184"/>
    </row>
    <row r="185" spans="1:17" ht="15.6" x14ac:dyDescent="0.3">
      <c r="A185" s="15">
        <v>10120</v>
      </c>
      <c r="B185" s="14">
        <v>37740</v>
      </c>
      <c r="C185" s="14" t="s">
        <v>295</v>
      </c>
      <c r="D185" s="15" t="s">
        <v>104</v>
      </c>
      <c r="E185" s="15" t="s">
        <v>105</v>
      </c>
      <c r="F185" s="15" t="s">
        <v>106</v>
      </c>
      <c r="G185" s="15" t="s">
        <v>107</v>
      </c>
      <c r="H185" s="15" t="s">
        <v>17</v>
      </c>
      <c r="I185" s="15" t="s">
        <v>20</v>
      </c>
      <c r="J185" s="15" t="s">
        <v>242</v>
      </c>
      <c r="K185" s="15">
        <v>49</v>
      </c>
      <c r="L185" s="16">
        <v>48</v>
      </c>
      <c r="M185" s="17">
        <v>2352</v>
      </c>
      <c r="N185" s="15" t="s">
        <v>367</v>
      </c>
      <c r="O185" s="15" t="s">
        <v>19</v>
      </c>
      <c r="Q185"/>
    </row>
    <row r="186" spans="1:17" ht="15.6" x14ac:dyDescent="0.3">
      <c r="A186" s="11">
        <v>10120</v>
      </c>
      <c r="B186" s="10">
        <v>37740</v>
      </c>
      <c r="C186" s="10" t="s">
        <v>295</v>
      </c>
      <c r="D186" s="11" t="s">
        <v>104</v>
      </c>
      <c r="E186" s="11" t="s">
        <v>105</v>
      </c>
      <c r="F186" s="11" t="s">
        <v>106</v>
      </c>
      <c r="G186" s="11" t="s">
        <v>107</v>
      </c>
      <c r="H186" s="11" t="s">
        <v>61</v>
      </c>
      <c r="I186" s="11" t="s">
        <v>63</v>
      </c>
      <c r="J186" s="11" t="s">
        <v>262</v>
      </c>
      <c r="K186" s="11">
        <v>47</v>
      </c>
      <c r="L186" s="12">
        <v>40</v>
      </c>
      <c r="M186" s="13">
        <v>1880</v>
      </c>
      <c r="N186" s="11" t="s">
        <v>367</v>
      </c>
      <c r="O186" s="11" t="s">
        <v>19</v>
      </c>
      <c r="Q186"/>
    </row>
    <row r="187" spans="1:17" ht="15.6" x14ac:dyDescent="0.3">
      <c r="A187" s="15">
        <v>10120</v>
      </c>
      <c r="B187" s="14">
        <v>37740</v>
      </c>
      <c r="C187" s="14" t="s">
        <v>295</v>
      </c>
      <c r="D187" s="15" t="s">
        <v>104</v>
      </c>
      <c r="E187" s="15" t="s">
        <v>105</v>
      </c>
      <c r="F187" s="15" t="s">
        <v>106</v>
      </c>
      <c r="G187" s="15" t="s">
        <v>107</v>
      </c>
      <c r="H187" s="15" t="s">
        <v>61</v>
      </c>
      <c r="I187" s="15" t="s">
        <v>64</v>
      </c>
      <c r="J187" s="15" t="s">
        <v>263</v>
      </c>
      <c r="K187" s="15">
        <v>24</v>
      </c>
      <c r="L187" s="16">
        <v>35</v>
      </c>
      <c r="M187" s="17">
        <v>840</v>
      </c>
      <c r="N187" s="15" t="s">
        <v>367</v>
      </c>
      <c r="O187" s="15" t="s">
        <v>19</v>
      </c>
      <c r="Q187"/>
    </row>
    <row r="188" spans="1:17" ht="15.6" x14ac:dyDescent="0.3">
      <c r="A188" s="11">
        <v>10120</v>
      </c>
      <c r="B188" s="10">
        <v>37740</v>
      </c>
      <c r="C188" s="10" t="s">
        <v>295</v>
      </c>
      <c r="D188" s="11" t="s">
        <v>104</v>
      </c>
      <c r="E188" s="11" t="s">
        <v>105</v>
      </c>
      <c r="F188" s="11" t="s">
        <v>106</v>
      </c>
      <c r="G188" s="11" t="s">
        <v>107</v>
      </c>
      <c r="H188" s="11" t="s">
        <v>61</v>
      </c>
      <c r="I188" s="11" t="s">
        <v>62</v>
      </c>
      <c r="J188" s="11" t="s">
        <v>261</v>
      </c>
      <c r="K188" s="11">
        <v>24</v>
      </c>
      <c r="L188" s="12">
        <v>15</v>
      </c>
      <c r="M188" s="13">
        <v>360</v>
      </c>
      <c r="N188" s="11" t="s">
        <v>367</v>
      </c>
      <c r="O188" s="11" t="s">
        <v>19</v>
      </c>
      <c r="Q188"/>
    </row>
    <row r="189" spans="1:17" ht="15.6" x14ac:dyDescent="0.3">
      <c r="A189" s="15">
        <v>10120</v>
      </c>
      <c r="B189" s="14">
        <v>37740</v>
      </c>
      <c r="C189" s="14" t="s">
        <v>295</v>
      </c>
      <c r="D189" s="15" t="s">
        <v>104</v>
      </c>
      <c r="E189" s="15" t="s">
        <v>105</v>
      </c>
      <c r="F189" s="15" t="s">
        <v>106</v>
      </c>
      <c r="G189" s="15" t="s">
        <v>107</v>
      </c>
      <c r="H189" s="15" t="s">
        <v>61</v>
      </c>
      <c r="I189" s="15" t="s">
        <v>63</v>
      </c>
      <c r="J189" s="15" t="s">
        <v>262</v>
      </c>
      <c r="K189" s="15">
        <v>43</v>
      </c>
      <c r="L189" s="16">
        <v>40</v>
      </c>
      <c r="M189" s="17">
        <v>1720</v>
      </c>
      <c r="N189" s="15" t="s">
        <v>367</v>
      </c>
      <c r="O189" s="15" t="s">
        <v>19</v>
      </c>
      <c r="Q189"/>
    </row>
    <row r="190" spans="1:17" ht="15.6" x14ac:dyDescent="0.3">
      <c r="A190" s="11">
        <v>10121</v>
      </c>
      <c r="B190" s="10">
        <v>37748</v>
      </c>
      <c r="C190" s="10" t="s">
        <v>296</v>
      </c>
      <c r="D190" s="11" t="s">
        <v>109</v>
      </c>
      <c r="E190" s="11" t="s">
        <v>110</v>
      </c>
      <c r="F190" s="11" t="s">
        <v>92</v>
      </c>
      <c r="G190" s="11" t="s">
        <v>25</v>
      </c>
      <c r="H190" s="11" t="s">
        <v>68</v>
      </c>
      <c r="I190" s="11" t="s">
        <v>76</v>
      </c>
      <c r="J190" s="11" t="s">
        <v>269</v>
      </c>
      <c r="K190" s="11">
        <v>34</v>
      </c>
      <c r="L190" s="12">
        <v>30</v>
      </c>
      <c r="M190" s="13">
        <v>1020</v>
      </c>
      <c r="N190" s="11" t="s">
        <v>367</v>
      </c>
      <c r="O190" s="11" t="s">
        <v>19</v>
      </c>
      <c r="Q190"/>
    </row>
    <row r="191" spans="1:17" ht="15.6" x14ac:dyDescent="0.3">
      <c r="A191" s="15">
        <v>10121</v>
      </c>
      <c r="B191" s="14">
        <v>37748</v>
      </c>
      <c r="C191" s="14" t="s">
        <v>296</v>
      </c>
      <c r="D191" s="15" t="s">
        <v>109</v>
      </c>
      <c r="E191" s="15" t="s">
        <v>110</v>
      </c>
      <c r="F191" s="15" t="s">
        <v>92</v>
      </c>
      <c r="G191" s="15" t="s">
        <v>25</v>
      </c>
      <c r="H191" s="15" t="s">
        <v>68</v>
      </c>
      <c r="I191" s="15" t="s">
        <v>70</v>
      </c>
      <c r="J191" s="15" t="s">
        <v>267</v>
      </c>
      <c r="K191" s="15">
        <v>50</v>
      </c>
      <c r="L191" s="16">
        <v>50</v>
      </c>
      <c r="M191" s="17">
        <v>2500</v>
      </c>
      <c r="N191" s="15" t="s">
        <v>368</v>
      </c>
      <c r="O191" s="15" t="s">
        <v>19</v>
      </c>
      <c r="Q191"/>
    </row>
    <row r="192" spans="1:17" ht="15.6" x14ac:dyDescent="0.3">
      <c r="A192" s="11">
        <v>10121</v>
      </c>
      <c r="B192" s="10">
        <v>37748</v>
      </c>
      <c r="C192" s="10" t="s">
        <v>296</v>
      </c>
      <c r="D192" s="11" t="s">
        <v>109</v>
      </c>
      <c r="E192" s="11" t="s">
        <v>110</v>
      </c>
      <c r="F192" s="11" t="s">
        <v>92</v>
      </c>
      <c r="G192" s="11" t="s">
        <v>25</v>
      </c>
      <c r="H192" s="11" t="s">
        <v>68</v>
      </c>
      <c r="I192" s="11" t="s">
        <v>70</v>
      </c>
      <c r="J192" s="11" t="s">
        <v>267</v>
      </c>
      <c r="K192" s="11">
        <v>32</v>
      </c>
      <c r="L192" s="12">
        <v>50</v>
      </c>
      <c r="M192" s="13">
        <v>1600</v>
      </c>
      <c r="N192" s="11" t="s">
        <v>367</v>
      </c>
      <c r="O192" s="11" t="s">
        <v>19</v>
      </c>
      <c r="Q192"/>
    </row>
    <row r="193" spans="1:17" ht="15.6" x14ac:dyDescent="0.3">
      <c r="A193" s="15">
        <v>10121</v>
      </c>
      <c r="B193" s="14">
        <v>37748</v>
      </c>
      <c r="C193" s="14" t="s">
        <v>296</v>
      </c>
      <c r="D193" s="15" t="s">
        <v>109</v>
      </c>
      <c r="E193" s="15" t="s">
        <v>110</v>
      </c>
      <c r="F193" s="15" t="s">
        <v>92</v>
      </c>
      <c r="G193" s="15" t="s">
        <v>25</v>
      </c>
      <c r="H193" s="15" t="s">
        <v>68</v>
      </c>
      <c r="I193" s="15" t="s">
        <v>69</v>
      </c>
      <c r="J193" s="15" t="s">
        <v>266</v>
      </c>
      <c r="K193" s="15">
        <v>25</v>
      </c>
      <c r="L193" s="16">
        <v>25</v>
      </c>
      <c r="M193" s="17">
        <v>625</v>
      </c>
      <c r="N193" s="15" t="s">
        <v>367</v>
      </c>
      <c r="O193" s="15" t="s">
        <v>19</v>
      </c>
      <c r="Q193"/>
    </row>
    <row r="194" spans="1:17" ht="15.6" x14ac:dyDescent="0.3">
      <c r="A194" s="11">
        <v>10121</v>
      </c>
      <c r="B194" s="10">
        <v>37748</v>
      </c>
      <c r="C194" s="10" t="s">
        <v>296</v>
      </c>
      <c r="D194" s="11" t="s">
        <v>109</v>
      </c>
      <c r="E194" s="11" t="s">
        <v>110</v>
      </c>
      <c r="F194" s="11" t="s">
        <v>92</v>
      </c>
      <c r="G194" s="11" t="s">
        <v>25</v>
      </c>
      <c r="H194" s="11" t="s">
        <v>68</v>
      </c>
      <c r="I194" s="11" t="s">
        <v>69</v>
      </c>
      <c r="J194" s="11" t="s">
        <v>266</v>
      </c>
      <c r="K194" s="11">
        <v>44</v>
      </c>
      <c r="L194" s="12">
        <v>25</v>
      </c>
      <c r="M194" s="13">
        <v>1100</v>
      </c>
      <c r="N194" s="11" t="s">
        <v>367</v>
      </c>
      <c r="O194" s="11" t="s">
        <v>19</v>
      </c>
      <c r="Q194"/>
    </row>
    <row r="195" spans="1:17" ht="15.6" x14ac:dyDescent="0.3">
      <c r="A195" s="15">
        <v>10122</v>
      </c>
      <c r="B195" s="14">
        <v>37749</v>
      </c>
      <c r="C195" s="14" t="s">
        <v>297</v>
      </c>
      <c r="D195" s="15" t="s">
        <v>111</v>
      </c>
      <c r="E195" s="15" t="s">
        <v>112</v>
      </c>
      <c r="F195" s="15" t="s">
        <v>92</v>
      </c>
      <c r="G195" s="15" t="s">
        <v>25</v>
      </c>
      <c r="H195" s="15" t="s">
        <v>32</v>
      </c>
      <c r="I195" s="15" t="s">
        <v>34</v>
      </c>
      <c r="J195" s="15" t="s">
        <v>246</v>
      </c>
      <c r="K195" s="15">
        <v>42</v>
      </c>
      <c r="L195" s="16">
        <v>80</v>
      </c>
      <c r="M195" s="17">
        <v>3360</v>
      </c>
      <c r="N195" s="15" t="s">
        <v>367</v>
      </c>
      <c r="O195" s="15" t="s">
        <v>19</v>
      </c>
      <c r="Q195"/>
    </row>
    <row r="196" spans="1:17" ht="15.6" x14ac:dyDescent="0.3">
      <c r="A196" s="11">
        <v>10122</v>
      </c>
      <c r="B196" s="10">
        <v>37749</v>
      </c>
      <c r="C196" s="10" t="s">
        <v>297</v>
      </c>
      <c r="D196" s="11" t="s">
        <v>111</v>
      </c>
      <c r="E196" s="11" t="s">
        <v>112</v>
      </c>
      <c r="F196" s="11" t="s">
        <v>92</v>
      </c>
      <c r="G196" s="11" t="s">
        <v>25</v>
      </c>
      <c r="H196" s="11" t="s">
        <v>32</v>
      </c>
      <c r="I196" s="11" t="s">
        <v>44</v>
      </c>
      <c r="J196" s="11" t="s">
        <v>252</v>
      </c>
      <c r="K196" s="11">
        <v>37</v>
      </c>
      <c r="L196" s="12">
        <v>55</v>
      </c>
      <c r="M196" s="13">
        <v>2035</v>
      </c>
      <c r="N196" s="11" t="s">
        <v>367</v>
      </c>
      <c r="O196" s="11" t="s">
        <v>19</v>
      </c>
      <c r="Q196"/>
    </row>
    <row r="197" spans="1:17" ht="15.6" x14ac:dyDescent="0.3">
      <c r="A197" s="15">
        <v>10122</v>
      </c>
      <c r="B197" s="14">
        <v>37749</v>
      </c>
      <c r="C197" s="14" t="s">
        <v>297</v>
      </c>
      <c r="D197" s="15" t="s">
        <v>111</v>
      </c>
      <c r="E197" s="15" t="s">
        <v>112</v>
      </c>
      <c r="F197" s="15" t="s">
        <v>92</v>
      </c>
      <c r="G197" s="15" t="s">
        <v>25</v>
      </c>
      <c r="H197" s="15" t="s">
        <v>32</v>
      </c>
      <c r="I197" s="15" t="s">
        <v>44</v>
      </c>
      <c r="J197" s="15" t="s">
        <v>252</v>
      </c>
      <c r="K197" s="15">
        <v>32</v>
      </c>
      <c r="L197" s="16">
        <v>55</v>
      </c>
      <c r="M197" s="17">
        <v>1760</v>
      </c>
      <c r="N197" s="15" t="s">
        <v>367</v>
      </c>
      <c r="O197" s="15" t="s">
        <v>19</v>
      </c>
      <c r="Q197"/>
    </row>
    <row r="198" spans="1:17" ht="15.6" x14ac:dyDescent="0.3">
      <c r="A198" s="11">
        <v>10122</v>
      </c>
      <c r="B198" s="10">
        <v>37749</v>
      </c>
      <c r="C198" s="10" t="s">
        <v>297</v>
      </c>
      <c r="D198" s="11" t="s">
        <v>111</v>
      </c>
      <c r="E198" s="11" t="s">
        <v>112</v>
      </c>
      <c r="F198" s="11" t="s">
        <v>92</v>
      </c>
      <c r="G198" s="11" t="s">
        <v>25</v>
      </c>
      <c r="H198" s="11" t="s">
        <v>32</v>
      </c>
      <c r="I198" s="11" t="s">
        <v>46</v>
      </c>
      <c r="J198" s="11" t="s">
        <v>254</v>
      </c>
      <c r="K198" s="11">
        <v>20</v>
      </c>
      <c r="L198" s="12">
        <v>90</v>
      </c>
      <c r="M198" s="13">
        <v>1800</v>
      </c>
      <c r="N198" s="11" t="s">
        <v>367</v>
      </c>
      <c r="O198" s="11" t="s">
        <v>19</v>
      </c>
      <c r="Q198"/>
    </row>
    <row r="199" spans="1:17" ht="15.6" x14ac:dyDescent="0.3">
      <c r="A199" s="15">
        <v>10122</v>
      </c>
      <c r="B199" s="14">
        <v>37749</v>
      </c>
      <c r="C199" s="14" t="s">
        <v>297</v>
      </c>
      <c r="D199" s="15" t="s">
        <v>111</v>
      </c>
      <c r="E199" s="15" t="s">
        <v>112</v>
      </c>
      <c r="F199" s="15" t="s">
        <v>92</v>
      </c>
      <c r="G199" s="15" t="s">
        <v>25</v>
      </c>
      <c r="H199" s="15" t="s">
        <v>32</v>
      </c>
      <c r="I199" s="15" t="s">
        <v>33</v>
      </c>
      <c r="J199" s="15" t="s">
        <v>245</v>
      </c>
      <c r="K199" s="15">
        <v>34</v>
      </c>
      <c r="L199" s="16">
        <v>85</v>
      </c>
      <c r="M199" s="17">
        <v>2890</v>
      </c>
      <c r="N199" s="15" t="s">
        <v>367</v>
      </c>
      <c r="O199" s="15" t="s">
        <v>19</v>
      </c>
      <c r="Q199"/>
    </row>
    <row r="200" spans="1:17" ht="15.6" x14ac:dyDescent="0.3">
      <c r="A200" s="11">
        <v>10122</v>
      </c>
      <c r="B200" s="10">
        <v>37749</v>
      </c>
      <c r="C200" s="10" t="s">
        <v>297</v>
      </c>
      <c r="D200" s="11" t="s">
        <v>111</v>
      </c>
      <c r="E200" s="11" t="s">
        <v>112</v>
      </c>
      <c r="F200" s="11" t="s">
        <v>92</v>
      </c>
      <c r="G200" s="11" t="s">
        <v>25</v>
      </c>
      <c r="H200" s="11" t="s">
        <v>32</v>
      </c>
      <c r="I200" s="11" t="s">
        <v>34</v>
      </c>
      <c r="J200" s="11" t="s">
        <v>246</v>
      </c>
      <c r="K200" s="11">
        <v>43</v>
      </c>
      <c r="L200" s="12">
        <v>80</v>
      </c>
      <c r="M200" s="13">
        <v>3440</v>
      </c>
      <c r="N200" s="11" t="s">
        <v>367</v>
      </c>
      <c r="O200" s="11" t="s">
        <v>19</v>
      </c>
      <c r="Q200"/>
    </row>
    <row r="201" spans="1:17" ht="15.6" x14ac:dyDescent="0.3">
      <c r="A201" s="15">
        <v>10122</v>
      </c>
      <c r="B201" s="14">
        <v>37749</v>
      </c>
      <c r="C201" s="14" t="s">
        <v>297</v>
      </c>
      <c r="D201" s="15" t="s">
        <v>111</v>
      </c>
      <c r="E201" s="15" t="s">
        <v>112</v>
      </c>
      <c r="F201" s="15" t="s">
        <v>92</v>
      </c>
      <c r="G201" s="15" t="s">
        <v>25</v>
      </c>
      <c r="H201" s="15" t="s">
        <v>32</v>
      </c>
      <c r="I201" s="15" t="s">
        <v>34</v>
      </c>
      <c r="J201" s="15" t="s">
        <v>246</v>
      </c>
      <c r="K201" s="15">
        <v>31</v>
      </c>
      <c r="L201" s="16">
        <v>80</v>
      </c>
      <c r="M201" s="17">
        <v>2480</v>
      </c>
      <c r="N201" s="15" t="s">
        <v>367</v>
      </c>
      <c r="O201" s="15" t="s">
        <v>19</v>
      </c>
      <c r="Q201"/>
    </row>
    <row r="202" spans="1:17" ht="15.6" x14ac:dyDescent="0.3">
      <c r="A202" s="11">
        <v>10122</v>
      </c>
      <c r="B202" s="10">
        <v>37749</v>
      </c>
      <c r="C202" s="10" t="s">
        <v>297</v>
      </c>
      <c r="D202" s="11" t="s">
        <v>111</v>
      </c>
      <c r="E202" s="11" t="s">
        <v>112</v>
      </c>
      <c r="F202" s="11" t="s">
        <v>92</v>
      </c>
      <c r="G202" s="11" t="s">
        <v>25</v>
      </c>
      <c r="H202" s="11" t="s">
        <v>32</v>
      </c>
      <c r="I202" s="11" t="s">
        <v>34</v>
      </c>
      <c r="J202" s="11" t="s">
        <v>246</v>
      </c>
      <c r="K202" s="11">
        <v>25</v>
      </c>
      <c r="L202" s="12">
        <v>80</v>
      </c>
      <c r="M202" s="13">
        <v>2000</v>
      </c>
      <c r="N202" s="11" t="s">
        <v>367</v>
      </c>
      <c r="O202" s="11" t="s">
        <v>19</v>
      </c>
      <c r="Q202"/>
    </row>
    <row r="203" spans="1:17" ht="15.6" x14ac:dyDescent="0.3">
      <c r="A203" s="15">
        <v>10122</v>
      </c>
      <c r="B203" s="14">
        <v>37749</v>
      </c>
      <c r="C203" s="14" t="s">
        <v>297</v>
      </c>
      <c r="D203" s="15" t="s">
        <v>111</v>
      </c>
      <c r="E203" s="15" t="s">
        <v>112</v>
      </c>
      <c r="F203" s="15" t="s">
        <v>92</v>
      </c>
      <c r="G203" s="15" t="s">
        <v>25</v>
      </c>
      <c r="H203" s="15" t="s">
        <v>32</v>
      </c>
      <c r="I203" s="15" t="s">
        <v>46</v>
      </c>
      <c r="J203" s="15" t="s">
        <v>254</v>
      </c>
      <c r="K203" s="15">
        <v>21</v>
      </c>
      <c r="L203" s="16">
        <v>90</v>
      </c>
      <c r="M203" s="17">
        <v>1890</v>
      </c>
      <c r="N203" s="15" t="s">
        <v>367</v>
      </c>
      <c r="O203" s="15" t="s">
        <v>19</v>
      </c>
      <c r="Q203"/>
    </row>
    <row r="204" spans="1:17" ht="15.6" x14ac:dyDescent="0.3">
      <c r="A204" s="11">
        <v>10122</v>
      </c>
      <c r="B204" s="10">
        <v>37749</v>
      </c>
      <c r="C204" s="10" t="s">
        <v>297</v>
      </c>
      <c r="D204" s="11" t="s">
        <v>111</v>
      </c>
      <c r="E204" s="11" t="s">
        <v>112</v>
      </c>
      <c r="F204" s="11" t="s">
        <v>92</v>
      </c>
      <c r="G204" s="11" t="s">
        <v>25</v>
      </c>
      <c r="H204" s="11" t="s">
        <v>32</v>
      </c>
      <c r="I204" s="11" t="s">
        <v>46</v>
      </c>
      <c r="J204" s="11" t="s">
        <v>254</v>
      </c>
      <c r="K204" s="11">
        <v>21</v>
      </c>
      <c r="L204" s="12">
        <v>90</v>
      </c>
      <c r="M204" s="13">
        <v>1890</v>
      </c>
      <c r="N204" s="11" t="s">
        <v>367</v>
      </c>
      <c r="O204" s="11" t="s">
        <v>19</v>
      </c>
      <c r="Q204"/>
    </row>
    <row r="205" spans="1:17" ht="15.6" x14ac:dyDescent="0.3">
      <c r="A205" s="15">
        <v>10122</v>
      </c>
      <c r="B205" s="14">
        <v>37749</v>
      </c>
      <c r="C205" s="14" t="s">
        <v>297</v>
      </c>
      <c r="D205" s="15" t="s">
        <v>111</v>
      </c>
      <c r="E205" s="15" t="s">
        <v>112</v>
      </c>
      <c r="F205" s="15" t="s">
        <v>92</v>
      </c>
      <c r="G205" s="15" t="s">
        <v>25</v>
      </c>
      <c r="H205" s="15" t="s">
        <v>68</v>
      </c>
      <c r="I205" s="15" t="s">
        <v>70</v>
      </c>
      <c r="J205" s="15" t="s">
        <v>267</v>
      </c>
      <c r="K205" s="15">
        <v>35</v>
      </c>
      <c r="L205" s="16">
        <v>50</v>
      </c>
      <c r="M205" s="17">
        <v>1750</v>
      </c>
      <c r="N205" s="15" t="s">
        <v>367</v>
      </c>
      <c r="O205" s="15" t="s">
        <v>19</v>
      </c>
      <c r="Q205"/>
    </row>
    <row r="206" spans="1:17" ht="15.6" x14ac:dyDescent="0.3">
      <c r="A206" s="11">
        <v>10122</v>
      </c>
      <c r="B206" s="10">
        <v>37749</v>
      </c>
      <c r="C206" s="10" t="s">
        <v>297</v>
      </c>
      <c r="D206" s="11" t="s">
        <v>111</v>
      </c>
      <c r="E206" s="11" t="s">
        <v>112</v>
      </c>
      <c r="F206" s="11" t="s">
        <v>92</v>
      </c>
      <c r="G206" s="11" t="s">
        <v>25</v>
      </c>
      <c r="H206" s="11" t="s">
        <v>32</v>
      </c>
      <c r="I206" s="11" t="s">
        <v>34</v>
      </c>
      <c r="J206" s="11" t="s">
        <v>246</v>
      </c>
      <c r="K206" s="11">
        <v>28</v>
      </c>
      <c r="L206" s="12">
        <v>80</v>
      </c>
      <c r="M206" s="13">
        <v>2240</v>
      </c>
      <c r="N206" s="11" t="s">
        <v>367</v>
      </c>
      <c r="O206" s="11" t="s">
        <v>19</v>
      </c>
      <c r="Q206"/>
    </row>
    <row r="207" spans="1:17" ht="15.6" x14ac:dyDescent="0.3">
      <c r="A207" s="15">
        <v>10122</v>
      </c>
      <c r="B207" s="14">
        <v>37749</v>
      </c>
      <c r="C207" s="14" t="s">
        <v>297</v>
      </c>
      <c r="D207" s="15" t="s">
        <v>111</v>
      </c>
      <c r="E207" s="15" t="s">
        <v>112</v>
      </c>
      <c r="F207" s="15" t="s">
        <v>92</v>
      </c>
      <c r="G207" s="15" t="s">
        <v>25</v>
      </c>
      <c r="H207" s="15" t="s">
        <v>32</v>
      </c>
      <c r="I207" s="15" t="s">
        <v>34</v>
      </c>
      <c r="J207" s="15" t="s">
        <v>246</v>
      </c>
      <c r="K207" s="15">
        <v>39</v>
      </c>
      <c r="L207" s="16">
        <v>80</v>
      </c>
      <c r="M207" s="17">
        <v>3120</v>
      </c>
      <c r="N207" s="15" t="s">
        <v>367</v>
      </c>
      <c r="O207" s="15" t="s">
        <v>19</v>
      </c>
      <c r="Q207"/>
    </row>
    <row r="208" spans="1:17" ht="15.6" x14ac:dyDescent="0.3">
      <c r="A208" s="11">
        <v>10122</v>
      </c>
      <c r="B208" s="10">
        <v>37749</v>
      </c>
      <c r="C208" s="10" t="s">
        <v>297</v>
      </c>
      <c r="D208" s="11" t="s">
        <v>111</v>
      </c>
      <c r="E208" s="11" t="s">
        <v>112</v>
      </c>
      <c r="F208" s="11" t="s">
        <v>92</v>
      </c>
      <c r="G208" s="11" t="s">
        <v>25</v>
      </c>
      <c r="H208" s="11" t="s">
        <v>32</v>
      </c>
      <c r="I208" s="11" t="s">
        <v>33</v>
      </c>
      <c r="J208" s="11" t="s">
        <v>245</v>
      </c>
      <c r="K208" s="11">
        <v>34</v>
      </c>
      <c r="L208" s="12">
        <v>85</v>
      </c>
      <c r="M208" s="13">
        <v>2890</v>
      </c>
      <c r="N208" s="11" t="s">
        <v>367</v>
      </c>
      <c r="O208" s="11" t="s">
        <v>19</v>
      </c>
      <c r="Q208"/>
    </row>
    <row r="209" spans="1:17" ht="15.6" x14ac:dyDescent="0.3">
      <c r="A209" s="15">
        <v>10122</v>
      </c>
      <c r="B209" s="14">
        <v>37749</v>
      </c>
      <c r="C209" s="14" t="s">
        <v>297</v>
      </c>
      <c r="D209" s="15" t="s">
        <v>111</v>
      </c>
      <c r="E209" s="15" t="s">
        <v>112</v>
      </c>
      <c r="F209" s="15" t="s">
        <v>92</v>
      </c>
      <c r="G209" s="15" t="s">
        <v>25</v>
      </c>
      <c r="H209" s="15" t="s">
        <v>32</v>
      </c>
      <c r="I209" s="15" t="s">
        <v>44</v>
      </c>
      <c r="J209" s="15" t="s">
        <v>252</v>
      </c>
      <c r="K209" s="15">
        <v>43</v>
      </c>
      <c r="L209" s="16">
        <v>55</v>
      </c>
      <c r="M209" s="17">
        <v>2365</v>
      </c>
      <c r="N209" s="15" t="s">
        <v>367</v>
      </c>
      <c r="O209" s="15" t="s">
        <v>19</v>
      </c>
      <c r="Q209"/>
    </row>
    <row r="210" spans="1:17" ht="15.6" x14ac:dyDescent="0.3">
      <c r="A210" s="11">
        <v>10122</v>
      </c>
      <c r="B210" s="10">
        <v>37749</v>
      </c>
      <c r="C210" s="10" t="s">
        <v>297</v>
      </c>
      <c r="D210" s="11" t="s">
        <v>111</v>
      </c>
      <c r="E210" s="11" t="s">
        <v>112</v>
      </c>
      <c r="F210" s="11" t="s">
        <v>92</v>
      </c>
      <c r="G210" s="11" t="s">
        <v>25</v>
      </c>
      <c r="H210" s="11" t="s">
        <v>32</v>
      </c>
      <c r="I210" s="11" t="s">
        <v>46</v>
      </c>
      <c r="J210" s="11" t="s">
        <v>254</v>
      </c>
      <c r="K210" s="11">
        <v>29</v>
      </c>
      <c r="L210" s="12">
        <v>90</v>
      </c>
      <c r="M210" s="13">
        <v>2610</v>
      </c>
      <c r="N210" s="11" t="s">
        <v>367</v>
      </c>
      <c r="O210" s="11" t="s">
        <v>19</v>
      </c>
      <c r="Q210"/>
    </row>
    <row r="211" spans="1:17" ht="15.6" x14ac:dyDescent="0.3">
      <c r="A211" s="15">
        <v>10122</v>
      </c>
      <c r="B211" s="14">
        <v>37749</v>
      </c>
      <c r="C211" s="14" t="s">
        <v>297</v>
      </c>
      <c r="D211" s="15" t="s">
        <v>111</v>
      </c>
      <c r="E211" s="15" t="s">
        <v>112</v>
      </c>
      <c r="F211" s="15" t="s">
        <v>92</v>
      </c>
      <c r="G211" s="15" t="s">
        <v>25</v>
      </c>
      <c r="H211" s="15" t="s">
        <v>68</v>
      </c>
      <c r="I211" s="15" t="s">
        <v>69</v>
      </c>
      <c r="J211" s="15" t="s">
        <v>266</v>
      </c>
      <c r="K211" s="15">
        <v>31</v>
      </c>
      <c r="L211" s="16">
        <v>25</v>
      </c>
      <c r="M211" s="17">
        <v>775</v>
      </c>
      <c r="N211" s="15" t="s">
        <v>367</v>
      </c>
      <c r="O211" s="15" t="s">
        <v>19</v>
      </c>
      <c r="Q211"/>
    </row>
    <row r="212" spans="1:17" ht="15.6" x14ac:dyDescent="0.3">
      <c r="A212" s="11">
        <v>10123</v>
      </c>
      <c r="B212" s="10">
        <v>37761</v>
      </c>
      <c r="C212" s="10" t="s">
        <v>298</v>
      </c>
      <c r="D212" s="11" t="s">
        <v>113</v>
      </c>
      <c r="E212" s="11" t="s">
        <v>114</v>
      </c>
      <c r="F212" s="11" t="s">
        <v>92</v>
      </c>
      <c r="G212" s="11" t="s">
        <v>25</v>
      </c>
      <c r="H212" s="11" t="s">
        <v>32</v>
      </c>
      <c r="I212" s="11" t="s">
        <v>46</v>
      </c>
      <c r="J212" s="11" t="s">
        <v>254</v>
      </c>
      <c r="K212" s="11">
        <v>26</v>
      </c>
      <c r="L212" s="12">
        <v>90</v>
      </c>
      <c r="M212" s="13">
        <v>2340</v>
      </c>
      <c r="N212" s="11" t="s">
        <v>367</v>
      </c>
      <c r="O212" s="11" t="s">
        <v>19</v>
      </c>
      <c r="Q212"/>
    </row>
    <row r="213" spans="1:17" ht="15.6" x14ac:dyDescent="0.3">
      <c r="A213" s="15">
        <v>10123</v>
      </c>
      <c r="B213" s="14">
        <v>37761</v>
      </c>
      <c r="C213" s="14" t="s">
        <v>298</v>
      </c>
      <c r="D213" s="15" t="s">
        <v>113</v>
      </c>
      <c r="E213" s="15" t="s">
        <v>114</v>
      </c>
      <c r="F213" s="15" t="s">
        <v>92</v>
      </c>
      <c r="G213" s="15" t="s">
        <v>25</v>
      </c>
      <c r="H213" s="15" t="s">
        <v>32</v>
      </c>
      <c r="I213" s="15" t="s">
        <v>44</v>
      </c>
      <c r="J213" s="15" t="s">
        <v>252</v>
      </c>
      <c r="K213" s="15">
        <v>46</v>
      </c>
      <c r="L213" s="16">
        <v>55</v>
      </c>
      <c r="M213" s="17">
        <v>2530</v>
      </c>
      <c r="N213" s="15" t="s">
        <v>367</v>
      </c>
      <c r="O213" s="15" t="s">
        <v>19</v>
      </c>
      <c r="Q213"/>
    </row>
    <row r="214" spans="1:17" ht="15.6" x14ac:dyDescent="0.3">
      <c r="A214" s="11">
        <v>10123</v>
      </c>
      <c r="B214" s="10">
        <v>37761</v>
      </c>
      <c r="C214" s="10" t="s">
        <v>298</v>
      </c>
      <c r="D214" s="11" t="s">
        <v>113</v>
      </c>
      <c r="E214" s="11" t="s">
        <v>114</v>
      </c>
      <c r="F214" s="11" t="s">
        <v>92</v>
      </c>
      <c r="G214" s="11" t="s">
        <v>25</v>
      </c>
      <c r="H214" s="11" t="s">
        <v>32</v>
      </c>
      <c r="I214" s="11" t="s">
        <v>44</v>
      </c>
      <c r="J214" s="11" t="s">
        <v>252</v>
      </c>
      <c r="K214" s="11">
        <v>34</v>
      </c>
      <c r="L214" s="12">
        <v>55</v>
      </c>
      <c r="M214" s="13">
        <v>1870</v>
      </c>
      <c r="N214" s="11" t="s">
        <v>367</v>
      </c>
      <c r="O214" s="11" t="s">
        <v>19</v>
      </c>
      <c r="Q214"/>
    </row>
    <row r="215" spans="1:17" ht="15.6" x14ac:dyDescent="0.3">
      <c r="A215" s="15">
        <v>10123</v>
      </c>
      <c r="B215" s="14">
        <v>37761</v>
      </c>
      <c r="C215" s="14" t="s">
        <v>298</v>
      </c>
      <c r="D215" s="15" t="s">
        <v>113</v>
      </c>
      <c r="E215" s="15" t="s">
        <v>114</v>
      </c>
      <c r="F215" s="15" t="s">
        <v>92</v>
      </c>
      <c r="G215" s="15" t="s">
        <v>25</v>
      </c>
      <c r="H215" s="15" t="s">
        <v>32</v>
      </c>
      <c r="I215" s="15" t="s">
        <v>44</v>
      </c>
      <c r="J215" s="15" t="s">
        <v>252</v>
      </c>
      <c r="K215" s="15">
        <v>50</v>
      </c>
      <c r="L215" s="16">
        <v>55</v>
      </c>
      <c r="M215" s="17">
        <v>2750</v>
      </c>
      <c r="N215" s="15" t="s">
        <v>368</v>
      </c>
      <c r="O215" s="15" t="s">
        <v>19</v>
      </c>
      <c r="Q215"/>
    </row>
    <row r="216" spans="1:17" ht="15.6" x14ac:dyDescent="0.3">
      <c r="A216" s="11">
        <v>10125</v>
      </c>
      <c r="B216" s="10">
        <v>37762</v>
      </c>
      <c r="C216" s="10" t="s">
        <v>295</v>
      </c>
      <c r="D216" s="11" t="s">
        <v>104</v>
      </c>
      <c r="E216" s="11" t="s">
        <v>105</v>
      </c>
      <c r="F216" s="11" t="s">
        <v>106</v>
      </c>
      <c r="G216" s="11" t="s">
        <v>107</v>
      </c>
      <c r="H216" s="11" t="s">
        <v>17</v>
      </c>
      <c r="I216" s="11" t="s">
        <v>18</v>
      </c>
      <c r="J216" s="11" t="s">
        <v>241</v>
      </c>
      <c r="K216" s="11">
        <v>32</v>
      </c>
      <c r="L216" s="12">
        <v>30</v>
      </c>
      <c r="M216" s="13">
        <v>960</v>
      </c>
      <c r="N216" s="11" t="s">
        <v>367</v>
      </c>
      <c r="O216" s="11" t="s">
        <v>19</v>
      </c>
      <c r="Q216"/>
    </row>
    <row r="217" spans="1:17" ht="15.6" x14ac:dyDescent="0.3">
      <c r="A217" s="15">
        <v>10124</v>
      </c>
      <c r="B217" s="14">
        <v>37762</v>
      </c>
      <c r="C217" s="14" t="s">
        <v>299</v>
      </c>
      <c r="D217" s="15" t="s">
        <v>115</v>
      </c>
      <c r="E217" s="15" t="s">
        <v>116</v>
      </c>
      <c r="F217" s="15" t="s">
        <v>15</v>
      </c>
      <c r="G217" s="15" t="s">
        <v>16</v>
      </c>
      <c r="H217" s="15" t="s">
        <v>17</v>
      </c>
      <c r="I217" s="15" t="s">
        <v>20</v>
      </c>
      <c r="J217" s="15" t="s">
        <v>242</v>
      </c>
      <c r="K217" s="15">
        <v>21</v>
      </c>
      <c r="L217" s="16">
        <v>48</v>
      </c>
      <c r="M217" s="17">
        <v>1008</v>
      </c>
      <c r="N217" s="15" t="s">
        <v>367</v>
      </c>
      <c r="O217" s="15" t="s">
        <v>19</v>
      </c>
      <c r="Q217"/>
    </row>
    <row r="218" spans="1:17" ht="15.6" x14ac:dyDescent="0.3">
      <c r="A218" s="11">
        <v>10124</v>
      </c>
      <c r="B218" s="10">
        <v>37762</v>
      </c>
      <c r="C218" s="10" t="s">
        <v>299</v>
      </c>
      <c r="D218" s="11" t="s">
        <v>115</v>
      </c>
      <c r="E218" s="11" t="s">
        <v>116</v>
      </c>
      <c r="F218" s="11" t="s">
        <v>15</v>
      </c>
      <c r="G218" s="11" t="s">
        <v>16</v>
      </c>
      <c r="H218" s="11" t="s">
        <v>17</v>
      </c>
      <c r="I218" s="11" t="s">
        <v>20</v>
      </c>
      <c r="J218" s="11" t="s">
        <v>242</v>
      </c>
      <c r="K218" s="11">
        <v>42</v>
      </c>
      <c r="L218" s="12">
        <v>48</v>
      </c>
      <c r="M218" s="13">
        <v>2016</v>
      </c>
      <c r="N218" s="11" t="s">
        <v>367</v>
      </c>
      <c r="O218" s="11" t="s">
        <v>19</v>
      </c>
      <c r="Q218"/>
    </row>
    <row r="219" spans="1:17" ht="15.6" x14ac:dyDescent="0.3">
      <c r="A219" s="15">
        <v>10124</v>
      </c>
      <c r="B219" s="14">
        <v>37762</v>
      </c>
      <c r="C219" s="14" t="s">
        <v>299</v>
      </c>
      <c r="D219" s="15" t="s">
        <v>115</v>
      </c>
      <c r="E219" s="15" t="s">
        <v>116</v>
      </c>
      <c r="F219" s="15" t="s">
        <v>15</v>
      </c>
      <c r="G219" s="15" t="s">
        <v>16</v>
      </c>
      <c r="H219" s="15" t="s">
        <v>17</v>
      </c>
      <c r="I219" s="15" t="s">
        <v>52</v>
      </c>
      <c r="J219" s="15" t="s">
        <v>256</v>
      </c>
      <c r="K219" s="15">
        <v>42</v>
      </c>
      <c r="L219" s="16">
        <v>45</v>
      </c>
      <c r="M219" s="17">
        <v>1890</v>
      </c>
      <c r="N219" s="15" t="s">
        <v>367</v>
      </c>
      <c r="O219" s="15" t="s">
        <v>19</v>
      </c>
      <c r="Q219"/>
    </row>
    <row r="220" spans="1:17" ht="15.6" x14ac:dyDescent="0.3">
      <c r="A220" s="11">
        <v>10125</v>
      </c>
      <c r="B220" s="10">
        <v>37762</v>
      </c>
      <c r="C220" s="10" t="s">
        <v>295</v>
      </c>
      <c r="D220" s="11" t="s">
        <v>104</v>
      </c>
      <c r="E220" s="11" t="s">
        <v>105</v>
      </c>
      <c r="F220" s="11" t="s">
        <v>106</v>
      </c>
      <c r="G220" s="11" t="s">
        <v>107</v>
      </c>
      <c r="H220" s="11" t="s">
        <v>17</v>
      </c>
      <c r="I220" s="11" t="s">
        <v>20</v>
      </c>
      <c r="J220" s="11" t="s">
        <v>242</v>
      </c>
      <c r="K220" s="11">
        <v>34</v>
      </c>
      <c r="L220" s="12">
        <v>48</v>
      </c>
      <c r="M220" s="13">
        <v>1632</v>
      </c>
      <c r="N220" s="11" t="s">
        <v>367</v>
      </c>
      <c r="O220" s="11" t="s">
        <v>19</v>
      </c>
      <c r="Q220"/>
    </row>
    <row r="221" spans="1:17" ht="15.6" x14ac:dyDescent="0.3">
      <c r="A221" s="15">
        <v>10124</v>
      </c>
      <c r="B221" s="14">
        <v>37762</v>
      </c>
      <c r="C221" s="14" t="s">
        <v>299</v>
      </c>
      <c r="D221" s="15" t="s">
        <v>115</v>
      </c>
      <c r="E221" s="15" t="s">
        <v>116</v>
      </c>
      <c r="F221" s="15" t="s">
        <v>15</v>
      </c>
      <c r="G221" s="15" t="s">
        <v>16</v>
      </c>
      <c r="H221" s="15" t="s">
        <v>17</v>
      </c>
      <c r="I221" s="15" t="s">
        <v>26</v>
      </c>
      <c r="J221" s="15" t="s">
        <v>244</v>
      </c>
      <c r="K221" s="15">
        <v>36</v>
      </c>
      <c r="L221" s="16">
        <v>60</v>
      </c>
      <c r="M221" s="17">
        <v>2160</v>
      </c>
      <c r="N221" s="15" t="s">
        <v>367</v>
      </c>
      <c r="O221" s="15" t="s">
        <v>19</v>
      </c>
      <c r="Q221"/>
    </row>
    <row r="222" spans="1:17" ht="15.6" x14ac:dyDescent="0.3">
      <c r="A222" s="11">
        <v>10124</v>
      </c>
      <c r="B222" s="10">
        <v>37762</v>
      </c>
      <c r="C222" s="10" t="s">
        <v>299</v>
      </c>
      <c r="D222" s="11" t="s">
        <v>115</v>
      </c>
      <c r="E222" s="11" t="s">
        <v>116</v>
      </c>
      <c r="F222" s="11" t="s">
        <v>15</v>
      </c>
      <c r="G222" s="11" t="s">
        <v>16</v>
      </c>
      <c r="H222" s="11" t="s">
        <v>32</v>
      </c>
      <c r="I222" s="11" t="s">
        <v>34</v>
      </c>
      <c r="J222" s="11" t="s">
        <v>246</v>
      </c>
      <c r="K222" s="11">
        <v>23</v>
      </c>
      <c r="L222" s="12">
        <v>80</v>
      </c>
      <c r="M222" s="13">
        <v>1840</v>
      </c>
      <c r="N222" s="11" t="s">
        <v>367</v>
      </c>
      <c r="O222" s="11" t="s">
        <v>19</v>
      </c>
      <c r="Q222"/>
    </row>
    <row r="223" spans="1:17" ht="15.6" x14ac:dyDescent="0.3">
      <c r="A223" s="15">
        <v>10124</v>
      </c>
      <c r="B223" s="14">
        <v>37762</v>
      </c>
      <c r="C223" s="14" t="s">
        <v>299</v>
      </c>
      <c r="D223" s="15" t="s">
        <v>115</v>
      </c>
      <c r="E223" s="15" t="s">
        <v>116</v>
      </c>
      <c r="F223" s="15" t="s">
        <v>15</v>
      </c>
      <c r="G223" s="15" t="s">
        <v>16</v>
      </c>
      <c r="H223" s="15" t="s">
        <v>32</v>
      </c>
      <c r="I223" s="15" t="s">
        <v>33</v>
      </c>
      <c r="J223" s="15" t="s">
        <v>245</v>
      </c>
      <c r="K223" s="15">
        <v>22</v>
      </c>
      <c r="L223" s="16">
        <v>85</v>
      </c>
      <c r="M223" s="17">
        <v>1870</v>
      </c>
      <c r="N223" s="15" t="s">
        <v>367</v>
      </c>
      <c r="O223" s="15" t="s">
        <v>19</v>
      </c>
      <c r="Q223"/>
    </row>
    <row r="224" spans="1:17" ht="15.6" x14ac:dyDescent="0.3">
      <c r="A224" s="11">
        <v>10124</v>
      </c>
      <c r="B224" s="10">
        <v>37762</v>
      </c>
      <c r="C224" s="10" t="s">
        <v>299</v>
      </c>
      <c r="D224" s="11" t="s">
        <v>115</v>
      </c>
      <c r="E224" s="11" t="s">
        <v>116</v>
      </c>
      <c r="F224" s="11" t="s">
        <v>15</v>
      </c>
      <c r="G224" s="11" t="s">
        <v>16</v>
      </c>
      <c r="H224" s="11" t="s">
        <v>17</v>
      </c>
      <c r="I224" s="11" t="s">
        <v>20</v>
      </c>
      <c r="J224" s="11" t="s">
        <v>242</v>
      </c>
      <c r="K224" s="11">
        <v>45</v>
      </c>
      <c r="L224" s="12">
        <v>48</v>
      </c>
      <c r="M224" s="13">
        <v>2160</v>
      </c>
      <c r="N224" s="11" t="s">
        <v>367</v>
      </c>
      <c r="O224" s="11" t="s">
        <v>19</v>
      </c>
      <c r="Q224"/>
    </row>
    <row r="225" spans="1:17" ht="15.6" x14ac:dyDescent="0.3">
      <c r="A225" s="15">
        <v>10124</v>
      </c>
      <c r="B225" s="14">
        <v>37762</v>
      </c>
      <c r="C225" s="14" t="s">
        <v>299</v>
      </c>
      <c r="D225" s="15" t="s">
        <v>115</v>
      </c>
      <c r="E225" s="15" t="s">
        <v>116</v>
      </c>
      <c r="F225" s="15" t="s">
        <v>15</v>
      </c>
      <c r="G225" s="15" t="s">
        <v>16</v>
      </c>
      <c r="H225" s="15" t="s">
        <v>17</v>
      </c>
      <c r="I225" s="15" t="s">
        <v>20</v>
      </c>
      <c r="J225" s="15" t="s">
        <v>242</v>
      </c>
      <c r="K225" s="15">
        <v>22</v>
      </c>
      <c r="L225" s="16">
        <v>48</v>
      </c>
      <c r="M225" s="17">
        <v>1056</v>
      </c>
      <c r="N225" s="15" t="s">
        <v>367</v>
      </c>
      <c r="O225" s="15" t="s">
        <v>19</v>
      </c>
      <c r="Q225"/>
    </row>
    <row r="226" spans="1:17" ht="15.6" x14ac:dyDescent="0.3">
      <c r="A226" s="11">
        <v>10124</v>
      </c>
      <c r="B226" s="10">
        <v>37762</v>
      </c>
      <c r="C226" s="10" t="s">
        <v>299</v>
      </c>
      <c r="D226" s="11" t="s">
        <v>115</v>
      </c>
      <c r="E226" s="11" t="s">
        <v>116</v>
      </c>
      <c r="F226" s="11" t="s">
        <v>15</v>
      </c>
      <c r="G226" s="11" t="s">
        <v>16</v>
      </c>
      <c r="H226" s="11" t="s">
        <v>32</v>
      </c>
      <c r="I226" s="11" t="s">
        <v>44</v>
      </c>
      <c r="J226" s="11" t="s">
        <v>252</v>
      </c>
      <c r="K226" s="11">
        <v>32</v>
      </c>
      <c r="L226" s="12">
        <v>55</v>
      </c>
      <c r="M226" s="13">
        <v>1760</v>
      </c>
      <c r="N226" s="11" t="s">
        <v>367</v>
      </c>
      <c r="O226" s="11" t="s">
        <v>19</v>
      </c>
      <c r="Q226"/>
    </row>
    <row r="227" spans="1:17" ht="15.6" x14ac:dyDescent="0.3">
      <c r="A227" s="15">
        <v>10124</v>
      </c>
      <c r="B227" s="14">
        <v>37762</v>
      </c>
      <c r="C227" s="14" t="s">
        <v>299</v>
      </c>
      <c r="D227" s="15" t="s">
        <v>115</v>
      </c>
      <c r="E227" s="15" t="s">
        <v>116</v>
      </c>
      <c r="F227" s="15" t="s">
        <v>15</v>
      </c>
      <c r="G227" s="15" t="s">
        <v>16</v>
      </c>
      <c r="H227" s="15" t="s">
        <v>32</v>
      </c>
      <c r="I227" s="15" t="s">
        <v>34</v>
      </c>
      <c r="J227" s="15" t="s">
        <v>246</v>
      </c>
      <c r="K227" s="15">
        <v>25</v>
      </c>
      <c r="L227" s="16">
        <v>80</v>
      </c>
      <c r="M227" s="17">
        <v>2000</v>
      </c>
      <c r="N227" s="15" t="s">
        <v>367</v>
      </c>
      <c r="O227" s="15" t="s">
        <v>19</v>
      </c>
      <c r="Q227"/>
    </row>
    <row r="228" spans="1:17" ht="15.6" x14ac:dyDescent="0.3">
      <c r="A228" s="11">
        <v>10124</v>
      </c>
      <c r="B228" s="10">
        <v>37762</v>
      </c>
      <c r="C228" s="10" t="s">
        <v>299</v>
      </c>
      <c r="D228" s="11" t="s">
        <v>115</v>
      </c>
      <c r="E228" s="11" t="s">
        <v>116</v>
      </c>
      <c r="F228" s="11" t="s">
        <v>15</v>
      </c>
      <c r="G228" s="11" t="s">
        <v>16</v>
      </c>
      <c r="H228" s="11" t="s">
        <v>32</v>
      </c>
      <c r="I228" s="11" t="s">
        <v>46</v>
      </c>
      <c r="J228" s="11" t="s">
        <v>254</v>
      </c>
      <c r="K228" s="11">
        <v>49</v>
      </c>
      <c r="L228" s="12">
        <v>90</v>
      </c>
      <c r="M228" s="13">
        <v>4410</v>
      </c>
      <c r="N228" s="11" t="s">
        <v>367</v>
      </c>
      <c r="O228" s="11" t="s">
        <v>19</v>
      </c>
      <c r="Q228"/>
    </row>
    <row r="229" spans="1:17" ht="15.6" x14ac:dyDescent="0.3">
      <c r="A229" s="15">
        <v>10124</v>
      </c>
      <c r="B229" s="14">
        <v>37762</v>
      </c>
      <c r="C229" s="14" t="s">
        <v>299</v>
      </c>
      <c r="D229" s="15" t="s">
        <v>115</v>
      </c>
      <c r="E229" s="15" t="s">
        <v>116</v>
      </c>
      <c r="F229" s="15" t="s">
        <v>15</v>
      </c>
      <c r="G229" s="15" t="s">
        <v>16</v>
      </c>
      <c r="H229" s="15" t="s">
        <v>32</v>
      </c>
      <c r="I229" s="15" t="s">
        <v>46</v>
      </c>
      <c r="J229" s="15" t="s">
        <v>254</v>
      </c>
      <c r="K229" s="15">
        <v>43</v>
      </c>
      <c r="L229" s="16">
        <v>90</v>
      </c>
      <c r="M229" s="17">
        <v>3870</v>
      </c>
      <c r="N229" s="15" t="s">
        <v>367</v>
      </c>
      <c r="O229" s="15" t="s">
        <v>19</v>
      </c>
      <c r="Q229"/>
    </row>
    <row r="230" spans="1:17" ht="15.6" x14ac:dyDescent="0.3">
      <c r="A230" s="11">
        <v>10124</v>
      </c>
      <c r="B230" s="10">
        <v>37762</v>
      </c>
      <c r="C230" s="10" t="s">
        <v>299</v>
      </c>
      <c r="D230" s="11" t="s">
        <v>115</v>
      </c>
      <c r="E230" s="11" t="s">
        <v>116</v>
      </c>
      <c r="F230" s="11" t="s">
        <v>15</v>
      </c>
      <c r="G230" s="11" t="s">
        <v>16</v>
      </c>
      <c r="H230" s="11" t="s">
        <v>17</v>
      </c>
      <c r="I230" s="11" t="s">
        <v>20</v>
      </c>
      <c r="J230" s="11" t="s">
        <v>242</v>
      </c>
      <c r="K230" s="11">
        <v>46</v>
      </c>
      <c r="L230" s="12">
        <v>48</v>
      </c>
      <c r="M230" s="13">
        <v>2208</v>
      </c>
      <c r="N230" s="11" t="s">
        <v>367</v>
      </c>
      <c r="O230" s="11" t="s">
        <v>19</v>
      </c>
      <c r="Q230"/>
    </row>
    <row r="231" spans="1:17" ht="15.6" x14ac:dyDescent="0.3">
      <c r="A231" s="15">
        <v>10126</v>
      </c>
      <c r="B231" s="14">
        <v>37769</v>
      </c>
      <c r="C231" s="14" t="s">
        <v>300</v>
      </c>
      <c r="D231" s="15" t="s">
        <v>117</v>
      </c>
      <c r="E231" s="15" t="s">
        <v>42</v>
      </c>
      <c r="F231" s="15" t="s">
        <v>43</v>
      </c>
      <c r="G231" s="15" t="s">
        <v>25</v>
      </c>
      <c r="H231" s="15" t="s">
        <v>32</v>
      </c>
      <c r="I231" s="15" t="s">
        <v>44</v>
      </c>
      <c r="J231" s="15" t="s">
        <v>252</v>
      </c>
      <c r="K231" s="15">
        <v>38</v>
      </c>
      <c r="L231" s="16">
        <v>55</v>
      </c>
      <c r="M231" s="17">
        <v>2090</v>
      </c>
      <c r="N231" s="15" t="s">
        <v>367</v>
      </c>
      <c r="O231" s="15" t="s">
        <v>19</v>
      </c>
      <c r="Q231"/>
    </row>
    <row r="232" spans="1:17" ht="15.6" x14ac:dyDescent="0.3">
      <c r="A232" s="11">
        <v>10126</v>
      </c>
      <c r="B232" s="10">
        <v>37769</v>
      </c>
      <c r="C232" s="10" t="s">
        <v>300</v>
      </c>
      <c r="D232" s="11" t="s">
        <v>117</v>
      </c>
      <c r="E232" s="11" t="s">
        <v>42</v>
      </c>
      <c r="F232" s="11" t="s">
        <v>43</v>
      </c>
      <c r="G232" s="11" t="s">
        <v>25</v>
      </c>
      <c r="H232" s="11" t="s">
        <v>32</v>
      </c>
      <c r="I232" s="11" t="s">
        <v>34</v>
      </c>
      <c r="J232" s="11" t="s">
        <v>246</v>
      </c>
      <c r="K232" s="11">
        <v>22</v>
      </c>
      <c r="L232" s="12">
        <v>80</v>
      </c>
      <c r="M232" s="13">
        <v>1760</v>
      </c>
      <c r="N232" s="11" t="s">
        <v>367</v>
      </c>
      <c r="O232" s="11" t="s">
        <v>19</v>
      </c>
      <c r="Q232"/>
    </row>
    <row r="233" spans="1:17" ht="15.6" x14ac:dyDescent="0.3">
      <c r="A233" s="15">
        <v>10126</v>
      </c>
      <c r="B233" s="14">
        <v>37769</v>
      </c>
      <c r="C233" s="14" t="s">
        <v>300</v>
      </c>
      <c r="D233" s="15" t="s">
        <v>117</v>
      </c>
      <c r="E233" s="15" t="s">
        <v>42</v>
      </c>
      <c r="F233" s="15" t="s">
        <v>43</v>
      </c>
      <c r="G233" s="15" t="s">
        <v>25</v>
      </c>
      <c r="H233" s="15" t="s">
        <v>35</v>
      </c>
      <c r="I233" s="15" t="s">
        <v>37</v>
      </c>
      <c r="J233" s="15" t="s">
        <v>248</v>
      </c>
      <c r="K233" s="15">
        <v>21</v>
      </c>
      <c r="L233" s="16">
        <v>30</v>
      </c>
      <c r="M233" s="17">
        <v>630</v>
      </c>
      <c r="N233" s="15" t="s">
        <v>367</v>
      </c>
      <c r="O233" s="15" t="s">
        <v>19</v>
      </c>
      <c r="Q233"/>
    </row>
    <row r="234" spans="1:17" ht="15.6" x14ac:dyDescent="0.3">
      <c r="A234" s="11">
        <v>10126</v>
      </c>
      <c r="B234" s="10">
        <v>37769</v>
      </c>
      <c r="C234" s="10" t="s">
        <v>300</v>
      </c>
      <c r="D234" s="11" t="s">
        <v>117</v>
      </c>
      <c r="E234" s="11" t="s">
        <v>42</v>
      </c>
      <c r="F234" s="11" t="s">
        <v>43</v>
      </c>
      <c r="G234" s="11" t="s">
        <v>25</v>
      </c>
      <c r="H234" s="11" t="s">
        <v>35</v>
      </c>
      <c r="I234" s="11" t="s">
        <v>38</v>
      </c>
      <c r="J234" s="11" t="s">
        <v>249</v>
      </c>
      <c r="K234" s="11">
        <v>38</v>
      </c>
      <c r="L234" s="12">
        <v>20</v>
      </c>
      <c r="M234" s="13">
        <v>760</v>
      </c>
      <c r="N234" s="11" t="s">
        <v>367</v>
      </c>
      <c r="O234" s="11" t="s">
        <v>19</v>
      </c>
      <c r="Q234"/>
    </row>
    <row r="235" spans="1:17" ht="15.6" x14ac:dyDescent="0.3">
      <c r="A235" s="15">
        <v>10126</v>
      </c>
      <c r="B235" s="14">
        <v>37769</v>
      </c>
      <c r="C235" s="14" t="s">
        <v>300</v>
      </c>
      <c r="D235" s="15" t="s">
        <v>117</v>
      </c>
      <c r="E235" s="15" t="s">
        <v>42</v>
      </c>
      <c r="F235" s="15" t="s">
        <v>43</v>
      </c>
      <c r="G235" s="15" t="s">
        <v>25</v>
      </c>
      <c r="H235" s="15" t="s">
        <v>17</v>
      </c>
      <c r="I235" s="15" t="s">
        <v>26</v>
      </c>
      <c r="J235" s="15" t="s">
        <v>244</v>
      </c>
      <c r="K235" s="15">
        <v>42</v>
      </c>
      <c r="L235" s="16">
        <v>60</v>
      </c>
      <c r="M235" s="17">
        <v>2520</v>
      </c>
      <c r="N235" s="15" t="s">
        <v>367</v>
      </c>
      <c r="O235" s="15" t="s">
        <v>19</v>
      </c>
      <c r="Q235"/>
    </row>
    <row r="236" spans="1:17" ht="15.6" x14ac:dyDescent="0.3">
      <c r="A236" s="11">
        <v>10126</v>
      </c>
      <c r="B236" s="10">
        <v>37769</v>
      </c>
      <c r="C236" s="10" t="s">
        <v>300</v>
      </c>
      <c r="D236" s="11" t="s">
        <v>117</v>
      </c>
      <c r="E236" s="11" t="s">
        <v>42</v>
      </c>
      <c r="F236" s="11" t="s">
        <v>43</v>
      </c>
      <c r="G236" s="11" t="s">
        <v>25</v>
      </c>
      <c r="H236" s="11" t="s">
        <v>35</v>
      </c>
      <c r="I236" s="11" t="s">
        <v>40</v>
      </c>
      <c r="J236" s="11" t="s">
        <v>251</v>
      </c>
      <c r="K236" s="11">
        <v>43</v>
      </c>
      <c r="L236" s="12">
        <v>25</v>
      </c>
      <c r="M236" s="13">
        <v>1075</v>
      </c>
      <c r="N236" s="11" t="s">
        <v>367</v>
      </c>
      <c r="O236" s="11" t="s">
        <v>19</v>
      </c>
      <c r="Q236"/>
    </row>
    <row r="237" spans="1:17" ht="15.6" x14ac:dyDescent="0.3">
      <c r="A237" s="15">
        <v>10126</v>
      </c>
      <c r="B237" s="14">
        <v>37769</v>
      </c>
      <c r="C237" s="14" t="s">
        <v>300</v>
      </c>
      <c r="D237" s="15" t="s">
        <v>117</v>
      </c>
      <c r="E237" s="15" t="s">
        <v>42</v>
      </c>
      <c r="F237" s="15" t="s">
        <v>43</v>
      </c>
      <c r="G237" s="15" t="s">
        <v>25</v>
      </c>
      <c r="H237" s="15" t="s">
        <v>17</v>
      </c>
      <c r="I237" s="15" t="s">
        <v>26</v>
      </c>
      <c r="J237" s="15" t="s">
        <v>244</v>
      </c>
      <c r="K237" s="15">
        <v>31</v>
      </c>
      <c r="L237" s="16">
        <v>60</v>
      </c>
      <c r="M237" s="17">
        <v>1860</v>
      </c>
      <c r="N237" s="15" t="s">
        <v>367</v>
      </c>
      <c r="O237" s="15" t="s">
        <v>19</v>
      </c>
      <c r="Q237"/>
    </row>
    <row r="238" spans="1:17" ht="15.6" x14ac:dyDescent="0.3">
      <c r="A238" s="11">
        <v>10126</v>
      </c>
      <c r="B238" s="10">
        <v>37769</v>
      </c>
      <c r="C238" s="10" t="s">
        <v>300</v>
      </c>
      <c r="D238" s="11" t="s">
        <v>117</v>
      </c>
      <c r="E238" s="11" t="s">
        <v>42</v>
      </c>
      <c r="F238" s="11" t="s">
        <v>43</v>
      </c>
      <c r="G238" s="11" t="s">
        <v>25</v>
      </c>
      <c r="H238" s="11" t="s">
        <v>17</v>
      </c>
      <c r="I238" s="11" t="s">
        <v>20</v>
      </c>
      <c r="J238" s="11" t="s">
        <v>242</v>
      </c>
      <c r="K238" s="11">
        <v>46</v>
      </c>
      <c r="L238" s="12">
        <v>48</v>
      </c>
      <c r="M238" s="13">
        <v>2208</v>
      </c>
      <c r="N238" s="11" t="s">
        <v>367</v>
      </c>
      <c r="O238" s="11" t="s">
        <v>19</v>
      </c>
      <c r="Q238"/>
    </row>
    <row r="239" spans="1:17" ht="15.6" x14ac:dyDescent="0.3">
      <c r="A239" s="15">
        <v>10126</v>
      </c>
      <c r="B239" s="14">
        <v>37769</v>
      </c>
      <c r="C239" s="14" t="s">
        <v>300</v>
      </c>
      <c r="D239" s="15" t="s">
        <v>117</v>
      </c>
      <c r="E239" s="15" t="s">
        <v>42</v>
      </c>
      <c r="F239" s="15" t="s">
        <v>43</v>
      </c>
      <c r="G239" s="15" t="s">
        <v>25</v>
      </c>
      <c r="H239" s="15" t="s">
        <v>17</v>
      </c>
      <c r="I239" s="15" t="s">
        <v>26</v>
      </c>
      <c r="J239" s="15" t="s">
        <v>244</v>
      </c>
      <c r="K239" s="15">
        <v>30</v>
      </c>
      <c r="L239" s="16">
        <v>60</v>
      </c>
      <c r="M239" s="17">
        <v>1800</v>
      </c>
      <c r="N239" s="15" t="s">
        <v>367</v>
      </c>
      <c r="O239" s="15" t="s">
        <v>19</v>
      </c>
      <c r="Q239"/>
    </row>
    <row r="240" spans="1:17" ht="15.6" x14ac:dyDescent="0.3">
      <c r="A240" s="11">
        <v>10126</v>
      </c>
      <c r="B240" s="10">
        <v>37769</v>
      </c>
      <c r="C240" s="10" t="s">
        <v>300</v>
      </c>
      <c r="D240" s="11" t="s">
        <v>117</v>
      </c>
      <c r="E240" s="11" t="s">
        <v>42</v>
      </c>
      <c r="F240" s="11" t="s">
        <v>43</v>
      </c>
      <c r="G240" s="11" t="s">
        <v>25</v>
      </c>
      <c r="H240" s="11" t="s">
        <v>17</v>
      </c>
      <c r="I240" s="11" t="s">
        <v>20</v>
      </c>
      <c r="J240" s="11" t="s">
        <v>242</v>
      </c>
      <c r="K240" s="11">
        <v>38</v>
      </c>
      <c r="L240" s="12">
        <v>48</v>
      </c>
      <c r="M240" s="13">
        <v>1824</v>
      </c>
      <c r="N240" s="11" t="s">
        <v>367</v>
      </c>
      <c r="O240" s="11" t="s">
        <v>19</v>
      </c>
      <c r="Q240"/>
    </row>
    <row r="241" spans="1:17" ht="15.6" x14ac:dyDescent="0.3">
      <c r="A241" s="15">
        <v>10126</v>
      </c>
      <c r="B241" s="14">
        <v>37769</v>
      </c>
      <c r="C241" s="14" t="s">
        <v>300</v>
      </c>
      <c r="D241" s="15" t="s">
        <v>117</v>
      </c>
      <c r="E241" s="15" t="s">
        <v>42</v>
      </c>
      <c r="F241" s="15" t="s">
        <v>43</v>
      </c>
      <c r="G241" s="15" t="s">
        <v>25</v>
      </c>
      <c r="H241" s="15" t="s">
        <v>35</v>
      </c>
      <c r="I241" s="15" t="s">
        <v>39</v>
      </c>
      <c r="J241" s="15" t="s">
        <v>250</v>
      </c>
      <c r="K241" s="15">
        <v>50</v>
      </c>
      <c r="L241" s="16">
        <v>20</v>
      </c>
      <c r="M241" s="17">
        <v>1000</v>
      </c>
      <c r="N241" s="15" t="s">
        <v>368</v>
      </c>
      <c r="O241" s="15" t="s">
        <v>19</v>
      </c>
      <c r="Q241"/>
    </row>
    <row r="242" spans="1:17" ht="15.6" x14ac:dyDescent="0.3">
      <c r="A242" s="11">
        <v>10126</v>
      </c>
      <c r="B242" s="10">
        <v>37769</v>
      </c>
      <c r="C242" s="10" t="s">
        <v>300</v>
      </c>
      <c r="D242" s="11" t="s">
        <v>117</v>
      </c>
      <c r="E242" s="11" t="s">
        <v>42</v>
      </c>
      <c r="F242" s="11" t="s">
        <v>43</v>
      </c>
      <c r="G242" s="11" t="s">
        <v>25</v>
      </c>
      <c r="H242" s="11" t="s">
        <v>17</v>
      </c>
      <c r="I242" s="11" t="s">
        <v>20</v>
      </c>
      <c r="J242" s="11" t="s">
        <v>242</v>
      </c>
      <c r="K242" s="11">
        <v>43</v>
      </c>
      <c r="L242" s="12">
        <v>48</v>
      </c>
      <c r="M242" s="13">
        <v>2064</v>
      </c>
      <c r="N242" s="11" t="s">
        <v>367</v>
      </c>
      <c r="O242" s="11" t="s">
        <v>19</v>
      </c>
      <c r="Q242"/>
    </row>
    <row r="243" spans="1:17" ht="15.6" x14ac:dyDescent="0.3">
      <c r="A243" s="15">
        <v>10126</v>
      </c>
      <c r="B243" s="14">
        <v>37769</v>
      </c>
      <c r="C243" s="14" t="s">
        <v>300</v>
      </c>
      <c r="D243" s="15" t="s">
        <v>117</v>
      </c>
      <c r="E243" s="15" t="s">
        <v>42</v>
      </c>
      <c r="F243" s="15" t="s">
        <v>43</v>
      </c>
      <c r="G243" s="15" t="s">
        <v>25</v>
      </c>
      <c r="H243" s="15" t="s">
        <v>35</v>
      </c>
      <c r="I243" s="15" t="s">
        <v>38</v>
      </c>
      <c r="J243" s="15" t="s">
        <v>249</v>
      </c>
      <c r="K243" s="15">
        <v>27</v>
      </c>
      <c r="L243" s="16">
        <v>20</v>
      </c>
      <c r="M243" s="17">
        <v>540</v>
      </c>
      <c r="N243" s="15" t="s">
        <v>367</v>
      </c>
      <c r="O243" s="15" t="s">
        <v>19</v>
      </c>
      <c r="Q243"/>
    </row>
    <row r="244" spans="1:17" ht="15.6" x14ac:dyDescent="0.3">
      <c r="A244" s="11">
        <v>10126</v>
      </c>
      <c r="B244" s="10">
        <v>37769</v>
      </c>
      <c r="C244" s="10" t="s">
        <v>300</v>
      </c>
      <c r="D244" s="11" t="s">
        <v>117</v>
      </c>
      <c r="E244" s="11" t="s">
        <v>42</v>
      </c>
      <c r="F244" s="11" t="s">
        <v>43</v>
      </c>
      <c r="G244" s="11" t="s">
        <v>25</v>
      </c>
      <c r="H244" s="11" t="s">
        <v>17</v>
      </c>
      <c r="I244" s="11" t="s">
        <v>20</v>
      </c>
      <c r="J244" s="11" t="s">
        <v>242</v>
      </c>
      <c r="K244" s="11">
        <v>34</v>
      </c>
      <c r="L244" s="12">
        <v>48</v>
      </c>
      <c r="M244" s="13">
        <v>1632</v>
      </c>
      <c r="N244" s="11" t="s">
        <v>367</v>
      </c>
      <c r="O244" s="11" t="s">
        <v>19</v>
      </c>
      <c r="Q244"/>
    </row>
    <row r="245" spans="1:17" ht="15.6" x14ac:dyDescent="0.3">
      <c r="A245" s="15">
        <v>10126</v>
      </c>
      <c r="B245" s="14">
        <v>37769</v>
      </c>
      <c r="C245" s="14" t="s">
        <v>300</v>
      </c>
      <c r="D245" s="15" t="s">
        <v>117</v>
      </c>
      <c r="E245" s="15" t="s">
        <v>42</v>
      </c>
      <c r="F245" s="15" t="s">
        <v>43</v>
      </c>
      <c r="G245" s="15" t="s">
        <v>25</v>
      </c>
      <c r="H245" s="15" t="s">
        <v>35</v>
      </c>
      <c r="I245" s="15" t="s">
        <v>38</v>
      </c>
      <c r="J245" s="15" t="s">
        <v>249</v>
      </c>
      <c r="K245" s="15">
        <v>43</v>
      </c>
      <c r="L245" s="16">
        <v>20</v>
      </c>
      <c r="M245" s="17">
        <v>860</v>
      </c>
      <c r="N245" s="15" t="s">
        <v>367</v>
      </c>
      <c r="O245" s="15" t="s">
        <v>19</v>
      </c>
      <c r="Q245"/>
    </row>
    <row r="246" spans="1:17" ht="15.6" x14ac:dyDescent="0.3">
      <c r="A246" s="11">
        <v>10126</v>
      </c>
      <c r="B246" s="10">
        <v>37769</v>
      </c>
      <c r="C246" s="10" t="s">
        <v>300</v>
      </c>
      <c r="D246" s="11" t="s">
        <v>117</v>
      </c>
      <c r="E246" s="11" t="s">
        <v>42</v>
      </c>
      <c r="F246" s="11" t="s">
        <v>43</v>
      </c>
      <c r="G246" s="11" t="s">
        <v>25</v>
      </c>
      <c r="H246" s="11" t="s">
        <v>35</v>
      </c>
      <c r="I246" s="11" t="s">
        <v>38</v>
      </c>
      <c r="J246" s="11" t="s">
        <v>249</v>
      </c>
      <c r="K246" s="11">
        <v>26</v>
      </c>
      <c r="L246" s="12">
        <v>20</v>
      </c>
      <c r="M246" s="13">
        <v>520</v>
      </c>
      <c r="N246" s="11" t="s">
        <v>367</v>
      </c>
      <c r="O246" s="11" t="s">
        <v>19</v>
      </c>
      <c r="Q246"/>
    </row>
    <row r="247" spans="1:17" ht="15.6" x14ac:dyDescent="0.3">
      <c r="A247" s="15">
        <v>10126</v>
      </c>
      <c r="B247" s="14">
        <v>37769</v>
      </c>
      <c r="C247" s="14" t="s">
        <v>300</v>
      </c>
      <c r="D247" s="15" t="s">
        <v>117</v>
      </c>
      <c r="E247" s="15" t="s">
        <v>42</v>
      </c>
      <c r="F247" s="15" t="s">
        <v>43</v>
      </c>
      <c r="G247" s="15" t="s">
        <v>25</v>
      </c>
      <c r="H247" s="15" t="s">
        <v>32</v>
      </c>
      <c r="I247" s="15" t="s">
        <v>44</v>
      </c>
      <c r="J247" s="15" t="s">
        <v>252</v>
      </c>
      <c r="K247" s="15">
        <v>45</v>
      </c>
      <c r="L247" s="16">
        <v>55</v>
      </c>
      <c r="M247" s="17">
        <v>2475</v>
      </c>
      <c r="N247" s="15" t="s">
        <v>367</v>
      </c>
      <c r="O247" s="15" t="s">
        <v>19</v>
      </c>
      <c r="Q247"/>
    </row>
    <row r="248" spans="1:17" ht="15.6" x14ac:dyDescent="0.3">
      <c r="A248" s="11">
        <v>10127</v>
      </c>
      <c r="B248" s="10">
        <v>37775</v>
      </c>
      <c r="C248" s="10" t="s">
        <v>301</v>
      </c>
      <c r="D248" s="11" t="s">
        <v>118</v>
      </c>
      <c r="E248" s="11" t="s">
        <v>28</v>
      </c>
      <c r="F248" s="11" t="s">
        <v>15</v>
      </c>
      <c r="G248" s="11" t="s">
        <v>16</v>
      </c>
      <c r="H248" s="11" t="s">
        <v>32</v>
      </c>
      <c r="I248" s="11" t="s">
        <v>46</v>
      </c>
      <c r="J248" s="11" t="s">
        <v>254</v>
      </c>
      <c r="K248" s="11">
        <v>46</v>
      </c>
      <c r="L248" s="12">
        <v>90</v>
      </c>
      <c r="M248" s="13">
        <v>4140</v>
      </c>
      <c r="N248" s="11" t="s">
        <v>367</v>
      </c>
      <c r="O248" s="11" t="s">
        <v>19</v>
      </c>
      <c r="Q248"/>
    </row>
    <row r="249" spans="1:17" ht="15.6" x14ac:dyDescent="0.3">
      <c r="A249" s="15">
        <v>10127</v>
      </c>
      <c r="B249" s="14">
        <v>37775</v>
      </c>
      <c r="C249" s="14" t="s">
        <v>301</v>
      </c>
      <c r="D249" s="15" t="s">
        <v>118</v>
      </c>
      <c r="E249" s="15" t="s">
        <v>28</v>
      </c>
      <c r="F249" s="15" t="s">
        <v>15</v>
      </c>
      <c r="G249" s="15" t="s">
        <v>16</v>
      </c>
      <c r="H249" s="15" t="s">
        <v>32</v>
      </c>
      <c r="I249" s="15" t="s">
        <v>33</v>
      </c>
      <c r="J249" s="15" t="s">
        <v>245</v>
      </c>
      <c r="K249" s="15">
        <v>46</v>
      </c>
      <c r="L249" s="16">
        <v>85</v>
      </c>
      <c r="M249" s="17">
        <v>3910</v>
      </c>
      <c r="N249" s="15" t="s">
        <v>367</v>
      </c>
      <c r="O249" s="15" t="s">
        <v>19</v>
      </c>
      <c r="Q249"/>
    </row>
    <row r="250" spans="1:17" ht="15.6" x14ac:dyDescent="0.3">
      <c r="A250" s="11">
        <v>10127</v>
      </c>
      <c r="B250" s="10">
        <v>37775</v>
      </c>
      <c r="C250" s="10" t="s">
        <v>301</v>
      </c>
      <c r="D250" s="11" t="s">
        <v>118</v>
      </c>
      <c r="E250" s="11" t="s">
        <v>28</v>
      </c>
      <c r="F250" s="11" t="s">
        <v>15</v>
      </c>
      <c r="G250" s="11" t="s">
        <v>16</v>
      </c>
      <c r="H250" s="11" t="s">
        <v>32</v>
      </c>
      <c r="I250" s="11" t="s">
        <v>45</v>
      </c>
      <c r="J250" s="11" t="s">
        <v>253</v>
      </c>
      <c r="K250" s="11">
        <v>42</v>
      </c>
      <c r="L250" s="12">
        <v>35</v>
      </c>
      <c r="M250" s="13">
        <v>1470</v>
      </c>
      <c r="N250" s="11" t="s">
        <v>367</v>
      </c>
      <c r="O250" s="11" t="s">
        <v>19</v>
      </c>
      <c r="Q250"/>
    </row>
    <row r="251" spans="1:17" ht="15.6" x14ac:dyDescent="0.3">
      <c r="A251" s="15">
        <v>10127</v>
      </c>
      <c r="B251" s="14">
        <v>37775</v>
      </c>
      <c r="C251" s="14" t="s">
        <v>301</v>
      </c>
      <c r="D251" s="15" t="s">
        <v>118</v>
      </c>
      <c r="E251" s="15" t="s">
        <v>28</v>
      </c>
      <c r="F251" s="15" t="s">
        <v>15</v>
      </c>
      <c r="G251" s="15" t="s">
        <v>16</v>
      </c>
      <c r="H251" s="15" t="s">
        <v>35</v>
      </c>
      <c r="I251" s="15" t="s">
        <v>38</v>
      </c>
      <c r="J251" s="15" t="s">
        <v>249</v>
      </c>
      <c r="K251" s="15">
        <v>24</v>
      </c>
      <c r="L251" s="16">
        <v>20</v>
      </c>
      <c r="M251" s="17">
        <v>480</v>
      </c>
      <c r="N251" s="15" t="s">
        <v>367</v>
      </c>
      <c r="O251" s="15" t="s">
        <v>19</v>
      </c>
      <c r="Q251"/>
    </row>
    <row r="252" spans="1:17" ht="15.6" x14ac:dyDescent="0.3">
      <c r="A252" s="11">
        <v>10127</v>
      </c>
      <c r="B252" s="10">
        <v>37775</v>
      </c>
      <c r="C252" s="10" t="s">
        <v>301</v>
      </c>
      <c r="D252" s="11" t="s">
        <v>118</v>
      </c>
      <c r="E252" s="11" t="s">
        <v>28</v>
      </c>
      <c r="F252" s="11" t="s">
        <v>15</v>
      </c>
      <c r="G252" s="11" t="s">
        <v>16</v>
      </c>
      <c r="H252" s="11" t="s">
        <v>32</v>
      </c>
      <c r="I252" s="11" t="s">
        <v>44</v>
      </c>
      <c r="J252" s="11" t="s">
        <v>252</v>
      </c>
      <c r="K252" s="11">
        <v>45</v>
      </c>
      <c r="L252" s="12">
        <v>55</v>
      </c>
      <c r="M252" s="13">
        <v>2475</v>
      </c>
      <c r="N252" s="11" t="s">
        <v>367</v>
      </c>
      <c r="O252" s="11" t="s">
        <v>19</v>
      </c>
      <c r="Q252"/>
    </row>
    <row r="253" spans="1:17" ht="15.6" x14ac:dyDescent="0.3">
      <c r="A253" s="15">
        <v>10127</v>
      </c>
      <c r="B253" s="14">
        <v>37775</v>
      </c>
      <c r="C253" s="14" t="s">
        <v>301</v>
      </c>
      <c r="D253" s="15" t="s">
        <v>118</v>
      </c>
      <c r="E253" s="15" t="s">
        <v>28</v>
      </c>
      <c r="F253" s="15" t="s">
        <v>15</v>
      </c>
      <c r="G253" s="15" t="s">
        <v>16</v>
      </c>
      <c r="H253" s="15" t="s">
        <v>35</v>
      </c>
      <c r="I253" s="15" t="s">
        <v>40</v>
      </c>
      <c r="J253" s="15" t="s">
        <v>251</v>
      </c>
      <c r="K253" s="15">
        <v>45</v>
      </c>
      <c r="L253" s="16">
        <v>25</v>
      </c>
      <c r="M253" s="17">
        <v>1125</v>
      </c>
      <c r="N253" s="15" t="s">
        <v>367</v>
      </c>
      <c r="O253" s="15" t="s">
        <v>19</v>
      </c>
      <c r="Q253"/>
    </row>
    <row r="254" spans="1:17" ht="15.6" x14ac:dyDescent="0.3">
      <c r="A254" s="11">
        <v>10127</v>
      </c>
      <c r="B254" s="10">
        <v>37775</v>
      </c>
      <c r="C254" s="10" t="s">
        <v>301</v>
      </c>
      <c r="D254" s="11" t="s">
        <v>118</v>
      </c>
      <c r="E254" s="11" t="s">
        <v>28</v>
      </c>
      <c r="F254" s="11" t="s">
        <v>15</v>
      </c>
      <c r="G254" s="11" t="s">
        <v>16</v>
      </c>
      <c r="H254" s="11" t="s">
        <v>32</v>
      </c>
      <c r="I254" s="11" t="s">
        <v>44</v>
      </c>
      <c r="J254" s="11" t="s">
        <v>252</v>
      </c>
      <c r="K254" s="11">
        <v>22</v>
      </c>
      <c r="L254" s="12">
        <v>55</v>
      </c>
      <c r="M254" s="13">
        <v>1210</v>
      </c>
      <c r="N254" s="11" t="s">
        <v>367</v>
      </c>
      <c r="O254" s="11" t="s">
        <v>19</v>
      </c>
      <c r="Q254"/>
    </row>
    <row r="255" spans="1:17" ht="15.6" x14ac:dyDescent="0.3">
      <c r="A255" s="15">
        <v>10127</v>
      </c>
      <c r="B255" s="14">
        <v>37775</v>
      </c>
      <c r="C255" s="14" t="s">
        <v>301</v>
      </c>
      <c r="D255" s="15" t="s">
        <v>118</v>
      </c>
      <c r="E255" s="15" t="s">
        <v>28</v>
      </c>
      <c r="F255" s="15" t="s">
        <v>15</v>
      </c>
      <c r="G255" s="15" t="s">
        <v>16</v>
      </c>
      <c r="H255" s="15" t="s">
        <v>32</v>
      </c>
      <c r="I255" s="15" t="s">
        <v>34</v>
      </c>
      <c r="J255" s="15" t="s">
        <v>246</v>
      </c>
      <c r="K255" s="15">
        <v>25</v>
      </c>
      <c r="L255" s="16">
        <v>80</v>
      </c>
      <c r="M255" s="17">
        <v>2000</v>
      </c>
      <c r="N255" s="15" t="s">
        <v>367</v>
      </c>
      <c r="O255" s="15" t="s">
        <v>19</v>
      </c>
      <c r="Q255"/>
    </row>
    <row r="256" spans="1:17" ht="15.6" x14ac:dyDescent="0.3">
      <c r="A256" s="11">
        <v>10127</v>
      </c>
      <c r="B256" s="10">
        <v>37775</v>
      </c>
      <c r="C256" s="10" t="s">
        <v>301</v>
      </c>
      <c r="D256" s="11" t="s">
        <v>118</v>
      </c>
      <c r="E256" s="11" t="s">
        <v>28</v>
      </c>
      <c r="F256" s="11" t="s">
        <v>15</v>
      </c>
      <c r="G256" s="11" t="s">
        <v>16</v>
      </c>
      <c r="H256" s="11" t="s">
        <v>32</v>
      </c>
      <c r="I256" s="11" t="s">
        <v>46</v>
      </c>
      <c r="J256" s="11" t="s">
        <v>254</v>
      </c>
      <c r="K256" s="11">
        <v>20</v>
      </c>
      <c r="L256" s="12">
        <v>90</v>
      </c>
      <c r="M256" s="13">
        <v>1800</v>
      </c>
      <c r="N256" s="11" t="s">
        <v>367</v>
      </c>
      <c r="O256" s="11" t="s">
        <v>19</v>
      </c>
      <c r="Q256"/>
    </row>
    <row r="257" spans="1:17" ht="15.6" x14ac:dyDescent="0.3">
      <c r="A257" s="15">
        <v>10127</v>
      </c>
      <c r="B257" s="14">
        <v>37775</v>
      </c>
      <c r="C257" s="14" t="s">
        <v>301</v>
      </c>
      <c r="D257" s="15" t="s">
        <v>118</v>
      </c>
      <c r="E257" s="15" t="s">
        <v>28</v>
      </c>
      <c r="F257" s="15" t="s">
        <v>15</v>
      </c>
      <c r="G257" s="15" t="s">
        <v>16</v>
      </c>
      <c r="H257" s="15" t="s">
        <v>32</v>
      </c>
      <c r="I257" s="15" t="s">
        <v>46</v>
      </c>
      <c r="J257" s="15" t="s">
        <v>254</v>
      </c>
      <c r="K257" s="15">
        <v>39</v>
      </c>
      <c r="L257" s="16">
        <v>90</v>
      </c>
      <c r="M257" s="17">
        <v>3510</v>
      </c>
      <c r="N257" s="15" t="s">
        <v>367</v>
      </c>
      <c r="O257" s="15" t="s">
        <v>19</v>
      </c>
      <c r="Q257"/>
    </row>
    <row r="258" spans="1:17" ht="15.6" x14ac:dyDescent="0.3">
      <c r="A258" s="11">
        <v>10127</v>
      </c>
      <c r="B258" s="10">
        <v>37775</v>
      </c>
      <c r="C258" s="10" t="s">
        <v>301</v>
      </c>
      <c r="D258" s="11" t="s">
        <v>118</v>
      </c>
      <c r="E258" s="11" t="s">
        <v>28</v>
      </c>
      <c r="F258" s="11" t="s">
        <v>15</v>
      </c>
      <c r="G258" s="11" t="s">
        <v>16</v>
      </c>
      <c r="H258" s="11" t="s">
        <v>32</v>
      </c>
      <c r="I258" s="11" t="s">
        <v>33</v>
      </c>
      <c r="J258" s="11" t="s">
        <v>245</v>
      </c>
      <c r="K258" s="11">
        <v>20</v>
      </c>
      <c r="L258" s="12">
        <v>85</v>
      </c>
      <c r="M258" s="13">
        <v>1700</v>
      </c>
      <c r="N258" s="11" t="s">
        <v>367</v>
      </c>
      <c r="O258" s="11" t="s">
        <v>19</v>
      </c>
      <c r="Q258"/>
    </row>
    <row r="259" spans="1:17" ht="15.6" x14ac:dyDescent="0.3">
      <c r="A259" s="15">
        <v>10127</v>
      </c>
      <c r="B259" s="14">
        <v>37775</v>
      </c>
      <c r="C259" s="14" t="s">
        <v>301</v>
      </c>
      <c r="D259" s="15" t="s">
        <v>118</v>
      </c>
      <c r="E259" s="15" t="s">
        <v>28</v>
      </c>
      <c r="F259" s="15" t="s">
        <v>15</v>
      </c>
      <c r="G259" s="15" t="s">
        <v>16</v>
      </c>
      <c r="H259" s="15" t="s">
        <v>35</v>
      </c>
      <c r="I259" s="15" t="s">
        <v>40</v>
      </c>
      <c r="J259" s="15" t="s">
        <v>251</v>
      </c>
      <c r="K259" s="15">
        <v>45</v>
      </c>
      <c r="L259" s="16">
        <v>25</v>
      </c>
      <c r="M259" s="17">
        <v>1125</v>
      </c>
      <c r="N259" s="15" t="s">
        <v>367</v>
      </c>
      <c r="O259" s="15" t="s">
        <v>19</v>
      </c>
      <c r="Q259"/>
    </row>
    <row r="260" spans="1:17" ht="15.6" x14ac:dyDescent="0.3">
      <c r="A260" s="11">
        <v>10127</v>
      </c>
      <c r="B260" s="10">
        <v>37775</v>
      </c>
      <c r="C260" s="10" t="s">
        <v>301</v>
      </c>
      <c r="D260" s="11" t="s">
        <v>118</v>
      </c>
      <c r="E260" s="11" t="s">
        <v>28</v>
      </c>
      <c r="F260" s="11" t="s">
        <v>15</v>
      </c>
      <c r="G260" s="11" t="s">
        <v>16</v>
      </c>
      <c r="H260" s="11" t="s">
        <v>47</v>
      </c>
      <c r="I260" s="11" t="s">
        <v>119</v>
      </c>
      <c r="J260" s="11" t="s">
        <v>272</v>
      </c>
      <c r="K260" s="11">
        <v>29</v>
      </c>
      <c r="L260" s="12">
        <v>60</v>
      </c>
      <c r="M260" s="13">
        <v>1740</v>
      </c>
      <c r="N260" s="11" t="s">
        <v>367</v>
      </c>
      <c r="O260" s="11" t="s">
        <v>19</v>
      </c>
      <c r="Q260"/>
    </row>
    <row r="261" spans="1:17" ht="15.6" x14ac:dyDescent="0.3">
      <c r="A261" s="15">
        <v>10127</v>
      </c>
      <c r="B261" s="14">
        <v>37775</v>
      </c>
      <c r="C261" s="14" t="s">
        <v>301</v>
      </c>
      <c r="D261" s="15" t="s">
        <v>118</v>
      </c>
      <c r="E261" s="15" t="s">
        <v>28</v>
      </c>
      <c r="F261" s="15" t="s">
        <v>15</v>
      </c>
      <c r="G261" s="15" t="s">
        <v>16</v>
      </c>
      <c r="H261" s="15" t="s">
        <v>35</v>
      </c>
      <c r="I261" s="15" t="s">
        <v>40</v>
      </c>
      <c r="J261" s="15" t="s">
        <v>251</v>
      </c>
      <c r="K261" s="15">
        <v>46</v>
      </c>
      <c r="L261" s="16">
        <v>25</v>
      </c>
      <c r="M261" s="17">
        <v>1150</v>
      </c>
      <c r="N261" s="15" t="s">
        <v>367</v>
      </c>
      <c r="O261" s="15" t="s">
        <v>19</v>
      </c>
      <c r="Q261"/>
    </row>
    <row r="262" spans="1:17" ht="15.6" x14ac:dyDescent="0.3">
      <c r="A262" s="11">
        <v>10127</v>
      </c>
      <c r="B262" s="10">
        <v>37775</v>
      </c>
      <c r="C262" s="10" t="s">
        <v>301</v>
      </c>
      <c r="D262" s="11" t="s">
        <v>118</v>
      </c>
      <c r="E262" s="11" t="s">
        <v>28</v>
      </c>
      <c r="F262" s="11" t="s">
        <v>15</v>
      </c>
      <c r="G262" s="11" t="s">
        <v>16</v>
      </c>
      <c r="H262" s="11" t="s">
        <v>47</v>
      </c>
      <c r="I262" s="11" t="s">
        <v>48</v>
      </c>
      <c r="J262" s="11" t="s">
        <v>255</v>
      </c>
      <c r="K262" s="11">
        <v>46</v>
      </c>
      <c r="L262" s="12">
        <v>70</v>
      </c>
      <c r="M262" s="13">
        <v>3220</v>
      </c>
      <c r="N262" s="11" t="s">
        <v>367</v>
      </c>
      <c r="O262" s="11" t="s">
        <v>19</v>
      </c>
      <c r="Q262"/>
    </row>
    <row r="263" spans="1:17" ht="15.6" x14ac:dyDescent="0.3">
      <c r="A263" s="15">
        <v>10128</v>
      </c>
      <c r="B263" s="14">
        <v>37778</v>
      </c>
      <c r="C263" s="14" t="s">
        <v>279</v>
      </c>
      <c r="D263" s="15" t="s">
        <v>41</v>
      </c>
      <c r="E263" s="15" t="s">
        <v>42</v>
      </c>
      <c r="F263" s="15" t="s">
        <v>43</v>
      </c>
      <c r="G263" s="15" t="s">
        <v>25</v>
      </c>
      <c r="H263" s="15" t="s">
        <v>17</v>
      </c>
      <c r="I263" s="15" t="s">
        <v>20</v>
      </c>
      <c r="J263" s="15" t="s">
        <v>242</v>
      </c>
      <c r="K263" s="15">
        <v>41</v>
      </c>
      <c r="L263" s="16">
        <v>48</v>
      </c>
      <c r="M263" s="17">
        <v>1968</v>
      </c>
      <c r="N263" s="15" t="s">
        <v>367</v>
      </c>
      <c r="O263" s="15" t="s">
        <v>19</v>
      </c>
      <c r="Q263"/>
    </row>
    <row r="264" spans="1:17" ht="15.6" x14ac:dyDescent="0.3">
      <c r="A264" s="11">
        <v>10128</v>
      </c>
      <c r="B264" s="10">
        <v>37778</v>
      </c>
      <c r="C264" s="10" t="s">
        <v>279</v>
      </c>
      <c r="D264" s="11" t="s">
        <v>41</v>
      </c>
      <c r="E264" s="11" t="s">
        <v>42</v>
      </c>
      <c r="F264" s="11" t="s">
        <v>43</v>
      </c>
      <c r="G264" s="11" t="s">
        <v>25</v>
      </c>
      <c r="H264" s="11" t="s">
        <v>47</v>
      </c>
      <c r="I264" s="11" t="s">
        <v>119</v>
      </c>
      <c r="J264" s="11" t="s">
        <v>272</v>
      </c>
      <c r="K264" s="11">
        <v>41</v>
      </c>
      <c r="L264" s="12">
        <v>60</v>
      </c>
      <c r="M264" s="13">
        <v>2460</v>
      </c>
      <c r="N264" s="11" t="s">
        <v>367</v>
      </c>
      <c r="O264" s="11" t="s">
        <v>19</v>
      </c>
      <c r="Q264"/>
    </row>
    <row r="265" spans="1:17" ht="15.6" x14ac:dyDescent="0.3">
      <c r="A265" s="15">
        <v>10128</v>
      </c>
      <c r="B265" s="14">
        <v>37778</v>
      </c>
      <c r="C265" s="14" t="s">
        <v>279</v>
      </c>
      <c r="D265" s="15" t="s">
        <v>41</v>
      </c>
      <c r="E265" s="15" t="s">
        <v>42</v>
      </c>
      <c r="F265" s="15" t="s">
        <v>43</v>
      </c>
      <c r="G265" s="15" t="s">
        <v>25</v>
      </c>
      <c r="H265" s="15" t="s">
        <v>17</v>
      </c>
      <c r="I265" s="15" t="s">
        <v>82</v>
      </c>
      <c r="J265" s="15" t="s">
        <v>270</v>
      </c>
      <c r="K265" s="15">
        <v>43</v>
      </c>
      <c r="L265" s="16">
        <v>75</v>
      </c>
      <c r="M265" s="17">
        <v>3225</v>
      </c>
      <c r="N265" s="15" t="s">
        <v>367</v>
      </c>
      <c r="O265" s="15" t="s">
        <v>19</v>
      </c>
      <c r="Q265"/>
    </row>
    <row r="266" spans="1:17" ht="15.6" x14ac:dyDescent="0.3">
      <c r="A266" s="11">
        <v>10128</v>
      </c>
      <c r="B266" s="10">
        <v>37778</v>
      </c>
      <c r="C266" s="10" t="s">
        <v>279</v>
      </c>
      <c r="D266" s="11" t="s">
        <v>41</v>
      </c>
      <c r="E266" s="11" t="s">
        <v>42</v>
      </c>
      <c r="F266" s="11" t="s">
        <v>43</v>
      </c>
      <c r="G266" s="11" t="s">
        <v>25</v>
      </c>
      <c r="H266" s="11" t="s">
        <v>54</v>
      </c>
      <c r="I266" s="11" t="s">
        <v>57</v>
      </c>
      <c r="J266" s="11" t="s">
        <v>260</v>
      </c>
      <c r="K266" s="11">
        <v>32</v>
      </c>
      <c r="L266" s="12">
        <v>220</v>
      </c>
      <c r="M266" s="13">
        <v>7040</v>
      </c>
      <c r="N266" s="11" t="s">
        <v>367</v>
      </c>
      <c r="O266" s="11" t="s">
        <v>19</v>
      </c>
      <c r="Q266"/>
    </row>
    <row r="267" spans="1:17" ht="15.6" x14ac:dyDescent="0.3">
      <c r="A267" s="15">
        <v>10129</v>
      </c>
      <c r="B267" s="14">
        <v>37784</v>
      </c>
      <c r="C267" s="14" t="s">
        <v>302</v>
      </c>
      <c r="D267" s="15" t="s">
        <v>120</v>
      </c>
      <c r="E267" s="15" t="s">
        <v>121</v>
      </c>
      <c r="F267" s="15" t="s">
        <v>81</v>
      </c>
      <c r="G267" s="15" t="s">
        <v>25</v>
      </c>
      <c r="H267" s="15" t="s">
        <v>32</v>
      </c>
      <c r="I267" s="15" t="s">
        <v>33</v>
      </c>
      <c r="J267" s="15" t="s">
        <v>245</v>
      </c>
      <c r="K267" s="15">
        <v>33</v>
      </c>
      <c r="L267" s="16">
        <v>85</v>
      </c>
      <c r="M267" s="17">
        <v>2805</v>
      </c>
      <c r="N267" s="15" t="s">
        <v>367</v>
      </c>
      <c r="O267" s="15" t="s">
        <v>19</v>
      </c>
      <c r="Q267"/>
    </row>
    <row r="268" spans="1:17" ht="15.6" x14ac:dyDescent="0.3">
      <c r="A268" s="11">
        <v>10129</v>
      </c>
      <c r="B268" s="10">
        <v>37784</v>
      </c>
      <c r="C268" s="10" t="s">
        <v>302</v>
      </c>
      <c r="D268" s="11" t="s">
        <v>120</v>
      </c>
      <c r="E268" s="11" t="s">
        <v>121</v>
      </c>
      <c r="F268" s="11" t="s">
        <v>81</v>
      </c>
      <c r="G268" s="11" t="s">
        <v>25</v>
      </c>
      <c r="H268" s="11" t="s">
        <v>54</v>
      </c>
      <c r="I268" s="11" t="s">
        <v>55</v>
      </c>
      <c r="J268" s="11" t="s">
        <v>258</v>
      </c>
      <c r="K268" s="11">
        <v>45</v>
      </c>
      <c r="L268" s="12">
        <v>180</v>
      </c>
      <c r="M268" s="13">
        <v>8100</v>
      </c>
      <c r="N268" s="11" t="s">
        <v>367</v>
      </c>
      <c r="O268" s="11" t="s">
        <v>19</v>
      </c>
      <c r="Q268"/>
    </row>
    <row r="269" spans="1:17" ht="15.6" x14ac:dyDescent="0.3">
      <c r="A269" s="15">
        <v>10129</v>
      </c>
      <c r="B269" s="14">
        <v>37784</v>
      </c>
      <c r="C269" s="14" t="s">
        <v>302</v>
      </c>
      <c r="D269" s="15" t="s">
        <v>120</v>
      </c>
      <c r="E269" s="15" t="s">
        <v>121</v>
      </c>
      <c r="F269" s="15" t="s">
        <v>81</v>
      </c>
      <c r="G269" s="15" t="s">
        <v>25</v>
      </c>
      <c r="H269" s="15" t="s">
        <v>17</v>
      </c>
      <c r="I269" s="15" t="s">
        <v>18</v>
      </c>
      <c r="J269" s="15" t="s">
        <v>241</v>
      </c>
      <c r="K269" s="15">
        <v>41</v>
      </c>
      <c r="L269" s="16">
        <v>30</v>
      </c>
      <c r="M269" s="17">
        <v>1230</v>
      </c>
      <c r="N269" s="15" t="s">
        <v>367</v>
      </c>
      <c r="O269" s="15" t="s">
        <v>19</v>
      </c>
      <c r="Q269"/>
    </row>
    <row r="270" spans="1:17" ht="15.6" x14ac:dyDescent="0.3">
      <c r="A270" s="11">
        <v>10129</v>
      </c>
      <c r="B270" s="10">
        <v>37784</v>
      </c>
      <c r="C270" s="10" t="s">
        <v>302</v>
      </c>
      <c r="D270" s="11" t="s">
        <v>120</v>
      </c>
      <c r="E270" s="11" t="s">
        <v>121</v>
      </c>
      <c r="F270" s="11" t="s">
        <v>81</v>
      </c>
      <c r="G270" s="11" t="s">
        <v>25</v>
      </c>
      <c r="H270" s="11" t="s">
        <v>17</v>
      </c>
      <c r="I270" s="11" t="s">
        <v>52</v>
      </c>
      <c r="J270" s="11" t="s">
        <v>256</v>
      </c>
      <c r="K270" s="11">
        <v>50</v>
      </c>
      <c r="L270" s="12">
        <v>45</v>
      </c>
      <c r="M270" s="13">
        <v>2250</v>
      </c>
      <c r="N270" s="11" t="s">
        <v>368</v>
      </c>
      <c r="O270" s="11" t="s">
        <v>19</v>
      </c>
      <c r="Q270"/>
    </row>
    <row r="271" spans="1:17" ht="15.6" x14ac:dyDescent="0.3">
      <c r="A271" s="15">
        <v>10129</v>
      </c>
      <c r="B271" s="14">
        <v>37784</v>
      </c>
      <c r="C271" s="14" t="s">
        <v>302</v>
      </c>
      <c r="D271" s="15" t="s">
        <v>120</v>
      </c>
      <c r="E271" s="15" t="s">
        <v>121</v>
      </c>
      <c r="F271" s="15" t="s">
        <v>81</v>
      </c>
      <c r="G271" s="15" t="s">
        <v>25</v>
      </c>
      <c r="H271" s="15" t="s">
        <v>54</v>
      </c>
      <c r="I271" s="15" t="s">
        <v>55</v>
      </c>
      <c r="J271" s="15" t="s">
        <v>258</v>
      </c>
      <c r="K271" s="15">
        <v>31</v>
      </c>
      <c r="L271" s="16">
        <v>180</v>
      </c>
      <c r="M271" s="17">
        <v>5580</v>
      </c>
      <c r="N271" s="15" t="s">
        <v>367</v>
      </c>
      <c r="O271" s="15" t="s">
        <v>19</v>
      </c>
      <c r="Q271"/>
    </row>
    <row r="272" spans="1:17" ht="15.6" x14ac:dyDescent="0.3">
      <c r="A272" s="11">
        <v>10129</v>
      </c>
      <c r="B272" s="10">
        <v>37784</v>
      </c>
      <c r="C272" s="10" t="s">
        <v>302</v>
      </c>
      <c r="D272" s="11" t="s">
        <v>120</v>
      </c>
      <c r="E272" s="11" t="s">
        <v>121</v>
      </c>
      <c r="F272" s="11" t="s">
        <v>81</v>
      </c>
      <c r="G272" s="11" t="s">
        <v>25</v>
      </c>
      <c r="H272" s="11" t="s">
        <v>54</v>
      </c>
      <c r="I272" s="11" t="s">
        <v>56</v>
      </c>
      <c r="J272" s="11" t="s">
        <v>259</v>
      </c>
      <c r="K272" s="11">
        <v>45</v>
      </c>
      <c r="L272" s="12">
        <v>250</v>
      </c>
      <c r="M272" s="13">
        <v>11250</v>
      </c>
      <c r="N272" s="11" t="s">
        <v>367</v>
      </c>
      <c r="O272" s="11" t="s">
        <v>19</v>
      </c>
      <c r="Q272"/>
    </row>
    <row r="273" spans="1:17" ht="15.6" x14ac:dyDescent="0.3">
      <c r="A273" s="15">
        <v>10129</v>
      </c>
      <c r="B273" s="14">
        <v>37784</v>
      </c>
      <c r="C273" s="14" t="s">
        <v>302</v>
      </c>
      <c r="D273" s="15" t="s">
        <v>120</v>
      </c>
      <c r="E273" s="15" t="s">
        <v>121</v>
      </c>
      <c r="F273" s="15" t="s">
        <v>81</v>
      </c>
      <c r="G273" s="15" t="s">
        <v>25</v>
      </c>
      <c r="H273" s="15" t="s">
        <v>54</v>
      </c>
      <c r="I273" s="15" t="s">
        <v>56</v>
      </c>
      <c r="J273" s="15" t="s">
        <v>259</v>
      </c>
      <c r="K273" s="15">
        <v>42</v>
      </c>
      <c r="L273" s="16">
        <v>250</v>
      </c>
      <c r="M273" s="17">
        <v>10500</v>
      </c>
      <c r="N273" s="15" t="s">
        <v>367</v>
      </c>
      <c r="O273" s="15" t="s">
        <v>19</v>
      </c>
      <c r="Q273"/>
    </row>
    <row r="274" spans="1:17" ht="15.6" x14ac:dyDescent="0.3">
      <c r="A274" s="11">
        <v>10129</v>
      </c>
      <c r="B274" s="10">
        <v>37784</v>
      </c>
      <c r="C274" s="10" t="s">
        <v>302</v>
      </c>
      <c r="D274" s="11" t="s">
        <v>120</v>
      </c>
      <c r="E274" s="11" t="s">
        <v>121</v>
      </c>
      <c r="F274" s="11" t="s">
        <v>81</v>
      </c>
      <c r="G274" s="11" t="s">
        <v>25</v>
      </c>
      <c r="H274" s="11" t="s">
        <v>54</v>
      </c>
      <c r="I274" s="11" t="s">
        <v>55</v>
      </c>
      <c r="J274" s="11" t="s">
        <v>258</v>
      </c>
      <c r="K274" s="11">
        <v>30</v>
      </c>
      <c r="L274" s="12">
        <v>180</v>
      </c>
      <c r="M274" s="13">
        <v>5400</v>
      </c>
      <c r="N274" s="11" t="s">
        <v>367</v>
      </c>
      <c r="O274" s="11" t="s">
        <v>19</v>
      </c>
      <c r="Q274"/>
    </row>
    <row r="275" spans="1:17" ht="15.6" x14ac:dyDescent="0.3">
      <c r="A275" s="15">
        <v>10129</v>
      </c>
      <c r="B275" s="14">
        <v>37784</v>
      </c>
      <c r="C275" s="14" t="s">
        <v>302</v>
      </c>
      <c r="D275" s="15" t="s">
        <v>120</v>
      </c>
      <c r="E275" s="15" t="s">
        <v>121</v>
      </c>
      <c r="F275" s="15" t="s">
        <v>81</v>
      </c>
      <c r="G275" s="15" t="s">
        <v>25</v>
      </c>
      <c r="H275" s="15" t="s">
        <v>54</v>
      </c>
      <c r="I275" s="15" t="s">
        <v>57</v>
      </c>
      <c r="J275" s="15" t="s">
        <v>260</v>
      </c>
      <c r="K275" s="15">
        <v>32</v>
      </c>
      <c r="L275" s="16">
        <v>220</v>
      </c>
      <c r="M275" s="17">
        <v>7040</v>
      </c>
      <c r="N275" s="15" t="s">
        <v>367</v>
      </c>
      <c r="O275" s="15" t="s">
        <v>19</v>
      </c>
      <c r="Q275"/>
    </row>
    <row r="276" spans="1:17" ht="15.6" x14ac:dyDescent="0.3">
      <c r="A276" s="11">
        <v>10131</v>
      </c>
      <c r="B276" s="10">
        <v>37788</v>
      </c>
      <c r="C276" s="10" t="s">
        <v>303</v>
      </c>
      <c r="D276" s="11" t="s">
        <v>122</v>
      </c>
      <c r="E276" s="11" t="s">
        <v>123</v>
      </c>
      <c r="F276" s="11" t="s">
        <v>15</v>
      </c>
      <c r="G276" s="11" t="s">
        <v>16</v>
      </c>
      <c r="H276" s="11" t="s">
        <v>61</v>
      </c>
      <c r="I276" s="11" t="s">
        <v>65</v>
      </c>
      <c r="J276" s="11" t="s">
        <v>264</v>
      </c>
      <c r="K276" s="11">
        <v>21</v>
      </c>
      <c r="L276" s="12">
        <v>30</v>
      </c>
      <c r="M276" s="13">
        <v>630</v>
      </c>
      <c r="N276" s="11" t="s">
        <v>367</v>
      </c>
      <c r="O276" s="11" t="s">
        <v>19</v>
      </c>
      <c r="Q276"/>
    </row>
    <row r="277" spans="1:17" ht="15.6" x14ac:dyDescent="0.3">
      <c r="A277" s="15">
        <v>10130</v>
      </c>
      <c r="B277" s="14">
        <v>37788</v>
      </c>
      <c r="C277" s="14" t="s">
        <v>304</v>
      </c>
      <c r="D277" s="15" t="s">
        <v>124</v>
      </c>
      <c r="E277" s="15" t="s">
        <v>125</v>
      </c>
      <c r="F277" s="15" t="s">
        <v>15</v>
      </c>
      <c r="G277" s="15" t="s">
        <v>16</v>
      </c>
      <c r="H277" s="15" t="s">
        <v>54</v>
      </c>
      <c r="I277" s="15" t="s">
        <v>56</v>
      </c>
      <c r="J277" s="15" t="s">
        <v>259</v>
      </c>
      <c r="K277" s="15">
        <v>40</v>
      </c>
      <c r="L277" s="16">
        <v>250</v>
      </c>
      <c r="M277" s="17">
        <v>10000</v>
      </c>
      <c r="N277" s="15" t="s">
        <v>367</v>
      </c>
      <c r="O277" s="15" t="s">
        <v>19</v>
      </c>
      <c r="Q277"/>
    </row>
    <row r="278" spans="1:17" ht="15.6" x14ac:dyDescent="0.3">
      <c r="A278" s="11">
        <v>10130</v>
      </c>
      <c r="B278" s="10">
        <v>37788</v>
      </c>
      <c r="C278" s="10" t="s">
        <v>304</v>
      </c>
      <c r="D278" s="11" t="s">
        <v>124</v>
      </c>
      <c r="E278" s="11" t="s">
        <v>125</v>
      </c>
      <c r="F278" s="11" t="s">
        <v>15</v>
      </c>
      <c r="G278" s="11" t="s">
        <v>16</v>
      </c>
      <c r="H278" s="11" t="s">
        <v>17</v>
      </c>
      <c r="I278" s="11" t="s">
        <v>20</v>
      </c>
      <c r="J278" s="11" t="s">
        <v>242</v>
      </c>
      <c r="K278" s="11">
        <v>33</v>
      </c>
      <c r="L278" s="12">
        <v>48</v>
      </c>
      <c r="M278" s="13">
        <v>1584</v>
      </c>
      <c r="N278" s="11" t="s">
        <v>367</v>
      </c>
      <c r="O278" s="11" t="s">
        <v>19</v>
      </c>
      <c r="Q278"/>
    </row>
    <row r="279" spans="1:17" ht="15.6" x14ac:dyDescent="0.3">
      <c r="A279" s="15">
        <v>10131</v>
      </c>
      <c r="B279" s="14">
        <v>37788</v>
      </c>
      <c r="C279" s="14" t="s">
        <v>303</v>
      </c>
      <c r="D279" s="15" t="s">
        <v>122</v>
      </c>
      <c r="E279" s="15" t="s">
        <v>123</v>
      </c>
      <c r="F279" s="15" t="s">
        <v>15</v>
      </c>
      <c r="G279" s="15" t="s">
        <v>16</v>
      </c>
      <c r="H279" s="15" t="s">
        <v>61</v>
      </c>
      <c r="I279" s="15" t="s">
        <v>62</v>
      </c>
      <c r="J279" s="15" t="s">
        <v>261</v>
      </c>
      <c r="K279" s="15">
        <v>35</v>
      </c>
      <c r="L279" s="16">
        <v>15</v>
      </c>
      <c r="M279" s="17">
        <v>525</v>
      </c>
      <c r="N279" s="15" t="s">
        <v>367</v>
      </c>
      <c r="O279" s="15" t="s">
        <v>19</v>
      </c>
      <c r="Q279"/>
    </row>
    <row r="280" spans="1:17" ht="15.6" x14ac:dyDescent="0.3">
      <c r="A280" s="11">
        <v>10131</v>
      </c>
      <c r="B280" s="10">
        <v>37788</v>
      </c>
      <c r="C280" s="10" t="s">
        <v>303</v>
      </c>
      <c r="D280" s="11" t="s">
        <v>122</v>
      </c>
      <c r="E280" s="11" t="s">
        <v>123</v>
      </c>
      <c r="F280" s="11" t="s">
        <v>15</v>
      </c>
      <c r="G280" s="11" t="s">
        <v>16</v>
      </c>
      <c r="H280" s="11" t="s">
        <v>17</v>
      </c>
      <c r="I280" s="11" t="s">
        <v>82</v>
      </c>
      <c r="J280" s="11" t="s">
        <v>270</v>
      </c>
      <c r="K280" s="11">
        <v>29</v>
      </c>
      <c r="L280" s="12">
        <v>75</v>
      </c>
      <c r="M280" s="13">
        <v>2175</v>
      </c>
      <c r="N280" s="11" t="s">
        <v>367</v>
      </c>
      <c r="O280" s="11" t="s">
        <v>19</v>
      </c>
      <c r="Q280"/>
    </row>
    <row r="281" spans="1:17" ht="15.6" x14ac:dyDescent="0.3">
      <c r="A281" s="15">
        <v>10131</v>
      </c>
      <c r="B281" s="14">
        <v>37788</v>
      </c>
      <c r="C281" s="14" t="s">
        <v>303</v>
      </c>
      <c r="D281" s="15" t="s">
        <v>122</v>
      </c>
      <c r="E281" s="15" t="s">
        <v>123</v>
      </c>
      <c r="F281" s="15" t="s">
        <v>15</v>
      </c>
      <c r="G281" s="15" t="s">
        <v>16</v>
      </c>
      <c r="H281" s="15" t="s">
        <v>61</v>
      </c>
      <c r="I281" s="15" t="s">
        <v>65</v>
      </c>
      <c r="J281" s="15" t="s">
        <v>264</v>
      </c>
      <c r="K281" s="15">
        <v>50</v>
      </c>
      <c r="L281" s="16">
        <v>30</v>
      </c>
      <c r="M281" s="17">
        <v>1500</v>
      </c>
      <c r="N281" s="15" t="s">
        <v>368</v>
      </c>
      <c r="O281" s="15" t="s">
        <v>19</v>
      </c>
      <c r="Q281"/>
    </row>
    <row r="282" spans="1:17" ht="15.6" x14ac:dyDescent="0.3">
      <c r="A282" s="11">
        <v>10131</v>
      </c>
      <c r="B282" s="10">
        <v>37788</v>
      </c>
      <c r="C282" s="10" t="s">
        <v>303</v>
      </c>
      <c r="D282" s="11" t="s">
        <v>122</v>
      </c>
      <c r="E282" s="11" t="s">
        <v>123</v>
      </c>
      <c r="F282" s="11" t="s">
        <v>15</v>
      </c>
      <c r="G282" s="11" t="s">
        <v>16</v>
      </c>
      <c r="H282" s="11" t="s">
        <v>54</v>
      </c>
      <c r="I282" s="11" t="s">
        <v>55</v>
      </c>
      <c r="J282" s="11" t="s">
        <v>258</v>
      </c>
      <c r="K282" s="11">
        <v>22</v>
      </c>
      <c r="L282" s="12">
        <v>180</v>
      </c>
      <c r="M282" s="13">
        <v>3960</v>
      </c>
      <c r="N282" s="11" t="s">
        <v>367</v>
      </c>
      <c r="O282" s="11" t="s">
        <v>19</v>
      </c>
      <c r="Q282"/>
    </row>
    <row r="283" spans="1:17" ht="15.6" x14ac:dyDescent="0.3">
      <c r="A283" s="15">
        <v>10131</v>
      </c>
      <c r="B283" s="14">
        <v>37788</v>
      </c>
      <c r="C283" s="14" t="s">
        <v>303</v>
      </c>
      <c r="D283" s="15" t="s">
        <v>122</v>
      </c>
      <c r="E283" s="15" t="s">
        <v>123</v>
      </c>
      <c r="F283" s="15" t="s">
        <v>15</v>
      </c>
      <c r="G283" s="15" t="s">
        <v>16</v>
      </c>
      <c r="H283" s="15" t="s">
        <v>61</v>
      </c>
      <c r="I283" s="15" t="s">
        <v>64</v>
      </c>
      <c r="J283" s="15" t="s">
        <v>263</v>
      </c>
      <c r="K283" s="15">
        <v>40</v>
      </c>
      <c r="L283" s="16">
        <v>35</v>
      </c>
      <c r="M283" s="17">
        <v>1400</v>
      </c>
      <c r="N283" s="15" t="s">
        <v>367</v>
      </c>
      <c r="O283" s="15" t="s">
        <v>19</v>
      </c>
      <c r="Q283"/>
    </row>
    <row r="284" spans="1:17" ht="15.6" x14ac:dyDescent="0.3">
      <c r="A284" s="11">
        <v>10131</v>
      </c>
      <c r="B284" s="10">
        <v>37788</v>
      </c>
      <c r="C284" s="10" t="s">
        <v>303</v>
      </c>
      <c r="D284" s="11" t="s">
        <v>122</v>
      </c>
      <c r="E284" s="11" t="s">
        <v>123</v>
      </c>
      <c r="F284" s="11" t="s">
        <v>15</v>
      </c>
      <c r="G284" s="11" t="s">
        <v>16</v>
      </c>
      <c r="H284" s="11" t="s">
        <v>61</v>
      </c>
      <c r="I284" s="11" t="s">
        <v>64</v>
      </c>
      <c r="J284" s="11" t="s">
        <v>263</v>
      </c>
      <c r="K284" s="11">
        <v>26</v>
      </c>
      <c r="L284" s="12">
        <v>35</v>
      </c>
      <c r="M284" s="13">
        <v>910</v>
      </c>
      <c r="N284" s="11" t="s">
        <v>367</v>
      </c>
      <c r="O284" s="11" t="s">
        <v>19</v>
      </c>
      <c r="Q284"/>
    </row>
    <row r="285" spans="1:17" ht="15.6" x14ac:dyDescent="0.3">
      <c r="A285" s="15">
        <v>10131</v>
      </c>
      <c r="B285" s="14">
        <v>37788</v>
      </c>
      <c r="C285" s="14" t="s">
        <v>303</v>
      </c>
      <c r="D285" s="15" t="s">
        <v>122</v>
      </c>
      <c r="E285" s="15" t="s">
        <v>123</v>
      </c>
      <c r="F285" s="15" t="s">
        <v>15</v>
      </c>
      <c r="G285" s="15" t="s">
        <v>16</v>
      </c>
      <c r="H285" s="15" t="s">
        <v>61</v>
      </c>
      <c r="I285" s="15" t="s">
        <v>62</v>
      </c>
      <c r="J285" s="15" t="s">
        <v>261</v>
      </c>
      <c r="K285" s="15">
        <v>21</v>
      </c>
      <c r="L285" s="16">
        <v>15</v>
      </c>
      <c r="M285" s="17">
        <v>315</v>
      </c>
      <c r="N285" s="15" t="s">
        <v>367</v>
      </c>
      <c r="O285" s="15" t="s">
        <v>19</v>
      </c>
      <c r="Q285"/>
    </row>
    <row r="286" spans="1:17" ht="15.6" x14ac:dyDescent="0.3">
      <c r="A286" s="11">
        <v>10133</v>
      </c>
      <c r="B286" s="10">
        <v>37799</v>
      </c>
      <c r="C286" s="10" t="s">
        <v>279</v>
      </c>
      <c r="D286" s="11" t="s">
        <v>41</v>
      </c>
      <c r="E286" s="11" t="s">
        <v>42</v>
      </c>
      <c r="F286" s="11" t="s">
        <v>43</v>
      </c>
      <c r="G286" s="11" t="s">
        <v>25</v>
      </c>
      <c r="H286" s="11" t="s">
        <v>61</v>
      </c>
      <c r="I286" s="11" t="s">
        <v>62</v>
      </c>
      <c r="J286" s="11" t="s">
        <v>261</v>
      </c>
      <c r="K286" s="11">
        <v>49</v>
      </c>
      <c r="L286" s="12">
        <v>15</v>
      </c>
      <c r="M286" s="13">
        <v>735</v>
      </c>
      <c r="N286" s="11" t="s">
        <v>367</v>
      </c>
      <c r="O286" s="11" t="s">
        <v>19</v>
      </c>
      <c r="Q286"/>
    </row>
    <row r="287" spans="1:17" ht="15.6" x14ac:dyDescent="0.3">
      <c r="A287" s="15">
        <v>10133</v>
      </c>
      <c r="B287" s="14">
        <v>37799</v>
      </c>
      <c r="C287" s="14" t="s">
        <v>279</v>
      </c>
      <c r="D287" s="15" t="s">
        <v>41</v>
      </c>
      <c r="E287" s="15" t="s">
        <v>42</v>
      </c>
      <c r="F287" s="15" t="s">
        <v>43</v>
      </c>
      <c r="G287" s="15" t="s">
        <v>25</v>
      </c>
      <c r="H287" s="15" t="s">
        <v>61</v>
      </c>
      <c r="I287" s="15" t="s">
        <v>65</v>
      </c>
      <c r="J287" s="15" t="s">
        <v>264</v>
      </c>
      <c r="K287" s="15">
        <v>41</v>
      </c>
      <c r="L287" s="16">
        <v>30</v>
      </c>
      <c r="M287" s="17">
        <v>1230</v>
      </c>
      <c r="N287" s="15" t="s">
        <v>367</v>
      </c>
      <c r="O287" s="15" t="s">
        <v>19</v>
      </c>
      <c r="Q287"/>
    </row>
    <row r="288" spans="1:17" ht="15.6" x14ac:dyDescent="0.3">
      <c r="A288" s="11">
        <v>10133</v>
      </c>
      <c r="B288" s="10">
        <v>37799</v>
      </c>
      <c r="C288" s="10" t="s">
        <v>279</v>
      </c>
      <c r="D288" s="11" t="s">
        <v>41</v>
      </c>
      <c r="E288" s="11" t="s">
        <v>42</v>
      </c>
      <c r="F288" s="11" t="s">
        <v>43</v>
      </c>
      <c r="G288" s="11" t="s">
        <v>25</v>
      </c>
      <c r="H288" s="11" t="s">
        <v>61</v>
      </c>
      <c r="I288" s="11" t="s">
        <v>62</v>
      </c>
      <c r="J288" s="11" t="s">
        <v>261</v>
      </c>
      <c r="K288" s="11">
        <v>46</v>
      </c>
      <c r="L288" s="12">
        <v>15</v>
      </c>
      <c r="M288" s="13">
        <v>690</v>
      </c>
      <c r="N288" s="11" t="s">
        <v>367</v>
      </c>
      <c r="O288" s="11" t="s">
        <v>19</v>
      </c>
      <c r="Q288"/>
    </row>
    <row r="289" spans="1:17" ht="15.6" x14ac:dyDescent="0.3">
      <c r="A289" s="15">
        <v>10133</v>
      </c>
      <c r="B289" s="14">
        <v>37799</v>
      </c>
      <c r="C289" s="14" t="s">
        <v>279</v>
      </c>
      <c r="D289" s="15" t="s">
        <v>41</v>
      </c>
      <c r="E289" s="15" t="s">
        <v>42</v>
      </c>
      <c r="F289" s="15" t="s">
        <v>43</v>
      </c>
      <c r="G289" s="15" t="s">
        <v>25</v>
      </c>
      <c r="H289" s="15" t="s">
        <v>68</v>
      </c>
      <c r="I289" s="15" t="s">
        <v>69</v>
      </c>
      <c r="J289" s="15" t="s">
        <v>266</v>
      </c>
      <c r="K289" s="15">
        <v>23</v>
      </c>
      <c r="L289" s="16">
        <v>25</v>
      </c>
      <c r="M289" s="17">
        <v>575</v>
      </c>
      <c r="N289" s="15" t="s">
        <v>367</v>
      </c>
      <c r="O289" s="15" t="s">
        <v>19</v>
      </c>
      <c r="Q289"/>
    </row>
    <row r="290" spans="1:17" ht="15.6" x14ac:dyDescent="0.3">
      <c r="A290" s="11">
        <v>10133</v>
      </c>
      <c r="B290" s="10">
        <v>37799</v>
      </c>
      <c r="C290" s="10" t="s">
        <v>279</v>
      </c>
      <c r="D290" s="11" t="s">
        <v>41</v>
      </c>
      <c r="E290" s="11" t="s">
        <v>42</v>
      </c>
      <c r="F290" s="11" t="s">
        <v>43</v>
      </c>
      <c r="G290" s="11" t="s">
        <v>25</v>
      </c>
      <c r="H290" s="11" t="s">
        <v>17</v>
      </c>
      <c r="I290" s="11" t="s">
        <v>82</v>
      </c>
      <c r="J290" s="11" t="s">
        <v>270</v>
      </c>
      <c r="K290" s="11">
        <v>49</v>
      </c>
      <c r="L290" s="12">
        <v>75</v>
      </c>
      <c r="M290" s="13">
        <v>3675</v>
      </c>
      <c r="N290" s="11" t="s">
        <v>367</v>
      </c>
      <c r="O290" s="11" t="s">
        <v>19</v>
      </c>
      <c r="Q290"/>
    </row>
    <row r="291" spans="1:17" ht="15.6" x14ac:dyDescent="0.3">
      <c r="A291" s="15">
        <v>10133</v>
      </c>
      <c r="B291" s="14">
        <v>37799</v>
      </c>
      <c r="C291" s="14" t="s">
        <v>279</v>
      </c>
      <c r="D291" s="15" t="s">
        <v>41</v>
      </c>
      <c r="E291" s="15" t="s">
        <v>42</v>
      </c>
      <c r="F291" s="15" t="s">
        <v>43</v>
      </c>
      <c r="G291" s="15" t="s">
        <v>25</v>
      </c>
      <c r="H291" s="15" t="s">
        <v>17</v>
      </c>
      <c r="I291" s="15" t="s">
        <v>82</v>
      </c>
      <c r="J291" s="15" t="s">
        <v>270</v>
      </c>
      <c r="K291" s="15">
        <v>27</v>
      </c>
      <c r="L291" s="16">
        <v>75</v>
      </c>
      <c r="M291" s="17">
        <v>2025</v>
      </c>
      <c r="N291" s="15" t="s">
        <v>367</v>
      </c>
      <c r="O291" s="15" t="s">
        <v>19</v>
      </c>
      <c r="Q291"/>
    </row>
    <row r="292" spans="1:17" ht="15.6" x14ac:dyDescent="0.3">
      <c r="A292" s="11">
        <v>10133</v>
      </c>
      <c r="B292" s="10">
        <v>37799</v>
      </c>
      <c r="C292" s="10" t="s">
        <v>279</v>
      </c>
      <c r="D292" s="11" t="s">
        <v>41</v>
      </c>
      <c r="E292" s="11" t="s">
        <v>42</v>
      </c>
      <c r="F292" s="11" t="s">
        <v>43</v>
      </c>
      <c r="G292" s="11" t="s">
        <v>25</v>
      </c>
      <c r="H292" s="11" t="s">
        <v>61</v>
      </c>
      <c r="I292" s="11" t="s">
        <v>62</v>
      </c>
      <c r="J292" s="11" t="s">
        <v>261</v>
      </c>
      <c r="K292" s="11">
        <v>24</v>
      </c>
      <c r="L292" s="12">
        <v>15</v>
      </c>
      <c r="M292" s="13">
        <v>360</v>
      </c>
      <c r="N292" s="11" t="s">
        <v>367</v>
      </c>
      <c r="O292" s="11" t="s">
        <v>19</v>
      </c>
      <c r="Q292"/>
    </row>
    <row r="293" spans="1:17" ht="15.6" x14ac:dyDescent="0.3">
      <c r="A293" s="15">
        <v>10133</v>
      </c>
      <c r="B293" s="14">
        <v>37799</v>
      </c>
      <c r="C293" s="14" t="s">
        <v>279</v>
      </c>
      <c r="D293" s="15" t="s">
        <v>41</v>
      </c>
      <c r="E293" s="15" t="s">
        <v>42</v>
      </c>
      <c r="F293" s="15" t="s">
        <v>43</v>
      </c>
      <c r="G293" s="15" t="s">
        <v>25</v>
      </c>
      <c r="H293" s="15" t="s">
        <v>61</v>
      </c>
      <c r="I293" s="15" t="s">
        <v>62</v>
      </c>
      <c r="J293" s="15" t="s">
        <v>261</v>
      </c>
      <c r="K293" s="15">
        <v>27</v>
      </c>
      <c r="L293" s="16">
        <v>15</v>
      </c>
      <c r="M293" s="17">
        <v>405</v>
      </c>
      <c r="N293" s="15" t="s">
        <v>367</v>
      </c>
      <c r="O293" s="15" t="s">
        <v>19</v>
      </c>
      <c r="Q293"/>
    </row>
    <row r="294" spans="1:17" ht="15.6" x14ac:dyDescent="0.3">
      <c r="A294" s="11">
        <v>10134</v>
      </c>
      <c r="B294" s="10">
        <v>37803</v>
      </c>
      <c r="C294" s="10" t="s">
        <v>305</v>
      </c>
      <c r="D294" s="11" t="s">
        <v>126</v>
      </c>
      <c r="E294" s="11" t="s">
        <v>91</v>
      </c>
      <c r="F294" s="11" t="s">
        <v>92</v>
      </c>
      <c r="G294" s="11" t="s">
        <v>25</v>
      </c>
      <c r="H294" s="11" t="s">
        <v>68</v>
      </c>
      <c r="I294" s="11" t="s">
        <v>69</v>
      </c>
      <c r="J294" s="11" t="s">
        <v>266</v>
      </c>
      <c r="K294" s="11">
        <v>41</v>
      </c>
      <c r="L294" s="12">
        <v>25</v>
      </c>
      <c r="M294" s="13">
        <v>1025</v>
      </c>
      <c r="N294" s="11" t="s">
        <v>367</v>
      </c>
      <c r="O294" s="11" t="s">
        <v>19</v>
      </c>
      <c r="Q294"/>
    </row>
    <row r="295" spans="1:17" ht="15.6" x14ac:dyDescent="0.3">
      <c r="A295" s="15">
        <v>10134</v>
      </c>
      <c r="B295" s="14">
        <v>37803</v>
      </c>
      <c r="C295" s="14" t="s">
        <v>305</v>
      </c>
      <c r="D295" s="15" t="s">
        <v>126</v>
      </c>
      <c r="E295" s="15" t="s">
        <v>91</v>
      </c>
      <c r="F295" s="15" t="s">
        <v>92</v>
      </c>
      <c r="G295" s="15" t="s">
        <v>25</v>
      </c>
      <c r="H295" s="15" t="s">
        <v>68</v>
      </c>
      <c r="I295" s="15" t="s">
        <v>69</v>
      </c>
      <c r="J295" s="15" t="s">
        <v>266</v>
      </c>
      <c r="K295" s="15">
        <v>27</v>
      </c>
      <c r="L295" s="16">
        <v>25</v>
      </c>
      <c r="M295" s="17">
        <v>675</v>
      </c>
      <c r="N295" s="15" t="s">
        <v>367</v>
      </c>
      <c r="O295" s="15" t="s">
        <v>19</v>
      </c>
      <c r="Q295"/>
    </row>
    <row r="296" spans="1:17" ht="15.6" x14ac:dyDescent="0.3">
      <c r="A296" s="11">
        <v>10134</v>
      </c>
      <c r="B296" s="10">
        <v>37803</v>
      </c>
      <c r="C296" s="10" t="s">
        <v>305</v>
      </c>
      <c r="D296" s="11" t="s">
        <v>126</v>
      </c>
      <c r="E296" s="11" t="s">
        <v>91</v>
      </c>
      <c r="F296" s="11" t="s">
        <v>92</v>
      </c>
      <c r="G296" s="11" t="s">
        <v>25</v>
      </c>
      <c r="H296" s="11" t="s">
        <v>68</v>
      </c>
      <c r="I296" s="11" t="s">
        <v>70</v>
      </c>
      <c r="J296" s="11" t="s">
        <v>267</v>
      </c>
      <c r="K296" s="11">
        <v>31</v>
      </c>
      <c r="L296" s="12">
        <v>50</v>
      </c>
      <c r="M296" s="13">
        <v>1550</v>
      </c>
      <c r="N296" s="11" t="s">
        <v>367</v>
      </c>
      <c r="O296" s="11" t="s">
        <v>19</v>
      </c>
      <c r="Q296"/>
    </row>
    <row r="297" spans="1:17" ht="15.6" x14ac:dyDescent="0.3">
      <c r="A297" s="15">
        <v>10134</v>
      </c>
      <c r="B297" s="14">
        <v>37803</v>
      </c>
      <c r="C297" s="14" t="s">
        <v>305</v>
      </c>
      <c r="D297" s="15" t="s">
        <v>126</v>
      </c>
      <c r="E297" s="15" t="s">
        <v>91</v>
      </c>
      <c r="F297" s="15" t="s">
        <v>92</v>
      </c>
      <c r="G297" s="15" t="s">
        <v>25</v>
      </c>
      <c r="H297" s="15" t="s">
        <v>68</v>
      </c>
      <c r="I297" s="15" t="s">
        <v>69</v>
      </c>
      <c r="J297" s="15" t="s">
        <v>266</v>
      </c>
      <c r="K297" s="15">
        <v>20</v>
      </c>
      <c r="L297" s="16">
        <v>25</v>
      </c>
      <c r="M297" s="17">
        <v>500</v>
      </c>
      <c r="N297" s="15" t="s">
        <v>367</v>
      </c>
      <c r="O297" s="15" t="s">
        <v>19</v>
      </c>
      <c r="Q297"/>
    </row>
    <row r="298" spans="1:17" ht="15.6" x14ac:dyDescent="0.3">
      <c r="A298" s="11">
        <v>10134</v>
      </c>
      <c r="B298" s="10">
        <v>37803</v>
      </c>
      <c r="C298" s="10" t="s">
        <v>305</v>
      </c>
      <c r="D298" s="11" t="s">
        <v>126</v>
      </c>
      <c r="E298" s="11" t="s">
        <v>91</v>
      </c>
      <c r="F298" s="11" t="s">
        <v>92</v>
      </c>
      <c r="G298" s="11" t="s">
        <v>25</v>
      </c>
      <c r="H298" s="11" t="s">
        <v>68</v>
      </c>
      <c r="I298" s="11" t="s">
        <v>70</v>
      </c>
      <c r="J298" s="11" t="s">
        <v>267</v>
      </c>
      <c r="K298" s="11">
        <v>30</v>
      </c>
      <c r="L298" s="12">
        <v>50</v>
      </c>
      <c r="M298" s="13">
        <v>1500</v>
      </c>
      <c r="N298" s="11" t="s">
        <v>367</v>
      </c>
      <c r="O298" s="11" t="s">
        <v>19</v>
      </c>
      <c r="Q298"/>
    </row>
    <row r="299" spans="1:17" ht="15.6" x14ac:dyDescent="0.3">
      <c r="A299" s="15">
        <v>10134</v>
      </c>
      <c r="B299" s="14">
        <v>37803</v>
      </c>
      <c r="C299" s="14" t="s">
        <v>305</v>
      </c>
      <c r="D299" s="15" t="s">
        <v>126</v>
      </c>
      <c r="E299" s="15" t="s">
        <v>91</v>
      </c>
      <c r="F299" s="15" t="s">
        <v>92</v>
      </c>
      <c r="G299" s="15" t="s">
        <v>25</v>
      </c>
      <c r="H299" s="15" t="s">
        <v>68</v>
      </c>
      <c r="I299" s="15" t="s">
        <v>70</v>
      </c>
      <c r="J299" s="15" t="s">
        <v>267</v>
      </c>
      <c r="K299" s="15">
        <v>35</v>
      </c>
      <c r="L299" s="16">
        <v>50</v>
      </c>
      <c r="M299" s="17">
        <v>1750</v>
      </c>
      <c r="N299" s="15" t="s">
        <v>367</v>
      </c>
      <c r="O299" s="15" t="s">
        <v>19</v>
      </c>
      <c r="Q299"/>
    </row>
    <row r="300" spans="1:17" ht="15.6" x14ac:dyDescent="0.3">
      <c r="A300" s="11">
        <v>10134</v>
      </c>
      <c r="B300" s="10">
        <v>37803</v>
      </c>
      <c r="C300" s="10" t="s">
        <v>305</v>
      </c>
      <c r="D300" s="11" t="s">
        <v>126</v>
      </c>
      <c r="E300" s="11" t="s">
        <v>91</v>
      </c>
      <c r="F300" s="11" t="s">
        <v>92</v>
      </c>
      <c r="G300" s="11" t="s">
        <v>25</v>
      </c>
      <c r="H300" s="11" t="s">
        <v>68</v>
      </c>
      <c r="I300" s="11" t="s">
        <v>69</v>
      </c>
      <c r="J300" s="11" t="s">
        <v>266</v>
      </c>
      <c r="K300" s="11">
        <v>43</v>
      </c>
      <c r="L300" s="12">
        <v>25</v>
      </c>
      <c r="M300" s="13">
        <v>1075</v>
      </c>
      <c r="N300" s="11" t="s">
        <v>367</v>
      </c>
      <c r="O300" s="11" t="s">
        <v>19</v>
      </c>
      <c r="Q300"/>
    </row>
    <row r="301" spans="1:17" ht="15.6" x14ac:dyDescent="0.3">
      <c r="A301" s="15">
        <v>10135</v>
      </c>
      <c r="B301" s="14">
        <v>37804</v>
      </c>
      <c r="C301" s="14" t="s">
        <v>288</v>
      </c>
      <c r="D301" s="15" t="s">
        <v>88</v>
      </c>
      <c r="E301" s="15" t="s">
        <v>89</v>
      </c>
      <c r="F301" s="15" t="s">
        <v>15</v>
      </c>
      <c r="G301" s="15" t="s">
        <v>16</v>
      </c>
      <c r="H301" s="15" t="s">
        <v>32</v>
      </c>
      <c r="I301" s="15" t="s">
        <v>46</v>
      </c>
      <c r="J301" s="15" t="s">
        <v>254</v>
      </c>
      <c r="K301" s="15">
        <v>42</v>
      </c>
      <c r="L301" s="16">
        <v>90</v>
      </c>
      <c r="M301" s="17">
        <v>3780</v>
      </c>
      <c r="N301" s="15" t="s">
        <v>367</v>
      </c>
      <c r="O301" s="15" t="s">
        <v>19</v>
      </c>
      <c r="Q301"/>
    </row>
    <row r="302" spans="1:17" ht="15.6" x14ac:dyDescent="0.3">
      <c r="A302" s="11">
        <v>10135</v>
      </c>
      <c r="B302" s="10">
        <v>37804</v>
      </c>
      <c r="C302" s="10" t="s">
        <v>288</v>
      </c>
      <c r="D302" s="11" t="s">
        <v>88</v>
      </c>
      <c r="E302" s="11" t="s">
        <v>89</v>
      </c>
      <c r="F302" s="11" t="s">
        <v>15</v>
      </c>
      <c r="G302" s="11" t="s">
        <v>16</v>
      </c>
      <c r="H302" s="11" t="s">
        <v>32</v>
      </c>
      <c r="I302" s="11" t="s">
        <v>33</v>
      </c>
      <c r="J302" s="11" t="s">
        <v>245</v>
      </c>
      <c r="K302" s="11">
        <v>48</v>
      </c>
      <c r="L302" s="12">
        <v>85</v>
      </c>
      <c r="M302" s="13">
        <v>4080</v>
      </c>
      <c r="N302" s="11" t="s">
        <v>367</v>
      </c>
      <c r="O302" s="11" t="s">
        <v>19</v>
      </c>
      <c r="Q302"/>
    </row>
    <row r="303" spans="1:17" ht="15.6" x14ac:dyDescent="0.3">
      <c r="A303" s="15">
        <v>10135</v>
      </c>
      <c r="B303" s="14">
        <v>37804</v>
      </c>
      <c r="C303" s="14" t="s">
        <v>288</v>
      </c>
      <c r="D303" s="15" t="s">
        <v>88</v>
      </c>
      <c r="E303" s="15" t="s">
        <v>89</v>
      </c>
      <c r="F303" s="15" t="s">
        <v>15</v>
      </c>
      <c r="G303" s="15" t="s">
        <v>16</v>
      </c>
      <c r="H303" s="15" t="s">
        <v>32</v>
      </c>
      <c r="I303" s="15" t="s">
        <v>46</v>
      </c>
      <c r="J303" s="15" t="s">
        <v>254</v>
      </c>
      <c r="K303" s="15">
        <v>24</v>
      </c>
      <c r="L303" s="16">
        <v>90</v>
      </c>
      <c r="M303" s="17">
        <v>2160</v>
      </c>
      <c r="N303" s="15" t="s">
        <v>367</v>
      </c>
      <c r="O303" s="15" t="s">
        <v>19</v>
      </c>
      <c r="Q303"/>
    </row>
    <row r="304" spans="1:17" ht="15.6" x14ac:dyDescent="0.3">
      <c r="A304" s="11">
        <v>10135</v>
      </c>
      <c r="B304" s="10">
        <v>37804</v>
      </c>
      <c r="C304" s="10" t="s">
        <v>288</v>
      </c>
      <c r="D304" s="11" t="s">
        <v>88</v>
      </c>
      <c r="E304" s="11" t="s">
        <v>89</v>
      </c>
      <c r="F304" s="11" t="s">
        <v>15</v>
      </c>
      <c r="G304" s="11" t="s">
        <v>16</v>
      </c>
      <c r="H304" s="11" t="s">
        <v>32</v>
      </c>
      <c r="I304" s="11" t="s">
        <v>34</v>
      </c>
      <c r="J304" s="11" t="s">
        <v>246</v>
      </c>
      <c r="K304" s="11">
        <v>29</v>
      </c>
      <c r="L304" s="12">
        <v>80</v>
      </c>
      <c r="M304" s="13">
        <v>2320</v>
      </c>
      <c r="N304" s="11" t="s">
        <v>367</v>
      </c>
      <c r="O304" s="11" t="s">
        <v>19</v>
      </c>
      <c r="Q304"/>
    </row>
    <row r="305" spans="1:17" ht="15.6" x14ac:dyDescent="0.3">
      <c r="A305" s="15">
        <v>10135</v>
      </c>
      <c r="B305" s="14">
        <v>37804</v>
      </c>
      <c r="C305" s="14" t="s">
        <v>288</v>
      </c>
      <c r="D305" s="15" t="s">
        <v>88</v>
      </c>
      <c r="E305" s="15" t="s">
        <v>89</v>
      </c>
      <c r="F305" s="15" t="s">
        <v>15</v>
      </c>
      <c r="G305" s="15" t="s">
        <v>16</v>
      </c>
      <c r="H305" s="15" t="s">
        <v>32</v>
      </c>
      <c r="I305" s="15" t="s">
        <v>33</v>
      </c>
      <c r="J305" s="15" t="s">
        <v>245</v>
      </c>
      <c r="K305" s="15">
        <v>48</v>
      </c>
      <c r="L305" s="16">
        <v>85</v>
      </c>
      <c r="M305" s="17">
        <v>4080</v>
      </c>
      <c r="N305" s="15" t="s">
        <v>367</v>
      </c>
      <c r="O305" s="15" t="s">
        <v>19</v>
      </c>
      <c r="Q305"/>
    </row>
    <row r="306" spans="1:17" ht="15.6" x14ac:dyDescent="0.3">
      <c r="A306" s="11">
        <v>10135</v>
      </c>
      <c r="B306" s="10">
        <v>37804</v>
      </c>
      <c r="C306" s="10" t="s">
        <v>288</v>
      </c>
      <c r="D306" s="11" t="s">
        <v>88</v>
      </c>
      <c r="E306" s="11" t="s">
        <v>89</v>
      </c>
      <c r="F306" s="11" t="s">
        <v>15</v>
      </c>
      <c r="G306" s="11" t="s">
        <v>16</v>
      </c>
      <c r="H306" s="11" t="s">
        <v>32</v>
      </c>
      <c r="I306" s="11" t="s">
        <v>44</v>
      </c>
      <c r="J306" s="11" t="s">
        <v>252</v>
      </c>
      <c r="K306" s="11">
        <v>45</v>
      </c>
      <c r="L306" s="12">
        <v>55</v>
      </c>
      <c r="M306" s="13">
        <v>2475</v>
      </c>
      <c r="N306" s="11" t="s">
        <v>367</v>
      </c>
      <c r="O306" s="11" t="s">
        <v>19</v>
      </c>
      <c r="Q306"/>
    </row>
    <row r="307" spans="1:17" ht="15.6" x14ac:dyDescent="0.3">
      <c r="A307" s="15">
        <v>10135</v>
      </c>
      <c r="B307" s="14">
        <v>37804</v>
      </c>
      <c r="C307" s="14" t="s">
        <v>288</v>
      </c>
      <c r="D307" s="15" t="s">
        <v>88</v>
      </c>
      <c r="E307" s="15" t="s">
        <v>89</v>
      </c>
      <c r="F307" s="15" t="s">
        <v>15</v>
      </c>
      <c r="G307" s="15" t="s">
        <v>16</v>
      </c>
      <c r="H307" s="15" t="s">
        <v>32</v>
      </c>
      <c r="I307" s="15" t="s">
        <v>34</v>
      </c>
      <c r="J307" s="15" t="s">
        <v>246</v>
      </c>
      <c r="K307" s="15">
        <v>42</v>
      </c>
      <c r="L307" s="16">
        <v>80</v>
      </c>
      <c r="M307" s="17">
        <v>3360</v>
      </c>
      <c r="N307" s="15" t="s">
        <v>367</v>
      </c>
      <c r="O307" s="15" t="s">
        <v>19</v>
      </c>
      <c r="Q307"/>
    </row>
    <row r="308" spans="1:17" ht="15.6" x14ac:dyDescent="0.3">
      <c r="A308" s="11">
        <v>10135</v>
      </c>
      <c r="B308" s="10">
        <v>37804</v>
      </c>
      <c r="C308" s="10" t="s">
        <v>288</v>
      </c>
      <c r="D308" s="11" t="s">
        <v>88</v>
      </c>
      <c r="E308" s="11" t="s">
        <v>89</v>
      </c>
      <c r="F308" s="11" t="s">
        <v>15</v>
      </c>
      <c r="G308" s="11" t="s">
        <v>16</v>
      </c>
      <c r="H308" s="11" t="s">
        <v>68</v>
      </c>
      <c r="I308" s="11" t="s">
        <v>76</v>
      </c>
      <c r="J308" s="11" t="s">
        <v>269</v>
      </c>
      <c r="K308" s="11">
        <v>45</v>
      </c>
      <c r="L308" s="12">
        <v>30</v>
      </c>
      <c r="M308" s="13">
        <v>1350</v>
      </c>
      <c r="N308" s="11" t="s">
        <v>367</v>
      </c>
      <c r="O308" s="11" t="s">
        <v>19</v>
      </c>
      <c r="Q308"/>
    </row>
    <row r="309" spans="1:17" ht="15.6" x14ac:dyDescent="0.3">
      <c r="A309" s="15">
        <v>10135</v>
      </c>
      <c r="B309" s="14">
        <v>37804</v>
      </c>
      <c r="C309" s="14" t="s">
        <v>288</v>
      </c>
      <c r="D309" s="15" t="s">
        <v>88</v>
      </c>
      <c r="E309" s="15" t="s">
        <v>89</v>
      </c>
      <c r="F309" s="15" t="s">
        <v>15</v>
      </c>
      <c r="G309" s="15" t="s">
        <v>16</v>
      </c>
      <c r="H309" s="15" t="s">
        <v>32</v>
      </c>
      <c r="I309" s="15" t="s">
        <v>34</v>
      </c>
      <c r="J309" s="15" t="s">
        <v>246</v>
      </c>
      <c r="K309" s="15">
        <v>31</v>
      </c>
      <c r="L309" s="16">
        <v>80</v>
      </c>
      <c r="M309" s="17">
        <v>2480</v>
      </c>
      <c r="N309" s="15" t="s">
        <v>367</v>
      </c>
      <c r="O309" s="15" t="s">
        <v>19</v>
      </c>
      <c r="Q309"/>
    </row>
    <row r="310" spans="1:17" ht="15.6" x14ac:dyDescent="0.3">
      <c r="A310" s="11">
        <v>10135</v>
      </c>
      <c r="B310" s="10">
        <v>37804</v>
      </c>
      <c r="C310" s="10" t="s">
        <v>288</v>
      </c>
      <c r="D310" s="11" t="s">
        <v>88</v>
      </c>
      <c r="E310" s="11" t="s">
        <v>89</v>
      </c>
      <c r="F310" s="11" t="s">
        <v>15</v>
      </c>
      <c r="G310" s="11" t="s">
        <v>16</v>
      </c>
      <c r="H310" s="11" t="s">
        <v>68</v>
      </c>
      <c r="I310" s="11" t="s">
        <v>70</v>
      </c>
      <c r="J310" s="11" t="s">
        <v>267</v>
      </c>
      <c r="K310" s="11">
        <v>29</v>
      </c>
      <c r="L310" s="12">
        <v>50</v>
      </c>
      <c r="M310" s="13">
        <v>1450</v>
      </c>
      <c r="N310" s="11" t="s">
        <v>367</v>
      </c>
      <c r="O310" s="11" t="s">
        <v>19</v>
      </c>
      <c r="Q310"/>
    </row>
    <row r="311" spans="1:17" ht="15.6" x14ac:dyDescent="0.3">
      <c r="A311" s="15">
        <v>10135</v>
      </c>
      <c r="B311" s="14">
        <v>37804</v>
      </c>
      <c r="C311" s="14" t="s">
        <v>288</v>
      </c>
      <c r="D311" s="15" t="s">
        <v>88</v>
      </c>
      <c r="E311" s="15" t="s">
        <v>89</v>
      </c>
      <c r="F311" s="15" t="s">
        <v>15</v>
      </c>
      <c r="G311" s="15" t="s">
        <v>16</v>
      </c>
      <c r="H311" s="15" t="s">
        <v>32</v>
      </c>
      <c r="I311" s="15" t="s">
        <v>34</v>
      </c>
      <c r="J311" s="15" t="s">
        <v>246</v>
      </c>
      <c r="K311" s="15">
        <v>20</v>
      </c>
      <c r="L311" s="16">
        <v>80</v>
      </c>
      <c r="M311" s="17">
        <v>1600</v>
      </c>
      <c r="N311" s="15" t="s">
        <v>367</v>
      </c>
      <c r="O311" s="15" t="s">
        <v>19</v>
      </c>
      <c r="Q311"/>
    </row>
    <row r="312" spans="1:17" ht="15.6" x14ac:dyDescent="0.3">
      <c r="A312" s="11">
        <v>10135</v>
      </c>
      <c r="B312" s="10">
        <v>37804</v>
      </c>
      <c r="C312" s="10" t="s">
        <v>288</v>
      </c>
      <c r="D312" s="11" t="s">
        <v>88</v>
      </c>
      <c r="E312" s="11" t="s">
        <v>89</v>
      </c>
      <c r="F312" s="11" t="s">
        <v>15</v>
      </c>
      <c r="G312" s="11" t="s">
        <v>16</v>
      </c>
      <c r="H312" s="11" t="s">
        <v>32</v>
      </c>
      <c r="I312" s="11" t="s">
        <v>44</v>
      </c>
      <c r="J312" s="11" t="s">
        <v>252</v>
      </c>
      <c r="K312" s="11">
        <v>27</v>
      </c>
      <c r="L312" s="12">
        <v>55</v>
      </c>
      <c r="M312" s="13">
        <v>1485</v>
      </c>
      <c r="N312" s="11" t="s">
        <v>367</v>
      </c>
      <c r="O312" s="11" t="s">
        <v>19</v>
      </c>
      <c r="Q312"/>
    </row>
    <row r="313" spans="1:17" ht="15.6" x14ac:dyDescent="0.3">
      <c r="A313" s="15">
        <v>10135</v>
      </c>
      <c r="B313" s="14">
        <v>37804</v>
      </c>
      <c r="C313" s="14" t="s">
        <v>288</v>
      </c>
      <c r="D313" s="15" t="s">
        <v>88</v>
      </c>
      <c r="E313" s="15" t="s">
        <v>89</v>
      </c>
      <c r="F313" s="15" t="s">
        <v>15</v>
      </c>
      <c r="G313" s="15" t="s">
        <v>16</v>
      </c>
      <c r="H313" s="15" t="s">
        <v>32</v>
      </c>
      <c r="I313" s="15" t="s">
        <v>46</v>
      </c>
      <c r="J313" s="15" t="s">
        <v>254</v>
      </c>
      <c r="K313" s="15">
        <v>47</v>
      </c>
      <c r="L313" s="16">
        <v>90</v>
      </c>
      <c r="M313" s="17">
        <v>4230</v>
      </c>
      <c r="N313" s="15" t="s">
        <v>367</v>
      </c>
      <c r="O313" s="15" t="s">
        <v>19</v>
      </c>
      <c r="Q313"/>
    </row>
    <row r="314" spans="1:17" ht="15.6" x14ac:dyDescent="0.3">
      <c r="A314" s="11">
        <v>10135</v>
      </c>
      <c r="B314" s="10">
        <v>37804</v>
      </c>
      <c r="C314" s="10" t="s">
        <v>288</v>
      </c>
      <c r="D314" s="11" t="s">
        <v>88</v>
      </c>
      <c r="E314" s="11" t="s">
        <v>89</v>
      </c>
      <c r="F314" s="11" t="s">
        <v>15</v>
      </c>
      <c r="G314" s="11" t="s">
        <v>16</v>
      </c>
      <c r="H314" s="11" t="s">
        <v>32</v>
      </c>
      <c r="I314" s="11" t="s">
        <v>45</v>
      </c>
      <c r="J314" s="11" t="s">
        <v>253</v>
      </c>
      <c r="K314" s="11">
        <v>23</v>
      </c>
      <c r="L314" s="12">
        <v>35</v>
      </c>
      <c r="M314" s="13">
        <v>805</v>
      </c>
      <c r="N314" s="11" t="s">
        <v>367</v>
      </c>
      <c r="O314" s="11" t="s">
        <v>19</v>
      </c>
      <c r="Q314"/>
    </row>
    <row r="315" spans="1:17" ht="15.6" x14ac:dyDescent="0.3">
      <c r="A315" s="15">
        <v>10135</v>
      </c>
      <c r="B315" s="14">
        <v>37804</v>
      </c>
      <c r="C315" s="14" t="s">
        <v>288</v>
      </c>
      <c r="D315" s="15" t="s">
        <v>88</v>
      </c>
      <c r="E315" s="15" t="s">
        <v>89</v>
      </c>
      <c r="F315" s="15" t="s">
        <v>15</v>
      </c>
      <c r="G315" s="15" t="s">
        <v>16</v>
      </c>
      <c r="H315" s="15" t="s">
        <v>68</v>
      </c>
      <c r="I315" s="15" t="s">
        <v>69</v>
      </c>
      <c r="J315" s="15" t="s">
        <v>266</v>
      </c>
      <c r="K315" s="15">
        <v>33</v>
      </c>
      <c r="L315" s="16">
        <v>25</v>
      </c>
      <c r="M315" s="17">
        <v>825</v>
      </c>
      <c r="N315" s="15" t="s">
        <v>367</v>
      </c>
      <c r="O315" s="15" t="s">
        <v>19</v>
      </c>
      <c r="Q315"/>
    </row>
    <row r="316" spans="1:17" ht="15.6" x14ac:dyDescent="0.3">
      <c r="A316" s="11">
        <v>10135</v>
      </c>
      <c r="B316" s="10">
        <v>37804</v>
      </c>
      <c r="C316" s="10" t="s">
        <v>288</v>
      </c>
      <c r="D316" s="11" t="s">
        <v>88</v>
      </c>
      <c r="E316" s="11" t="s">
        <v>89</v>
      </c>
      <c r="F316" s="11" t="s">
        <v>15</v>
      </c>
      <c r="G316" s="11" t="s">
        <v>16</v>
      </c>
      <c r="H316" s="11" t="s">
        <v>68</v>
      </c>
      <c r="I316" s="11" t="s">
        <v>69</v>
      </c>
      <c r="J316" s="11" t="s">
        <v>266</v>
      </c>
      <c r="K316" s="11">
        <v>30</v>
      </c>
      <c r="L316" s="12">
        <v>25</v>
      </c>
      <c r="M316" s="13">
        <v>750</v>
      </c>
      <c r="N316" s="11" t="s">
        <v>367</v>
      </c>
      <c r="O316" s="11" t="s">
        <v>19</v>
      </c>
      <c r="Q316"/>
    </row>
    <row r="317" spans="1:17" ht="15.6" x14ac:dyDescent="0.3">
      <c r="A317" s="15">
        <v>10135</v>
      </c>
      <c r="B317" s="14">
        <v>37804</v>
      </c>
      <c r="C317" s="14" t="s">
        <v>288</v>
      </c>
      <c r="D317" s="15" t="s">
        <v>88</v>
      </c>
      <c r="E317" s="15" t="s">
        <v>89</v>
      </c>
      <c r="F317" s="15" t="s">
        <v>15</v>
      </c>
      <c r="G317" s="15" t="s">
        <v>16</v>
      </c>
      <c r="H317" s="15" t="s">
        <v>68</v>
      </c>
      <c r="I317" s="15" t="s">
        <v>69</v>
      </c>
      <c r="J317" s="15" t="s">
        <v>266</v>
      </c>
      <c r="K317" s="15">
        <v>44</v>
      </c>
      <c r="L317" s="16">
        <v>25</v>
      </c>
      <c r="M317" s="17">
        <v>1100</v>
      </c>
      <c r="N317" s="15" t="s">
        <v>367</v>
      </c>
      <c r="O317" s="15" t="s">
        <v>19</v>
      </c>
      <c r="Q317"/>
    </row>
    <row r="318" spans="1:17" ht="15.6" x14ac:dyDescent="0.3">
      <c r="A318" s="11">
        <v>10136</v>
      </c>
      <c r="B318" s="10">
        <v>37806</v>
      </c>
      <c r="C318" s="10" t="s">
        <v>306</v>
      </c>
      <c r="D318" s="11" t="s">
        <v>127</v>
      </c>
      <c r="E318" s="11" t="s">
        <v>128</v>
      </c>
      <c r="F318" s="11" t="s">
        <v>92</v>
      </c>
      <c r="G318" s="11" t="s">
        <v>25</v>
      </c>
      <c r="H318" s="11" t="s">
        <v>32</v>
      </c>
      <c r="I318" s="11" t="s">
        <v>44</v>
      </c>
      <c r="J318" s="11" t="s">
        <v>252</v>
      </c>
      <c r="K318" s="11">
        <v>25</v>
      </c>
      <c r="L318" s="12">
        <v>55</v>
      </c>
      <c r="M318" s="13">
        <v>1375</v>
      </c>
      <c r="N318" s="11" t="s">
        <v>367</v>
      </c>
      <c r="O318" s="11" t="s">
        <v>19</v>
      </c>
      <c r="Q318"/>
    </row>
    <row r="319" spans="1:17" ht="15.6" x14ac:dyDescent="0.3">
      <c r="A319" s="15">
        <v>10136</v>
      </c>
      <c r="B319" s="14">
        <v>37806</v>
      </c>
      <c r="C319" s="14" t="s">
        <v>306</v>
      </c>
      <c r="D319" s="15" t="s">
        <v>127</v>
      </c>
      <c r="E319" s="15" t="s">
        <v>128</v>
      </c>
      <c r="F319" s="15" t="s">
        <v>92</v>
      </c>
      <c r="G319" s="15" t="s">
        <v>25</v>
      </c>
      <c r="H319" s="15" t="s">
        <v>32</v>
      </c>
      <c r="I319" s="15" t="s">
        <v>34</v>
      </c>
      <c r="J319" s="15" t="s">
        <v>246</v>
      </c>
      <c r="K319" s="15">
        <v>36</v>
      </c>
      <c r="L319" s="16">
        <v>80</v>
      </c>
      <c r="M319" s="17">
        <v>2880</v>
      </c>
      <c r="N319" s="15" t="s">
        <v>367</v>
      </c>
      <c r="O319" s="15" t="s">
        <v>19</v>
      </c>
      <c r="Q319"/>
    </row>
    <row r="320" spans="1:17" ht="15.6" x14ac:dyDescent="0.3">
      <c r="A320" s="11">
        <v>10136</v>
      </c>
      <c r="B320" s="10">
        <v>37806</v>
      </c>
      <c r="C320" s="10" t="s">
        <v>306</v>
      </c>
      <c r="D320" s="11" t="s">
        <v>127</v>
      </c>
      <c r="E320" s="11" t="s">
        <v>128</v>
      </c>
      <c r="F320" s="11" t="s">
        <v>92</v>
      </c>
      <c r="G320" s="11" t="s">
        <v>25</v>
      </c>
      <c r="H320" s="11" t="s">
        <v>32</v>
      </c>
      <c r="I320" s="11" t="s">
        <v>34</v>
      </c>
      <c r="J320" s="11" t="s">
        <v>246</v>
      </c>
      <c r="K320" s="11">
        <v>41</v>
      </c>
      <c r="L320" s="12">
        <v>80</v>
      </c>
      <c r="M320" s="13">
        <v>3280</v>
      </c>
      <c r="N320" s="11" t="s">
        <v>367</v>
      </c>
      <c r="O320" s="11" t="s">
        <v>19</v>
      </c>
      <c r="Q320"/>
    </row>
    <row r="321" spans="1:17" ht="15.6" x14ac:dyDescent="0.3">
      <c r="A321" s="15">
        <v>10137</v>
      </c>
      <c r="B321" s="14">
        <v>37812</v>
      </c>
      <c r="C321" s="14" t="s">
        <v>296</v>
      </c>
      <c r="D321" s="15" t="s">
        <v>109</v>
      </c>
      <c r="E321" s="15" t="s">
        <v>110</v>
      </c>
      <c r="F321" s="15" t="s">
        <v>92</v>
      </c>
      <c r="G321" s="15" t="s">
        <v>25</v>
      </c>
      <c r="H321" s="15" t="s">
        <v>32</v>
      </c>
      <c r="I321" s="15" t="s">
        <v>46</v>
      </c>
      <c r="J321" s="15" t="s">
        <v>254</v>
      </c>
      <c r="K321" s="15">
        <v>44</v>
      </c>
      <c r="L321" s="16">
        <v>90</v>
      </c>
      <c r="M321" s="17">
        <v>3960</v>
      </c>
      <c r="N321" s="15" t="s">
        <v>367</v>
      </c>
      <c r="O321" s="15" t="s">
        <v>19</v>
      </c>
      <c r="Q321"/>
    </row>
    <row r="322" spans="1:17" ht="15.6" x14ac:dyDescent="0.3">
      <c r="A322" s="11">
        <v>10137</v>
      </c>
      <c r="B322" s="10">
        <v>37812</v>
      </c>
      <c r="C322" s="10" t="s">
        <v>296</v>
      </c>
      <c r="D322" s="11" t="s">
        <v>109</v>
      </c>
      <c r="E322" s="11" t="s">
        <v>110</v>
      </c>
      <c r="F322" s="11" t="s">
        <v>92</v>
      </c>
      <c r="G322" s="11" t="s">
        <v>25</v>
      </c>
      <c r="H322" s="11" t="s">
        <v>32</v>
      </c>
      <c r="I322" s="11" t="s">
        <v>44</v>
      </c>
      <c r="J322" s="11" t="s">
        <v>252</v>
      </c>
      <c r="K322" s="11">
        <v>37</v>
      </c>
      <c r="L322" s="12">
        <v>55</v>
      </c>
      <c r="M322" s="13">
        <v>2035</v>
      </c>
      <c r="N322" s="11" t="s">
        <v>367</v>
      </c>
      <c r="O322" s="11" t="s">
        <v>19</v>
      </c>
      <c r="Q322"/>
    </row>
    <row r="323" spans="1:17" ht="15.6" x14ac:dyDescent="0.3">
      <c r="A323" s="15">
        <v>10137</v>
      </c>
      <c r="B323" s="14">
        <v>37812</v>
      </c>
      <c r="C323" s="14" t="s">
        <v>296</v>
      </c>
      <c r="D323" s="15" t="s">
        <v>109</v>
      </c>
      <c r="E323" s="15" t="s">
        <v>110</v>
      </c>
      <c r="F323" s="15" t="s">
        <v>92</v>
      </c>
      <c r="G323" s="15" t="s">
        <v>25</v>
      </c>
      <c r="H323" s="15" t="s">
        <v>32</v>
      </c>
      <c r="I323" s="15" t="s">
        <v>34</v>
      </c>
      <c r="J323" s="15" t="s">
        <v>246</v>
      </c>
      <c r="K323" s="15">
        <v>31</v>
      </c>
      <c r="L323" s="16">
        <v>80</v>
      </c>
      <c r="M323" s="17">
        <v>2480</v>
      </c>
      <c r="N323" s="15" t="s">
        <v>367</v>
      </c>
      <c r="O323" s="15" t="s">
        <v>19</v>
      </c>
      <c r="Q323"/>
    </row>
    <row r="324" spans="1:17" ht="15.6" x14ac:dyDescent="0.3">
      <c r="A324" s="11">
        <v>10137</v>
      </c>
      <c r="B324" s="10">
        <v>37812</v>
      </c>
      <c r="C324" s="10" t="s">
        <v>296</v>
      </c>
      <c r="D324" s="11" t="s">
        <v>109</v>
      </c>
      <c r="E324" s="11" t="s">
        <v>110</v>
      </c>
      <c r="F324" s="11" t="s">
        <v>92</v>
      </c>
      <c r="G324" s="11" t="s">
        <v>25</v>
      </c>
      <c r="H324" s="11" t="s">
        <v>32</v>
      </c>
      <c r="I324" s="11" t="s">
        <v>34</v>
      </c>
      <c r="J324" s="11" t="s">
        <v>246</v>
      </c>
      <c r="K324" s="11">
        <v>26</v>
      </c>
      <c r="L324" s="12">
        <v>80</v>
      </c>
      <c r="M324" s="13">
        <v>2080</v>
      </c>
      <c r="N324" s="11" t="s">
        <v>367</v>
      </c>
      <c r="O324" s="11" t="s">
        <v>19</v>
      </c>
      <c r="Q324"/>
    </row>
    <row r="325" spans="1:17" ht="15.6" x14ac:dyDescent="0.3">
      <c r="A325" s="15">
        <v>10139</v>
      </c>
      <c r="B325" s="14">
        <v>37818</v>
      </c>
      <c r="C325" s="14" t="s">
        <v>307</v>
      </c>
      <c r="D325" s="15" t="s">
        <v>129</v>
      </c>
      <c r="E325" s="15" t="s">
        <v>130</v>
      </c>
      <c r="F325" s="15" t="s">
        <v>106</v>
      </c>
      <c r="G325" s="15" t="s">
        <v>107</v>
      </c>
      <c r="H325" s="15" t="s">
        <v>17</v>
      </c>
      <c r="I325" s="15" t="s">
        <v>26</v>
      </c>
      <c r="J325" s="15" t="s">
        <v>244</v>
      </c>
      <c r="K325" s="15">
        <v>31</v>
      </c>
      <c r="L325" s="16">
        <v>60</v>
      </c>
      <c r="M325" s="17">
        <v>1860</v>
      </c>
      <c r="N325" s="15" t="s">
        <v>367</v>
      </c>
      <c r="O325" s="15" t="s">
        <v>19</v>
      </c>
      <c r="Q325"/>
    </row>
    <row r="326" spans="1:17" ht="15.6" x14ac:dyDescent="0.3">
      <c r="A326" s="11">
        <v>10139</v>
      </c>
      <c r="B326" s="10">
        <v>37818</v>
      </c>
      <c r="C326" s="10" t="s">
        <v>307</v>
      </c>
      <c r="D326" s="11" t="s">
        <v>129</v>
      </c>
      <c r="E326" s="11" t="s">
        <v>130</v>
      </c>
      <c r="F326" s="11" t="s">
        <v>106</v>
      </c>
      <c r="G326" s="11" t="s">
        <v>107</v>
      </c>
      <c r="H326" s="11" t="s">
        <v>17</v>
      </c>
      <c r="I326" s="11" t="s">
        <v>82</v>
      </c>
      <c r="J326" s="11" t="s">
        <v>270</v>
      </c>
      <c r="K326" s="11">
        <v>49</v>
      </c>
      <c r="L326" s="12">
        <v>75</v>
      </c>
      <c r="M326" s="13">
        <v>3675</v>
      </c>
      <c r="N326" s="11" t="s">
        <v>367</v>
      </c>
      <c r="O326" s="11" t="s">
        <v>19</v>
      </c>
      <c r="Q326"/>
    </row>
    <row r="327" spans="1:17" ht="15.6" x14ac:dyDescent="0.3">
      <c r="A327" s="15">
        <v>10139</v>
      </c>
      <c r="B327" s="14">
        <v>37818</v>
      </c>
      <c r="C327" s="14" t="s">
        <v>307</v>
      </c>
      <c r="D327" s="15" t="s">
        <v>129</v>
      </c>
      <c r="E327" s="15" t="s">
        <v>130</v>
      </c>
      <c r="F327" s="15" t="s">
        <v>106</v>
      </c>
      <c r="G327" s="15" t="s">
        <v>107</v>
      </c>
      <c r="H327" s="15" t="s">
        <v>17</v>
      </c>
      <c r="I327" s="15" t="s">
        <v>20</v>
      </c>
      <c r="J327" s="15" t="s">
        <v>242</v>
      </c>
      <c r="K327" s="15">
        <v>41</v>
      </c>
      <c r="L327" s="16">
        <v>48</v>
      </c>
      <c r="M327" s="17">
        <v>1968</v>
      </c>
      <c r="N327" s="15" t="s">
        <v>367</v>
      </c>
      <c r="O327" s="15" t="s">
        <v>19</v>
      </c>
      <c r="Q327"/>
    </row>
    <row r="328" spans="1:17" ht="15.6" x14ac:dyDescent="0.3">
      <c r="A328" s="11">
        <v>10139</v>
      </c>
      <c r="B328" s="10">
        <v>37818</v>
      </c>
      <c r="C328" s="10" t="s">
        <v>307</v>
      </c>
      <c r="D328" s="11" t="s">
        <v>129</v>
      </c>
      <c r="E328" s="11" t="s">
        <v>130</v>
      </c>
      <c r="F328" s="11" t="s">
        <v>106</v>
      </c>
      <c r="G328" s="11" t="s">
        <v>107</v>
      </c>
      <c r="H328" s="11" t="s">
        <v>17</v>
      </c>
      <c r="I328" s="11" t="s">
        <v>20</v>
      </c>
      <c r="J328" s="11" t="s">
        <v>242</v>
      </c>
      <c r="K328" s="11">
        <v>46</v>
      </c>
      <c r="L328" s="12">
        <v>48</v>
      </c>
      <c r="M328" s="13">
        <v>2208</v>
      </c>
      <c r="N328" s="11" t="s">
        <v>367</v>
      </c>
      <c r="O328" s="11" t="s">
        <v>19</v>
      </c>
      <c r="Q328"/>
    </row>
    <row r="329" spans="1:17" ht="15.6" x14ac:dyDescent="0.3">
      <c r="A329" s="15">
        <v>10139</v>
      </c>
      <c r="B329" s="14">
        <v>37818</v>
      </c>
      <c r="C329" s="14" t="s">
        <v>307</v>
      </c>
      <c r="D329" s="15" t="s">
        <v>129</v>
      </c>
      <c r="E329" s="15" t="s">
        <v>130</v>
      </c>
      <c r="F329" s="15" t="s">
        <v>106</v>
      </c>
      <c r="G329" s="15" t="s">
        <v>107</v>
      </c>
      <c r="H329" s="15" t="s">
        <v>17</v>
      </c>
      <c r="I329" s="15" t="s">
        <v>20</v>
      </c>
      <c r="J329" s="15" t="s">
        <v>242</v>
      </c>
      <c r="K329" s="15">
        <v>20</v>
      </c>
      <c r="L329" s="16">
        <v>48</v>
      </c>
      <c r="M329" s="17">
        <v>960</v>
      </c>
      <c r="N329" s="15" t="s">
        <v>367</v>
      </c>
      <c r="O329" s="15" t="s">
        <v>19</v>
      </c>
      <c r="Q329"/>
    </row>
    <row r="330" spans="1:17" ht="15.6" x14ac:dyDescent="0.3">
      <c r="A330" s="11">
        <v>10139</v>
      </c>
      <c r="B330" s="10">
        <v>37818</v>
      </c>
      <c r="C330" s="10" t="s">
        <v>307</v>
      </c>
      <c r="D330" s="11" t="s">
        <v>129</v>
      </c>
      <c r="E330" s="11" t="s">
        <v>130</v>
      </c>
      <c r="F330" s="11" t="s">
        <v>106</v>
      </c>
      <c r="G330" s="11" t="s">
        <v>107</v>
      </c>
      <c r="H330" s="11" t="s">
        <v>17</v>
      </c>
      <c r="I330" s="11" t="s">
        <v>20</v>
      </c>
      <c r="J330" s="11" t="s">
        <v>242</v>
      </c>
      <c r="K330" s="11">
        <v>20</v>
      </c>
      <c r="L330" s="12">
        <v>48</v>
      </c>
      <c r="M330" s="13">
        <v>960</v>
      </c>
      <c r="N330" s="11" t="s">
        <v>367</v>
      </c>
      <c r="O330" s="11" t="s">
        <v>19</v>
      </c>
      <c r="Q330"/>
    </row>
    <row r="331" spans="1:17" ht="15.6" x14ac:dyDescent="0.3">
      <c r="A331" s="15">
        <v>10139</v>
      </c>
      <c r="B331" s="14">
        <v>37818</v>
      </c>
      <c r="C331" s="14" t="s">
        <v>307</v>
      </c>
      <c r="D331" s="15" t="s">
        <v>129</v>
      </c>
      <c r="E331" s="15" t="s">
        <v>130</v>
      </c>
      <c r="F331" s="15" t="s">
        <v>106</v>
      </c>
      <c r="G331" s="15" t="s">
        <v>107</v>
      </c>
      <c r="H331" s="15" t="s">
        <v>17</v>
      </c>
      <c r="I331" s="15" t="s">
        <v>20</v>
      </c>
      <c r="J331" s="15" t="s">
        <v>242</v>
      </c>
      <c r="K331" s="15">
        <v>30</v>
      </c>
      <c r="L331" s="16">
        <v>48</v>
      </c>
      <c r="M331" s="17">
        <v>1440</v>
      </c>
      <c r="N331" s="15" t="s">
        <v>367</v>
      </c>
      <c r="O331" s="15" t="s">
        <v>19</v>
      </c>
      <c r="Q331"/>
    </row>
    <row r="332" spans="1:17" ht="15.6" x14ac:dyDescent="0.3">
      <c r="A332" s="11">
        <v>10139</v>
      </c>
      <c r="B332" s="10">
        <v>37818</v>
      </c>
      <c r="C332" s="10" t="s">
        <v>307</v>
      </c>
      <c r="D332" s="11" t="s">
        <v>129</v>
      </c>
      <c r="E332" s="11" t="s">
        <v>130</v>
      </c>
      <c r="F332" s="11" t="s">
        <v>106</v>
      </c>
      <c r="G332" s="11" t="s">
        <v>107</v>
      </c>
      <c r="H332" s="11" t="s">
        <v>17</v>
      </c>
      <c r="I332" s="11" t="s">
        <v>82</v>
      </c>
      <c r="J332" s="11" t="s">
        <v>270</v>
      </c>
      <c r="K332" s="11">
        <v>29</v>
      </c>
      <c r="L332" s="12">
        <v>75</v>
      </c>
      <c r="M332" s="13">
        <v>2175</v>
      </c>
      <c r="N332" s="11" t="s">
        <v>367</v>
      </c>
      <c r="O332" s="11" t="s">
        <v>19</v>
      </c>
      <c r="Q332"/>
    </row>
    <row r="333" spans="1:17" ht="15.6" x14ac:dyDescent="0.3">
      <c r="A333" s="15">
        <v>10140</v>
      </c>
      <c r="B333" s="14">
        <v>37826</v>
      </c>
      <c r="C333" s="14" t="s">
        <v>308</v>
      </c>
      <c r="D333" s="15" t="s">
        <v>131</v>
      </c>
      <c r="E333" s="15" t="s">
        <v>132</v>
      </c>
      <c r="F333" s="15" t="s">
        <v>15</v>
      </c>
      <c r="G333" s="15" t="s">
        <v>16</v>
      </c>
      <c r="H333" s="15" t="s">
        <v>32</v>
      </c>
      <c r="I333" s="15" t="s">
        <v>34</v>
      </c>
      <c r="J333" s="15" t="s">
        <v>246</v>
      </c>
      <c r="K333" s="15">
        <v>37</v>
      </c>
      <c r="L333" s="16">
        <v>80</v>
      </c>
      <c r="M333" s="17">
        <v>2960</v>
      </c>
      <c r="N333" s="15" t="s">
        <v>367</v>
      </c>
      <c r="O333" s="15" t="s">
        <v>19</v>
      </c>
      <c r="Q333"/>
    </row>
    <row r="334" spans="1:17" ht="15.6" x14ac:dyDescent="0.3">
      <c r="A334" s="11">
        <v>10140</v>
      </c>
      <c r="B334" s="10">
        <v>37826</v>
      </c>
      <c r="C334" s="10" t="s">
        <v>308</v>
      </c>
      <c r="D334" s="11" t="s">
        <v>131</v>
      </c>
      <c r="E334" s="11" t="s">
        <v>132</v>
      </c>
      <c r="F334" s="11" t="s">
        <v>15</v>
      </c>
      <c r="G334" s="11" t="s">
        <v>16</v>
      </c>
      <c r="H334" s="11" t="s">
        <v>32</v>
      </c>
      <c r="I334" s="11" t="s">
        <v>44</v>
      </c>
      <c r="J334" s="11" t="s">
        <v>252</v>
      </c>
      <c r="K334" s="11">
        <v>26</v>
      </c>
      <c r="L334" s="12">
        <v>55</v>
      </c>
      <c r="M334" s="13">
        <v>1430</v>
      </c>
      <c r="N334" s="11" t="s">
        <v>367</v>
      </c>
      <c r="O334" s="11" t="s">
        <v>19</v>
      </c>
      <c r="Q334"/>
    </row>
    <row r="335" spans="1:17" ht="15.6" x14ac:dyDescent="0.3">
      <c r="A335" s="15">
        <v>10140</v>
      </c>
      <c r="B335" s="14">
        <v>37826</v>
      </c>
      <c r="C335" s="14" t="s">
        <v>308</v>
      </c>
      <c r="D335" s="15" t="s">
        <v>131</v>
      </c>
      <c r="E335" s="15" t="s">
        <v>132</v>
      </c>
      <c r="F335" s="15" t="s">
        <v>15</v>
      </c>
      <c r="G335" s="15" t="s">
        <v>16</v>
      </c>
      <c r="H335" s="15" t="s">
        <v>35</v>
      </c>
      <c r="I335" s="15" t="s">
        <v>39</v>
      </c>
      <c r="J335" s="15" t="s">
        <v>250</v>
      </c>
      <c r="K335" s="15">
        <v>38</v>
      </c>
      <c r="L335" s="16">
        <v>20</v>
      </c>
      <c r="M335" s="17">
        <v>760</v>
      </c>
      <c r="N335" s="15" t="s">
        <v>367</v>
      </c>
      <c r="O335" s="15" t="s">
        <v>19</v>
      </c>
      <c r="Q335"/>
    </row>
    <row r="336" spans="1:17" ht="15.6" x14ac:dyDescent="0.3">
      <c r="A336" s="11">
        <v>10140</v>
      </c>
      <c r="B336" s="10">
        <v>37826</v>
      </c>
      <c r="C336" s="10" t="s">
        <v>308</v>
      </c>
      <c r="D336" s="11" t="s">
        <v>131</v>
      </c>
      <c r="E336" s="11" t="s">
        <v>132</v>
      </c>
      <c r="F336" s="11" t="s">
        <v>15</v>
      </c>
      <c r="G336" s="11" t="s">
        <v>16</v>
      </c>
      <c r="H336" s="11" t="s">
        <v>35</v>
      </c>
      <c r="I336" s="11" t="s">
        <v>36</v>
      </c>
      <c r="J336" s="11" t="s">
        <v>247</v>
      </c>
      <c r="K336" s="11">
        <v>32</v>
      </c>
      <c r="L336" s="12">
        <v>30</v>
      </c>
      <c r="M336" s="13">
        <v>960</v>
      </c>
      <c r="N336" s="11" t="s">
        <v>367</v>
      </c>
      <c r="O336" s="11" t="s">
        <v>19</v>
      </c>
      <c r="Q336"/>
    </row>
    <row r="337" spans="1:17" ht="15.6" x14ac:dyDescent="0.3">
      <c r="A337" s="15">
        <v>10140</v>
      </c>
      <c r="B337" s="14">
        <v>37826</v>
      </c>
      <c r="C337" s="14" t="s">
        <v>308</v>
      </c>
      <c r="D337" s="15" t="s">
        <v>131</v>
      </c>
      <c r="E337" s="15" t="s">
        <v>132</v>
      </c>
      <c r="F337" s="15" t="s">
        <v>15</v>
      </c>
      <c r="G337" s="15" t="s">
        <v>16</v>
      </c>
      <c r="H337" s="15" t="s">
        <v>35</v>
      </c>
      <c r="I337" s="15" t="s">
        <v>39</v>
      </c>
      <c r="J337" s="15" t="s">
        <v>250</v>
      </c>
      <c r="K337" s="15">
        <v>46</v>
      </c>
      <c r="L337" s="16">
        <v>20</v>
      </c>
      <c r="M337" s="17">
        <v>920</v>
      </c>
      <c r="N337" s="15" t="s">
        <v>367</v>
      </c>
      <c r="O337" s="15" t="s">
        <v>19</v>
      </c>
      <c r="Q337"/>
    </row>
    <row r="338" spans="1:17" ht="15.6" x14ac:dyDescent="0.3">
      <c r="A338" s="11">
        <v>10140</v>
      </c>
      <c r="B338" s="10">
        <v>37826</v>
      </c>
      <c r="C338" s="10" t="s">
        <v>308</v>
      </c>
      <c r="D338" s="11" t="s">
        <v>131</v>
      </c>
      <c r="E338" s="11" t="s">
        <v>132</v>
      </c>
      <c r="F338" s="11" t="s">
        <v>15</v>
      </c>
      <c r="G338" s="11" t="s">
        <v>16</v>
      </c>
      <c r="H338" s="11" t="s">
        <v>35</v>
      </c>
      <c r="I338" s="11" t="s">
        <v>39</v>
      </c>
      <c r="J338" s="11" t="s">
        <v>250</v>
      </c>
      <c r="K338" s="11">
        <v>40</v>
      </c>
      <c r="L338" s="12">
        <v>20</v>
      </c>
      <c r="M338" s="13">
        <v>800</v>
      </c>
      <c r="N338" s="11" t="s">
        <v>367</v>
      </c>
      <c r="O338" s="11" t="s">
        <v>19</v>
      </c>
      <c r="Q338"/>
    </row>
    <row r="339" spans="1:17" ht="15.6" x14ac:dyDescent="0.3">
      <c r="A339" s="15">
        <v>10140</v>
      </c>
      <c r="B339" s="14">
        <v>37826</v>
      </c>
      <c r="C339" s="14" t="s">
        <v>308</v>
      </c>
      <c r="D339" s="15" t="s">
        <v>131</v>
      </c>
      <c r="E339" s="15" t="s">
        <v>132</v>
      </c>
      <c r="F339" s="15" t="s">
        <v>15</v>
      </c>
      <c r="G339" s="15" t="s">
        <v>16</v>
      </c>
      <c r="H339" s="15" t="s">
        <v>17</v>
      </c>
      <c r="I339" s="15" t="s">
        <v>20</v>
      </c>
      <c r="J339" s="15" t="s">
        <v>242</v>
      </c>
      <c r="K339" s="15">
        <v>29</v>
      </c>
      <c r="L339" s="16">
        <v>48</v>
      </c>
      <c r="M339" s="17">
        <v>1392</v>
      </c>
      <c r="N339" s="15" t="s">
        <v>367</v>
      </c>
      <c r="O339" s="15" t="s">
        <v>19</v>
      </c>
      <c r="Q339"/>
    </row>
    <row r="340" spans="1:17" ht="15.6" x14ac:dyDescent="0.3">
      <c r="A340" s="11">
        <v>10140</v>
      </c>
      <c r="B340" s="10">
        <v>37826</v>
      </c>
      <c r="C340" s="10" t="s">
        <v>308</v>
      </c>
      <c r="D340" s="11" t="s">
        <v>131</v>
      </c>
      <c r="E340" s="11" t="s">
        <v>132</v>
      </c>
      <c r="F340" s="11" t="s">
        <v>15</v>
      </c>
      <c r="G340" s="11" t="s">
        <v>16</v>
      </c>
      <c r="H340" s="11" t="s">
        <v>35</v>
      </c>
      <c r="I340" s="11" t="s">
        <v>39</v>
      </c>
      <c r="J340" s="11" t="s">
        <v>250</v>
      </c>
      <c r="K340" s="11">
        <v>47</v>
      </c>
      <c r="L340" s="12">
        <v>20</v>
      </c>
      <c r="M340" s="13">
        <v>940</v>
      </c>
      <c r="N340" s="11" t="s">
        <v>367</v>
      </c>
      <c r="O340" s="11" t="s">
        <v>19</v>
      </c>
      <c r="Q340"/>
    </row>
    <row r="341" spans="1:17" ht="15.6" x14ac:dyDescent="0.3">
      <c r="A341" s="15">
        <v>10140</v>
      </c>
      <c r="B341" s="14">
        <v>37826</v>
      </c>
      <c r="C341" s="14" t="s">
        <v>308</v>
      </c>
      <c r="D341" s="15" t="s">
        <v>131</v>
      </c>
      <c r="E341" s="15" t="s">
        <v>132</v>
      </c>
      <c r="F341" s="15" t="s">
        <v>15</v>
      </c>
      <c r="G341" s="15" t="s">
        <v>16</v>
      </c>
      <c r="H341" s="15" t="s">
        <v>35</v>
      </c>
      <c r="I341" s="15" t="s">
        <v>37</v>
      </c>
      <c r="J341" s="15" t="s">
        <v>248</v>
      </c>
      <c r="K341" s="15">
        <v>26</v>
      </c>
      <c r="L341" s="16">
        <v>30</v>
      </c>
      <c r="M341" s="17">
        <v>780</v>
      </c>
      <c r="N341" s="15" t="s">
        <v>367</v>
      </c>
      <c r="O341" s="15" t="s">
        <v>19</v>
      </c>
      <c r="Q341"/>
    </row>
    <row r="342" spans="1:17" ht="15.6" x14ac:dyDescent="0.3">
      <c r="A342" s="11">
        <v>10140</v>
      </c>
      <c r="B342" s="10">
        <v>37826</v>
      </c>
      <c r="C342" s="10" t="s">
        <v>308</v>
      </c>
      <c r="D342" s="11" t="s">
        <v>131</v>
      </c>
      <c r="E342" s="11" t="s">
        <v>132</v>
      </c>
      <c r="F342" s="11" t="s">
        <v>15</v>
      </c>
      <c r="G342" s="11" t="s">
        <v>16</v>
      </c>
      <c r="H342" s="11" t="s">
        <v>35</v>
      </c>
      <c r="I342" s="11" t="s">
        <v>39</v>
      </c>
      <c r="J342" s="11" t="s">
        <v>250</v>
      </c>
      <c r="K342" s="11">
        <v>28</v>
      </c>
      <c r="L342" s="12">
        <v>20</v>
      </c>
      <c r="M342" s="13">
        <v>560</v>
      </c>
      <c r="N342" s="11" t="s">
        <v>367</v>
      </c>
      <c r="O342" s="11" t="s">
        <v>19</v>
      </c>
      <c r="Q342"/>
    </row>
    <row r="343" spans="1:17" ht="15.6" x14ac:dyDescent="0.3">
      <c r="A343" s="15">
        <v>10140</v>
      </c>
      <c r="B343" s="14">
        <v>37826</v>
      </c>
      <c r="C343" s="14" t="s">
        <v>308</v>
      </c>
      <c r="D343" s="15" t="s">
        <v>131</v>
      </c>
      <c r="E343" s="15" t="s">
        <v>132</v>
      </c>
      <c r="F343" s="15" t="s">
        <v>15</v>
      </c>
      <c r="G343" s="15" t="s">
        <v>16</v>
      </c>
      <c r="H343" s="15" t="s">
        <v>32</v>
      </c>
      <c r="I343" s="15" t="s">
        <v>34</v>
      </c>
      <c r="J343" s="15" t="s">
        <v>246</v>
      </c>
      <c r="K343" s="15">
        <v>36</v>
      </c>
      <c r="L343" s="16">
        <v>80</v>
      </c>
      <c r="M343" s="17">
        <v>2880</v>
      </c>
      <c r="N343" s="15" t="s">
        <v>367</v>
      </c>
      <c r="O343" s="15" t="s">
        <v>19</v>
      </c>
      <c r="Q343"/>
    </row>
    <row r="344" spans="1:17" ht="15.6" x14ac:dyDescent="0.3">
      <c r="A344" s="11">
        <v>10141</v>
      </c>
      <c r="B344" s="10">
        <v>37834</v>
      </c>
      <c r="C344" s="10" t="s">
        <v>309</v>
      </c>
      <c r="D344" s="11" t="s">
        <v>133</v>
      </c>
      <c r="E344" s="11" t="s">
        <v>134</v>
      </c>
      <c r="F344" s="11" t="s">
        <v>135</v>
      </c>
      <c r="G344" s="11" t="s">
        <v>25</v>
      </c>
      <c r="H344" s="11" t="s">
        <v>35</v>
      </c>
      <c r="I344" s="11" t="s">
        <v>38</v>
      </c>
      <c r="J344" s="11" t="s">
        <v>249</v>
      </c>
      <c r="K344" s="11">
        <v>21</v>
      </c>
      <c r="L344" s="12">
        <v>20</v>
      </c>
      <c r="M344" s="13">
        <v>420</v>
      </c>
      <c r="N344" s="11" t="s">
        <v>367</v>
      </c>
      <c r="O344" s="11" t="s">
        <v>19</v>
      </c>
      <c r="Q344"/>
    </row>
    <row r="345" spans="1:17" ht="15.6" x14ac:dyDescent="0.3">
      <c r="A345" s="15">
        <v>10141</v>
      </c>
      <c r="B345" s="14">
        <v>37834</v>
      </c>
      <c r="C345" s="14" t="s">
        <v>309</v>
      </c>
      <c r="D345" s="15" t="s">
        <v>133</v>
      </c>
      <c r="E345" s="15" t="s">
        <v>134</v>
      </c>
      <c r="F345" s="15" t="s">
        <v>135</v>
      </c>
      <c r="G345" s="15" t="s">
        <v>25</v>
      </c>
      <c r="H345" s="15" t="s">
        <v>32</v>
      </c>
      <c r="I345" s="15" t="s">
        <v>33</v>
      </c>
      <c r="J345" s="15" t="s">
        <v>245</v>
      </c>
      <c r="K345" s="15">
        <v>39</v>
      </c>
      <c r="L345" s="16">
        <v>85</v>
      </c>
      <c r="M345" s="17">
        <v>3315</v>
      </c>
      <c r="N345" s="15" t="s">
        <v>367</v>
      </c>
      <c r="O345" s="15" t="s">
        <v>19</v>
      </c>
      <c r="Q345"/>
    </row>
    <row r="346" spans="1:17" ht="15.6" x14ac:dyDescent="0.3">
      <c r="A346" s="11">
        <v>10141</v>
      </c>
      <c r="B346" s="10">
        <v>37834</v>
      </c>
      <c r="C346" s="10" t="s">
        <v>309</v>
      </c>
      <c r="D346" s="11" t="s">
        <v>133</v>
      </c>
      <c r="E346" s="11" t="s">
        <v>134</v>
      </c>
      <c r="F346" s="11" t="s">
        <v>135</v>
      </c>
      <c r="G346" s="11" t="s">
        <v>25</v>
      </c>
      <c r="H346" s="11" t="s">
        <v>35</v>
      </c>
      <c r="I346" s="11" t="s">
        <v>38</v>
      </c>
      <c r="J346" s="11" t="s">
        <v>249</v>
      </c>
      <c r="K346" s="11">
        <v>47</v>
      </c>
      <c r="L346" s="12">
        <v>20</v>
      </c>
      <c r="M346" s="13">
        <v>940</v>
      </c>
      <c r="N346" s="11" t="s">
        <v>367</v>
      </c>
      <c r="O346" s="11" t="s">
        <v>19</v>
      </c>
      <c r="Q346"/>
    </row>
    <row r="347" spans="1:17" ht="15.6" x14ac:dyDescent="0.3">
      <c r="A347" s="15">
        <v>10141</v>
      </c>
      <c r="B347" s="14">
        <v>37834</v>
      </c>
      <c r="C347" s="14" t="s">
        <v>309</v>
      </c>
      <c r="D347" s="15" t="s">
        <v>133</v>
      </c>
      <c r="E347" s="15" t="s">
        <v>134</v>
      </c>
      <c r="F347" s="15" t="s">
        <v>135</v>
      </c>
      <c r="G347" s="15" t="s">
        <v>25</v>
      </c>
      <c r="H347" s="15" t="s">
        <v>32</v>
      </c>
      <c r="I347" s="15" t="s">
        <v>33</v>
      </c>
      <c r="J347" s="15" t="s">
        <v>245</v>
      </c>
      <c r="K347" s="15">
        <v>34</v>
      </c>
      <c r="L347" s="16">
        <v>85</v>
      </c>
      <c r="M347" s="17">
        <v>2890</v>
      </c>
      <c r="N347" s="15" t="s">
        <v>367</v>
      </c>
      <c r="O347" s="15" t="s">
        <v>19</v>
      </c>
      <c r="Q347"/>
    </row>
    <row r="348" spans="1:17" ht="15.6" x14ac:dyDescent="0.3">
      <c r="A348" s="11">
        <v>10141</v>
      </c>
      <c r="B348" s="10">
        <v>37834</v>
      </c>
      <c r="C348" s="10" t="s">
        <v>309</v>
      </c>
      <c r="D348" s="11" t="s">
        <v>133</v>
      </c>
      <c r="E348" s="11" t="s">
        <v>134</v>
      </c>
      <c r="F348" s="11" t="s">
        <v>135</v>
      </c>
      <c r="G348" s="11" t="s">
        <v>25</v>
      </c>
      <c r="H348" s="11" t="s">
        <v>32</v>
      </c>
      <c r="I348" s="11" t="s">
        <v>46</v>
      </c>
      <c r="J348" s="11" t="s">
        <v>254</v>
      </c>
      <c r="K348" s="11">
        <v>20</v>
      </c>
      <c r="L348" s="12">
        <v>90</v>
      </c>
      <c r="M348" s="13">
        <v>1800</v>
      </c>
      <c r="N348" s="11" t="s">
        <v>367</v>
      </c>
      <c r="O348" s="11" t="s">
        <v>19</v>
      </c>
      <c r="Q348"/>
    </row>
    <row r="349" spans="1:17" ht="15.6" x14ac:dyDescent="0.3">
      <c r="A349" s="15">
        <v>10141</v>
      </c>
      <c r="B349" s="14">
        <v>37834</v>
      </c>
      <c r="C349" s="14" t="s">
        <v>309</v>
      </c>
      <c r="D349" s="15" t="s">
        <v>133</v>
      </c>
      <c r="E349" s="15" t="s">
        <v>134</v>
      </c>
      <c r="F349" s="15" t="s">
        <v>135</v>
      </c>
      <c r="G349" s="15" t="s">
        <v>25</v>
      </c>
      <c r="H349" s="15" t="s">
        <v>32</v>
      </c>
      <c r="I349" s="15" t="s">
        <v>44</v>
      </c>
      <c r="J349" s="15" t="s">
        <v>252</v>
      </c>
      <c r="K349" s="15">
        <v>21</v>
      </c>
      <c r="L349" s="16">
        <v>55</v>
      </c>
      <c r="M349" s="17">
        <v>1155</v>
      </c>
      <c r="N349" s="15" t="s">
        <v>367</v>
      </c>
      <c r="O349" s="15" t="s">
        <v>19</v>
      </c>
      <c r="Q349"/>
    </row>
    <row r="350" spans="1:17" ht="15.6" x14ac:dyDescent="0.3">
      <c r="A350" s="11">
        <v>10141</v>
      </c>
      <c r="B350" s="10">
        <v>37834</v>
      </c>
      <c r="C350" s="10" t="s">
        <v>309</v>
      </c>
      <c r="D350" s="11" t="s">
        <v>133</v>
      </c>
      <c r="E350" s="11" t="s">
        <v>134</v>
      </c>
      <c r="F350" s="11" t="s">
        <v>135</v>
      </c>
      <c r="G350" s="11" t="s">
        <v>25</v>
      </c>
      <c r="H350" s="11" t="s">
        <v>32</v>
      </c>
      <c r="I350" s="11" t="s">
        <v>33</v>
      </c>
      <c r="J350" s="11" t="s">
        <v>245</v>
      </c>
      <c r="K350" s="11">
        <v>40</v>
      </c>
      <c r="L350" s="12">
        <v>85</v>
      </c>
      <c r="M350" s="13">
        <v>3400</v>
      </c>
      <c r="N350" s="11" t="s">
        <v>367</v>
      </c>
      <c r="O350" s="11" t="s">
        <v>19</v>
      </c>
      <c r="Q350"/>
    </row>
    <row r="351" spans="1:17" ht="15.6" x14ac:dyDescent="0.3">
      <c r="A351" s="15">
        <v>10141</v>
      </c>
      <c r="B351" s="14">
        <v>37834</v>
      </c>
      <c r="C351" s="14" t="s">
        <v>309</v>
      </c>
      <c r="D351" s="15" t="s">
        <v>133</v>
      </c>
      <c r="E351" s="15" t="s">
        <v>134</v>
      </c>
      <c r="F351" s="15" t="s">
        <v>135</v>
      </c>
      <c r="G351" s="15" t="s">
        <v>25</v>
      </c>
      <c r="H351" s="15" t="s">
        <v>35</v>
      </c>
      <c r="I351" s="15" t="s">
        <v>37</v>
      </c>
      <c r="J351" s="15" t="s">
        <v>248</v>
      </c>
      <c r="K351" s="15">
        <v>24</v>
      </c>
      <c r="L351" s="16">
        <v>30</v>
      </c>
      <c r="M351" s="17">
        <v>720</v>
      </c>
      <c r="N351" s="15" t="s">
        <v>367</v>
      </c>
      <c r="O351" s="15" t="s">
        <v>19</v>
      </c>
      <c r="Q351"/>
    </row>
    <row r="352" spans="1:17" ht="15.6" x14ac:dyDescent="0.3">
      <c r="A352" s="11">
        <v>10141</v>
      </c>
      <c r="B352" s="10">
        <v>37834</v>
      </c>
      <c r="C352" s="10" t="s">
        <v>309</v>
      </c>
      <c r="D352" s="11" t="s">
        <v>133</v>
      </c>
      <c r="E352" s="11" t="s">
        <v>134</v>
      </c>
      <c r="F352" s="11" t="s">
        <v>135</v>
      </c>
      <c r="G352" s="11" t="s">
        <v>25</v>
      </c>
      <c r="H352" s="11" t="s">
        <v>35</v>
      </c>
      <c r="I352" s="11" t="s">
        <v>38</v>
      </c>
      <c r="J352" s="11" t="s">
        <v>249</v>
      </c>
      <c r="K352" s="11">
        <v>44</v>
      </c>
      <c r="L352" s="12">
        <v>20</v>
      </c>
      <c r="M352" s="13">
        <v>880</v>
      </c>
      <c r="N352" s="11" t="s">
        <v>367</v>
      </c>
      <c r="O352" s="11" t="s">
        <v>19</v>
      </c>
      <c r="Q352"/>
    </row>
    <row r="353" spans="1:17" ht="15.6" x14ac:dyDescent="0.3">
      <c r="A353" s="15">
        <v>10142</v>
      </c>
      <c r="B353" s="14">
        <v>37841</v>
      </c>
      <c r="C353" s="14" t="s">
        <v>288</v>
      </c>
      <c r="D353" s="15" t="s">
        <v>88</v>
      </c>
      <c r="E353" s="15" t="s">
        <v>89</v>
      </c>
      <c r="F353" s="15" t="s">
        <v>15</v>
      </c>
      <c r="G353" s="15" t="s">
        <v>16</v>
      </c>
      <c r="H353" s="15" t="s">
        <v>32</v>
      </c>
      <c r="I353" s="15" t="s">
        <v>34</v>
      </c>
      <c r="J353" s="15" t="s">
        <v>246</v>
      </c>
      <c r="K353" s="15">
        <v>33</v>
      </c>
      <c r="L353" s="16">
        <v>80</v>
      </c>
      <c r="M353" s="17">
        <v>2640</v>
      </c>
      <c r="N353" s="15" t="s">
        <v>367</v>
      </c>
      <c r="O353" s="15" t="s">
        <v>19</v>
      </c>
      <c r="Q353"/>
    </row>
    <row r="354" spans="1:17" ht="15.6" x14ac:dyDescent="0.3">
      <c r="A354" s="11">
        <v>10142</v>
      </c>
      <c r="B354" s="10">
        <v>37841</v>
      </c>
      <c r="C354" s="10" t="s">
        <v>288</v>
      </c>
      <c r="D354" s="11" t="s">
        <v>88</v>
      </c>
      <c r="E354" s="11" t="s">
        <v>89</v>
      </c>
      <c r="F354" s="11" t="s">
        <v>15</v>
      </c>
      <c r="G354" s="11" t="s">
        <v>16</v>
      </c>
      <c r="H354" s="11" t="s">
        <v>32</v>
      </c>
      <c r="I354" s="11" t="s">
        <v>46</v>
      </c>
      <c r="J354" s="11" t="s">
        <v>254</v>
      </c>
      <c r="K354" s="11">
        <v>33</v>
      </c>
      <c r="L354" s="12">
        <v>90</v>
      </c>
      <c r="M354" s="13">
        <v>2970</v>
      </c>
      <c r="N354" s="11" t="s">
        <v>367</v>
      </c>
      <c r="O354" s="11" t="s">
        <v>19</v>
      </c>
      <c r="Q354"/>
    </row>
    <row r="355" spans="1:17" ht="15.6" x14ac:dyDescent="0.3">
      <c r="A355" s="15">
        <v>10142</v>
      </c>
      <c r="B355" s="14">
        <v>37841</v>
      </c>
      <c r="C355" s="14" t="s">
        <v>288</v>
      </c>
      <c r="D355" s="15" t="s">
        <v>88</v>
      </c>
      <c r="E355" s="15" t="s">
        <v>89</v>
      </c>
      <c r="F355" s="15" t="s">
        <v>15</v>
      </c>
      <c r="G355" s="15" t="s">
        <v>16</v>
      </c>
      <c r="H355" s="15" t="s">
        <v>32</v>
      </c>
      <c r="I355" s="15" t="s">
        <v>33</v>
      </c>
      <c r="J355" s="15" t="s">
        <v>245</v>
      </c>
      <c r="K355" s="15">
        <v>46</v>
      </c>
      <c r="L355" s="16">
        <v>85</v>
      </c>
      <c r="M355" s="17">
        <v>3910</v>
      </c>
      <c r="N355" s="15" t="s">
        <v>367</v>
      </c>
      <c r="O355" s="15" t="s">
        <v>19</v>
      </c>
      <c r="Q355"/>
    </row>
    <row r="356" spans="1:17" ht="15.6" x14ac:dyDescent="0.3">
      <c r="A356" s="11">
        <v>10142</v>
      </c>
      <c r="B356" s="10">
        <v>37841</v>
      </c>
      <c r="C356" s="10" t="s">
        <v>288</v>
      </c>
      <c r="D356" s="11" t="s">
        <v>88</v>
      </c>
      <c r="E356" s="11" t="s">
        <v>89</v>
      </c>
      <c r="F356" s="11" t="s">
        <v>15</v>
      </c>
      <c r="G356" s="11" t="s">
        <v>16</v>
      </c>
      <c r="H356" s="11" t="s">
        <v>17</v>
      </c>
      <c r="I356" s="11" t="s">
        <v>21</v>
      </c>
      <c r="J356" s="11" t="s">
        <v>243</v>
      </c>
      <c r="K356" s="11">
        <v>47</v>
      </c>
      <c r="L356" s="12">
        <v>110</v>
      </c>
      <c r="M356" s="13">
        <v>5170</v>
      </c>
      <c r="N356" s="11" t="s">
        <v>367</v>
      </c>
      <c r="O356" s="11" t="s">
        <v>19</v>
      </c>
      <c r="Q356"/>
    </row>
    <row r="357" spans="1:17" ht="15.6" x14ac:dyDescent="0.3">
      <c r="A357" s="15">
        <v>10142</v>
      </c>
      <c r="B357" s="14">
        <v>37841</v>
      </c>
      <c r="C357" s="14" t="s">
        <v>288</v>
      </c>
      <c r="D357" s="15" t="s">
        <v>88</v>
      </c>
      <c r="E357" s="15" t="s">
        <v>89</v>
      </c>
      <c r="F357" s="15" t="s">
        <v>15</v>
      </c>
      <c r="G357" s="15" t="s">
        <v>16</v>
      </c>
      <c r="H357" s="15" t="s">
        <v>47</v>
      </c>
      <c r="I357" s="15" t="s">
        <v>119</v>
      </c>
      <c r="J357" s="15" t="s">
        <v>272</v>
      </c>
      <c r="K357" s="15">
        <v>22</v>
      </c>
      <c r="L357" s="16">
        <v>60</v>
      </c>
      <c r="M357" s="17">
        <v>1320</v>
      </c>
      <c r="N357" s="15" t="s">
        <v>367</v>
      </c>
      <c r="O357" s="15" t="s">
        <v>19</v>
      </c>
      <c r="Q357"/>
    </row>
    <row r="358" spans="1:17" ht="15.6" x14ac:dyDescent="0.3">
      <c r="A358" s="11">
        <v>10142</v>
      </c>
      <c r="B358" s="10">
        <v>37841</v>
      </c>
      <c r="C358" s="10" t="s">
        <v>288</v>
      </c>
      <c r="D358" s="11" t="s">
        <v>88</v>
      </c>
      <c r="E358" s="11" t="s">
        <v>89</v>
      </c>
      <c r="F358" s="11" t="s">
        <v>15</v>
      </c>
      <c r="G358" s="11" t="s">
        <v>16</v>
      </c>
      <c r="H358" s="11" t="s">
        <v>32</v>
      </c>
      <c r="I358" s="11" t="s">
        <v>34</v>
      </c>
      <c r="J358" s="11" t="s">
        <v>246</v>
      </c>
      <c r="K358" s="11">
        <v>24</v>
      </c>
      <c r="L358" s="12">
        <v>80</v>
      </c>
      <c r="M358" s="13">
        <v>1920</v>
      </c>
      <c r="N358" s="11" t="s">
        <v>367</v>
      </c>
      <c r="O358" s="11" t="s">
        <v>19</v>
      </c>
      <c r="Q358"/>
    </row>
    <row r="359" spans="1:17" ht="15.6" x14ac:dyDescent="0.3">
      <c r="A359" s="15">
        <v>10142</v>
      </c>
      <c r="B359" s="14">
        <v>37841</v>
      </c>
      <c r="C359" s="14" t="s">
        <v>288</v>
      </c>
      <c r="D359" s="15" t="s">
        <v>88</v>
      </c>
      <c r="E359" s="15" t="s">
        <v>89</v>
      </c>
      <c r="F359" s="15" t="s">
        <v>15</v>
      </c>
      <c r="G359" s="15" t="s">
        <v>16</v>
      </c>
      <c r="H359" s="15" t="s">
        <v>17</v>
      </c>
      <c r="I359" s="15" t="s">
        <v>26</v>
      </c>
      <c r="J359" s="15" t="s">
        <v>244</v>
      </c>
      <c r="K359" s="15">
        <v>24</v>
      </c>
      <c r="L359" s="16">
        <v>60</v>
      </c>
      <c r="M359" s="17">
        <v>1440</v>
      </c>
      <c r="N359" s="15" t="s">
        <v>367</v>
      </c>
      <c r="O359" s="15" t="s">
        <v>19</v>
      </c>
      <c r="Q359"/>
    </row>
    <row r="360" spans="1:17" ht="15.6" x14ac:dyDescent="0.3">
      <c r="A360" s="11">
        <v>10142</v>
      </c>
      <c r="B360" s="10">
        <v>37841</v>
      </c>
      <c r="C360" s="10" t="s">
        <v>288</v>
      </c>
      <c r="D360" s="11" t="s">
        <v>88</v>
      </c>
      <c r="E360" s="11" t="s">
        <v>89</v>
      </c>
      <c r="F360" s="11" t="s">
        <v>15</v>
      </c>
      <c r="G360" s="11" t="s">
        <v>16</v>
      </c>
      <c r="H360" s="11" t="s">
        <v>54</v>
      </c>
      <c r="I360" s="11" t="s">
        <v>55</v>
      </c>
      <c r="J360" s="11" t="s">
        <v>258</v>
      </c>
      <c r="K360" s="11">
        <v>33</v>
      </c>
      <c r="L360" s="12">
        <v>180</v>
      </c>
      <c r="M360" s="13">
        <v>5940</v>
      </c>
      <c r="N360" s="11" t="s">
        <v>367</v>
      </c>
      <c r="O360" s="11" t="s">
        <v>19</v>
      </c>
      <c r="Q360"/>
    </row>
    <row r="361" spans="1:17" ht="15.6" x14ac:dyDescent="0.3">
      <c r="A361" s="15">
        <v>10142</v>
      </c>
      <c r="B361" s="14">
        <v>37841</v>
      </c>
      <c r="C361" s="14" t="s">
        <v>288</v>
      </c>
      <c r="D361" s="15" t="s">
        <v>88</v>
      </c>
      <c r="E361" s="15" t="s">
        <v>89</v>
      </c>
      <c r="F361" s="15" t="s">
        <v>15</v>
      </c>
      <c r="G361" s="15" t="s">
        <v>16</v>
      </c>
      <c r="H361" s="15" t="s">
        <v>17</v>
      </c>
      <c r="I361" s="15" t="s">
        <v>20</v>
      </c>
      <c r="J361" s="15" t="s">
        <v>242</v>
      </c>
      <c r="K361" s="15">
        <v>49</v>
      </c>
      <c r="L361" s="16">
        <v>48</v>
      </c>
      <c r="M361" s="17">
        <v>2352</v>
      </c>
      <c r="N361" s="15" t="s">
        <v>367</v>
      </c>
      <c r="O361" s="15" t="s">
        <v>19</v>
      </c>
      <c r="Q361"/>
    </row>
    <row r="362" spans="1:17" ht="15.6" x14ac:dyDescent="0.3">
      <c r="A362" s="11">
        <v>10142</v>
      </c>
      <c r="B362" s="10">
        <v>37841</v>
      </c>
      <c r="C362" s="10" t="s">
        <v>288</v>
      </c>
      <c r="D362" s="11" t="s">
        <v>88</v>
      </c>
      <c r="E362" s="11" t="s">
        <v>89</v>
      </c>
      <c r="F362" s="11" t="s">
        <v>15</v>
      </c>
      <c r="G362" s="11" t="s">
        <v>16</v>
      </c>
      <c r="H362" s="11" t="s">
        <v>47</v>
      </c>
      <c r="I362" s="11" t="s">
        <v>53</v>
      </c>
      <c r="J362" s="11" t="s">
        <v>257</v>
      </c>
      <c r="K362" s="11">
        <v>42</v>
      </c>
      <c r="L362" s="12">
        <v>90</v>
      </c>
      <c r="M362" s="13">
        <v>3780</v>
      </c>
      <c r="N362" s="11" t="s">
        <v>367</v>
      </c>
      <c r="O362" s="11" t="s">
        <v>19</v>
      </c>
      <c r="Q362"/>
    </row>
    <row r="363" spans="1:17" ht="15.6" x14ac:dyDescent="0.3">
      <c r="A363" s="15">
        <v>10142</v>
      </c>
      <c r="B363" s="14">
        <v>37841</v>
      </c>
      <c r="C363" s="14" t="s">
        <v>288</v>
      </c>
      <c r="D363" s="15" t="s">
        <v>88</v>
      </c>
      <c r="E363" s="15" t="s">
        <v>89</v>
      </c>
      <c r="F363" s="15" t="s">
        <v>15</v>
      </c>
      <c r="G363" s="15" t="s">
        <v>16</v>
      </c>
      <c r="H363" s="15" t="s">
        <v>47</v>
      </c>
      <c r="I363" s="15" t="s">
        <v>53</v>
      </c>
      <c r="J363" s="15" t="s">
        <v>257</v>
      </c>
      <c r="K363" s="15">
        <v>42</v>
      </c>
      <c r="L363" s="16">
        <v>90</v>
      </c>
      <c r="M363" s="17">
        <v>3780</v>
      </c>
      <c r="N363" s="15" t="s">
        <v>367</v>
      </c>
      <c r="O363" s="15" t="s">
        <v>19</v>
      </c>
      <c r="Q363"/>
    </row>
    <row r="364" spans="1:17" ht="15.6" x14ac:dyDescent="0.3">
      <c r="A364" s="11">
        <v>10142</v>
      </c>
      <c r="B364" s="10">
        <v>37841</v>
      </c>
      <c r="C364" s="10" t="s">
        <v>288</v>
      </c>
      <c r="D364" s="11" t="s">
        <v>88</v>
      </c>
      <c r="E364" s="11" t="s">
        <v>89</v>
      </c>
      <c r="F364" s="11" t="s">
        <v>15</v>
      </c>
      <c r="G364" s="11" t="s">
        <v>16</v>
      </c>
      <c r="H364" s="11" t="s">
        <v>54</v>
      </c>
      <c r="I364" s="11" t="s">
        <v>56</v>
      </c>
      <c r="J364" s="11" t="s">
        <v>259</v>
      </c>
      <c r="K364" s="11">
        <v>41</v>
      </c>
      <c r="L364" s="12">
        <v>250</v>
      </c>
      <c r="M364" s="13">
        <v>10250</v>
      </c>
      <c r="N364" s="11" t="s">
        <v>367</v>
      </c>
      <c r="O364" s="11" t="s">
        <v>19</v>
      </c>
      <c r="Q364"/>
    </row>
    <row r="365" spans="1:17" ht="15.6" x14ac:dyDescent="0.3">
      <c r="A365" s="15">
        <v>10142</v>
      </c>
      <c r="B365" s="14">
        <v>37841</v>
      </c>
      <c r="C365" s="14" t="s">
        <v>288</v>
      </c>
      <c r="D365" s="15" t="s">
        <v>88</v>
      </c>
      <c r="E365" s="15" t="s">
        <v>89</v>
      </c>
      <c r="F365" s="15" t="s">
        <v>15</v>
      </c>
      <c r="G365" s="15" t="s">
        <v>16</v>
      </c>
      <c r="H365" s="15" t="s">
        <v>54</v>
      </c>
      <c r="I365" s="15" t="s">
        <v>56</v>
      </c>
      <c r="J365" s="15" t="s">
        <v>259</v>
      </c>
      <c r="K365" s="15">
        <v>43</v>
      </c>
      <c r="L365" s="16">
        <v>250</v>
      </c>
      <c r="M365" s="17">
        <v>10750</v>
      </c>
      <c r="N365" s="15" t="s">
        <v>367</v>
      </c>
      <c r="O365" s="15" t="s">
        <v>19</v>
      </c>
      <c r="Q365"/>
    </row>
    <row r="366" spans="1:17" ht="15.6" x14ac:dyDescent="0.3">
      <c r="A366" s="11">
        <v>10142</v>
      </c>
      <c r="B366" s="10">
        <v>37841</v>
      </c>
      <c r="C366" s="10" t="s">
        <v>288</v>
      </c>
      <c r="D366" s="11" t="s">
        <v>88</v>
      </c>
      <c r="E366" s="11" t="s">
        <v>89</v>
      </c>
      <c r="F366" s="11" t="s">
        <v>15</v>
      </c>
      <c r="G366" s="11" t="s">
        <v>16</v>
      </c>
      <c r="H366" s="11" t="s">
        <v>54</v>
      </c>
      <c r="I366" s="11" t="s">
        <v>55</v>
      </c>
      <c r="J366" s="11" t="s">
        <v>258</v>
      </c>
      <c r="K366" s="11">
        <v>21</v>
      </c>
      <c r="L366" s="12">
        <v>180</v>
      </c>
      <c r="M366" s="13">
        <v>3780</v>
      </c>
      <c r="N366" s="11" t="s">
        <v>367</v>
      </c>
      <c r="O366" s="11" t="s">
        <v>19</v>
      </c>
      <c r="Q366"/>
    </row>
    <row r="367" spans="1:17" ht="15.6" x14ac:dyDescent="0.3">
      <c r="A367" s="15">
        <v>10142</v>
      </c>
      <c r="B367" s="14">
        <v>37841</v>
      </c>
      <c r="C367" s="14" t="s">
        <v>288</v>
      </c>
      <c r="D367" s="15" t="s">
        <v>88</v>
      </c>
      <c r="E367" s="15" t="s">
        <v>89</v>
      </c>
      <c r="F367" s="15" t="s">
        <v>15</v>
      </c>
      <c r="G367" s="15" t="s">
        <v>16</v>
      </c>
      <c r="H367" s="15" t="s">
        <v>54</v>
      </c>
      <c r="I367" s="15" t="s">
        <v>55</v>
      </c>
      <c r="J367" s="15" t="s">
        <v>258</v>
      </c>
      <c r="K367" s="15">
        <v>38</v>
      </c>
      <c r="L367" s="16">
        <v>180</v>
      </c>
      <c r="M367" s="17">
        <v>6840</v>
      </c>
      <c r="N367" s="15" t="s">
        <v>367</v>
      </c>
      <c r="O367" s="15" t="s">
        <v>19</v>
      </c>
      <c r="Q367"/>
    </row>
    <row r="368" spans="1:17" ht="15.6" x14ac:dyDescent="0.3">
      <c r="A368" s="11">
        <v>10142</v>
      </c>
      <c r="B368" s="10">
        <v>37841</v>
      </c>
      <c r="C368" s="10" t="s">
        <v>288</v>
      </c>
      <c r="D368" s="11" t="s">
        <v>88</v>
      </c>
      <c r="E368" s="11" t="s">
        <v>89</v>
      </c>
      <c r="F368" s="11" t="s">
        <v>15</v>
      </c>
      <c r="G368" s="11" t="s">
        <v>16</v>
      </c>
      <c r="H368" s="11" t="s">
        <v>54</v>
      </c>
      <c r="I368" s="11" t="s">
        <v>56</v>
      </c>
      <c r="J368" s="11" t="s">
        <v>259</v>
      </c>
      <c r="K368" s="11">
        <v>39</v>
      </c>
      <c r="L368" s="12">
        <v>250</v>
      </c>
      <c r="M368" s="13">
        <v>9750</v>
      </c>
      <c r="N368" s="11" t="s">
        <v>367</v>
      </c>
      <c r="O368" s="11" t="s">
        <v>19</v>
      </c>
      <c r="Q368"/>
    </row>
    <row r="369" spans="1:17" ht="15.6" x14ac:dyDescent="0.3">
      <c r="A369" s="15">
        <v>10143</v>
      </c>
      <c r="B369" s="14">
        <v>37843</v>
      </c>
      <c r="C369" s="14" t="s">
        <v>310</v>
      </c>
      <c r="D369" s="15" t="s">
        <v>136</v>
      </c>
      <c r="E369" s="15" t="s">
        <v>137</v>
      </c>
      <c r="F369" s="15" t="s">
        <v>15</v>
      </c>
      <c r="G369" s="15" t="s">
        <v>16</v>
      </c>
      <c r="H369" s="15" t="s">
        <v>32</v>
      </c>
      <c r="I369" s="15" t="s">
        <v>33</v>
      </c>
      <c r="J369" s="15" t="s">
        <v>245</v>
      </c>
      <c r="K369" s="15">
        <v>49</v>
      </c>
      <c r="L369" s="16">
        <v>85</v>
      </c>
      <c r="M369" s="17">
        <v>4165</v>
      </c>
      <c r="N369" s="15" t="s">
        <v>367</v>
      </c>
      <c r="O369" s="15" t="s">
        <v>19</v>
      </c>
      <c r="Q369"/>
    </row>
    <row r="370" spans="1:17" ht="15.6" x14ac:dyDescent="0.3">
      <c r="A370" s="11">
        <v>10143</v>
      </c>
      <c r="B370" s="10">
        <v>37843</v>
      </c>
      <c r="C370" s="10" t="s">
        <v>310</v>
      </c>
      <c r="D370" s="11" t="s">
        <v>136</v>
      </c>
      <c r="E370" s="11" t="s">
        <v>137</v>
      </c>
      <c r="F370" s="11" t="s">
        <v>15</v>
      </c>
      <c r="G370" s="11" t="s">
        <v>16</v>
      </c>
      <c r="H370" s="11" t="s">
        <v>61</v>
      </c>
      <c r="I370" s="11" t="s">
        <v>62</v>
      </c>
      <c r="J370" s="11" t="s">
        <v>261</v>
      </c>
      <c r="K370" s="11">
        <v>32</v>
      </c>
      <c r="L370" s="12">
        <v>15</v>
      </c>
      <c r="M370" s="13">
        <v>480</v>
      </c>
      <c r="N370" s="11" t="s">
        <v>367</v>
      </c>
      <c r="O370" s="11" t="s">
        <v>19</v>
      </c>
      <c r="Q370"/>
    </row>
    <row r="371" spans="1:17" ht="15.6" x14ac:dyDescent="0.3">
      <c r="A371" s="15">
        <v>10143</v>
      </c>
      <c r="B371" s="14">
        <v>37843</v>
      </c>
      <c r="C371" s="14" t="s">
        <v>310</v>
      </c>
      <c r="D371" s="15" t="s">
        <v>136</v>
      </c>
      <c r="E371" s="15" t="s">
        <v>137</v>
      </c>
      <c r="F371" s="15" t="s">
        <v>15</v>
      </c>
      <c r="G371" s="15" t="s">
        <v>16</v>
      </c>
      <c r="H371" s="15" t="s">
        <v>54</v>
      </c>
      <c r="I371" s="15" t="s">
        <v>55</v>
      </c>
      <c r="J371" s="15" t="s">
        <v>258</v>
      </c>
      <c r="K371" s="15">
        <v>46</v>
      </c>
      <c r="L371" s="16">
        <v>180</v>
      </c>
      <c r="M371" s="17">
        <v>8280</v>
      </c>
      <c r="N371" s="15" t="s">
        <v>367</v>
      </c>
      <c r="O371" s="15" t="s">
        <v>19</v>
      </c>
      <c r="Q371"/>
    </row>
    <row r="372" spans="1:17" ht="15.6" x14ac:dyDescent="0.3">
      <c r="A372" s="11">
        <v>10143</v>
      </c>
      <c r="B372" s="10">
        <v>37843</v>
      </c>
      <c r="C372" s="10" t="s">
        <v>310</v>
      </c>
      <c r="D372" s="11" t="s">
        <v>136</v>
      </c>
      <c r="E372" s="11" t="s">
        <v>137</v>
      </c>
      <c r="F372" s="11" t="s">
        <v>15</v>
      </c>
      <c r="G372" s="11" t="s">
        <v>16</v>
      </c>
      <c r="H372" s="11" t="s">
        <v>17</v>
      </c>
      <c r="I372" s="11" t="s">
        <v>21</v>
      </c>
      <c r="J372" s="11" t="s">
        <v>243</v>
      </c>
      <c r="K372" s="11">
        <v>34</v>
      </c>
      <c r="L372" s="12">
        <v>110</v>
      </c>
      <c r="M372" s="13">
        <v>3740</v>
      </c>
      <c r="N372" s="11" t="s">
        <v>367</v>
      </c>
      <c r="O372" s="11" t="s">
        <v>19</v>
      </c>
      <c r="Q372"/>
    </row>
    <row r="373" spans="1:17" ht="15.6" x14ac:dyDescent="0.3">
      <c r="A373" s="15">
        <v>10143</v>
      </c>
      <c r="B373" s="14">
        <v>37843</v>
      </c>
      <c r="C373" s="14" t="s">
        <v>310</v>
      </c>
      <c r="D373" s="15" t="s">
        <v>136</v>
      </c>
      <c r="E373" s="15" t="s">
        <v>137</v>
      </c>
      <c r="F373" s="15" t="s">
        <v>15</v>
      </c>
      <c r="G373" s="15" t="s">
        <v>16</v>
      </c>
      <c r="H373" s="15" t="s">
        <v>61</v>
      </c>
      <c r="I373" s="15" t="s">
        <v>62</v>
      </c>
      <c r="J373" s="15" t="s">
        <v>261</v>
      </c>
      <c r="K373" s="15">
        <v>27</v>
      </c>
      <c r="L373" s="16">
        <v>15</v>
      </c>
      <c r="M373" s="17">
        <v>405</v>
      </c>
      <c r="N373" s="15" t="s">
        <v>367</v>
      </c>
      <c r="O373" s="15" t="s">
        <v>19</v>
      </c>
      <c r="Q373"/>
    </row>
    <row r="374" spans="1:17" ht="15.6" x14ac:dyDescent="0.3">
      <c r="A374" s="11">
        <v>10143</v>
      </c>
      <c r="B374" s="10">
        <v>37843</v>
      </c>
      <c r="C374" s="10" t="s">
        <v>310</v>
      </c>
      <c r="D374" s="11" t="s">
        <v>136</v>
      </c>
      <c r="E374" s="11" t="s">
        <v>137</v>
      </c>
      <c r="F374" s="11" t="s">
        <v>15</v>
      </c>
      <c r="G374" s="11" t="s">
        <v>16</v>
      </c>
      <c r="H374" s="11" t="s">
        <v>17</v>
      </c>
      <c r="I374" s="11" t="s">
        <v>20</v>
      </c>
      <c r="J374" s="11" t="s">
        <v>242</v>
      </c>
      <c r="K374" s="11">
        <v>33</v>
      </c>
      <c r="L374" s="12">
        <v>48</v>
      </c>
      <c r="M374" s="13">
        <v>1584</v>
      </c>
      <c r="N374" s="11" t="s">
        <v>367</v>
      </c>
      <c r="O374" s="11" t="s">
        <v>19</v>
      </c>
      <c r="Q374"/>
    </row>
    <row r="375" spans="1:17" ht="15.6" x14ac:dyDescent="0.3">
      <c r="A375" s="15">
        <v>10143</v>
      </c>
      <c r="B375" s="14">
        <v>37843</v>
      </c>
      <c r="C375" s="14" t="s">
        <v>310</v>
      </c>
      <c r="D375" s="15" t="s">
        <v>136</v>
      </c>
      <c r="E375" s="15" t="s">
        <v>137</v>
      </c>
      <c r="F375" s="15" t="s">
        <v>15</v>
      </c>
      <c r="G375" s="15" t="s">
        <v>16</v>
      </c>
      <c r="H375" s="15" t="s">
        <v>17</v>
      </c>
      <c r="I375" s="15" t="s">
        <v>26</v>
      </c>
      <c r="J375" s="15" t="s">
        <v>244</v>
      </c>
      <c r="K375" s="15">
        <v>23</v>
      </c>
      <c r="L375" s="16">
        <v>60</v>
      </c>
      <c r="M375" s="17">
        <v>1380</v>
      </c>
      <c r="N375" s="15" t="s">
        <v>367</v>
      </c>
      <c r="O375" s="15" t="s">
        <v>19</v>
      </c>
      <c r="Q375"/>
    </row>
    <row r="376" spans="1:17" ht="15.6" x14ac:dyDescent="0.3">
      <c r="A376" s="11">
        <v>10143</v>
      </c>
      <c r="B376" s="10">
        <v>37843</v>
      </c>
      <c r="C376" s="10" t="s">
        <v>310</v>
      </c>
      <c r="D376" s="11" t="s">
        <v>136</v>
      </c>
      <c r="E376" s="11" t="s">
        <v>137</v>
      </c>
      <c r="F376" s="11" t="s">
        <v>15</v>
      </c>
      <c r="G376" s="11" t="s">
        <v>16</v>
      </c>
      <c r="H376" s="11" t="s">
        <v>61</v>
      </c>
      <c r="I376" s="11" t="s">
        <v>62</v>
      </c>
      <c r="J376" s="11" t="s">
        <v>261</v>
      </c>
      <c r="K376" s="11">
        <v>28</v>
      </c>
      <c r="L376" s="12">
        <v>15</v>
      </c>
      <c r="M376" s="13">
        <v>420</v>
      </c>
      <c r="N376" s="11" t="s">
        <v>367</v>
      </c>
      <c r="O376" s="11" t="s">
        <v>19</v>
      </c>
      <c r="Q376"/>
    </row>
    <row r="377" spans="1:17" ht="15.6" x14ac:dyDescent="0.3">
      <c r="A377" s="15">
        <v>10143</v>
      </c>
      <c r="B377" s="14">
        <v>37843</v>
      </c>
      <c r="C377" s="14" t="s">
        <v>310</v>
      </c>
      <c r="D377" s="15" t="s">
        <v>136</v>
      </c>
      <c r="E377" s="15" t="s">
        <v>137</v>
      </c>
      <c r="F377" s="15" t="s">
        <v>15</v>
      </c>
      <c r="G377" s="15" t="s">
        <v>16</v>
      </c>
      <c r="H377" s="15" t="s">
        <v>17</v>
      </c>
      <c r="I377" s="15" t="s">
        <v>52</v>
      </c>
      <c r="J377" s="15" t="s">
        <v>256</v>
      </c>
      <c r="K377" s="15">
        <v>34</v>
      </c>
      <c r="L377" s="16">
        <v>45</v>
      </c>
      <c r="M377" s="17">
        <v>1530</v>
      </c>
      <c r="N377" s="15" t="s">
        <v>367</v>
      </c>
      <c r="O377" s="15" t="s">
        <v>19</v>
      </c>
      <c r="Q377"/>
    </row>
    <row r="378" spans="1:17" ht="15.6" x14ac:dyDescent="0.3">
      <c r="A378" s="11">
        <v>10143</v>
      </c>
      <c r="B378" s="10">
        <v>37843</v>
      </c>
      <c r="C378" s="10" t="s">
        <v>310</v>
      </c>
      <c r="D378" s="11" t="s">
        <v>136</v>
      </c>
      <c r="E378" s="11" t="s">
        <v>137</v>
      </c>
      <c r="F378" s="11" t="s">
        <v>15</v>
      </c>
      <c r="G378" s="11" t="s">
        <v>16</v>
      </c>
      <c r="H378" s="11" t="s">
        <v>61</v>
      </c>
      <c r="I378" s="11" t="s">
        <v>62</v>
      </c>
      <c r="J378" s="11" t="s">
        <v>261</v>
      </c>
      <c r="K378" s="11">
        <v>36</v>
      </c>
      <c r="L378" s="12">
        <v>15</v>
      </c>
      <c r="M378" s="13">
        <v>540</v>
      </c>
      <c r="N378" s="11" t="s">
        <v>367</v>
      </c>
      <c r="O378" s="11" t="s">
        <v>19</v>
      </c>
      <c r="Q378"/>
    </row>
    <row r="379" spans="1:17" ht="15.6" x14ac:dyDescent="0.3">
      <c r="A379" s="15">
        <v>10143</v>
      </c>
      <c r="B379" s="14">
        <v>37843</v>
      </c>
      <c r="C379" s="14" t="s">
        <v>310</v>
      </c>
      <c r="D379" s="15" t="s">
        <v>136</v>
      </c>
      <c r="E379" s="15" t="s">
        <v>137</v>
      </c>
      <c r="F379" s="15" t="s">
        <v>15</v>
      </c>
      <c r="G379" s="15" t="s">
        <v>16</v>
      </c>
      <c r="H379" s="15" t="s">
        <v>54</v>
      </c>
      <c r="I379" s="15" t="s">
        <v>56</v>
      </c>
      <c r="J379" s="15" t="s">
        <v>259</v>
      </c>
      <c r="K379" s="15">
        <v>26</v>
      </c>
      <c r="L379" s="16">
        <v>250</v>
      </c>
      <c r="M379" s="17">
        <v>6500</v>
      </c>
      <c r="N379" s="15" t="s">
        <v>367</v>
      </c>
      <c r="O379" s="15" t="s">
        <v>19</v>
      </c>
      <c r="Q379"/>
    </row>
    <row r="380" spans="1:17" ht="15.6" x14ac:dyDescent="0.3">
      <c r="A380" s="11">
        <v>10143</v>
      </c>
      <c r="B380" s="10">
        <v>37843</v>
      </c>
      <c r="C380" s="10" t="s">
        <v>310</v>
      </c>
      <c r="D380" s="11" t="s">
        <v>136</v>
      </c>
      <c r="E380" s="11" t="s">
        <v>137</v>
      </c>
      <c r="F380" s="11" t="s">
        <v>15</v>
      </c>
      <c r="G380" s="11" t="s">
        <v>16</v>
      </c>
      <c r="H380" s="11" t="s">
        <v>61</v>
      </c>
      <c r="I380" s="11" t="s">
        <v>65</v>
      </c>
      <c r="J380" s="11" t="s">
        <v>264</v>
      </c>
      <c r="K380" s="11">
        <v>26</v>
      </c>
      <c r="L380" s="12">
        <v>30</v>
      </c>
      <c r="M380" s="13">
        <v>780</v>
      </c>
      <c r="N380" s="11" t="s">
        <v>367</v>
      </c>
      <c r="O380" s="11" t="s">
        <v>19</v>
      </c>
      <c r="Q380"/>
    </row>
    <row r="381" spans="1:17" ht="15.6" x14ac:dyDescent="0.3">
      <c r="A381" s="15">
        <v>10143</v>
      </c>
      <c r="B381" s="14">
        <v>37843</v>
      </c>
      <c r="C381" s="14" t="s">
        <v>310</v>
      </c>
      <c r="D381" s="15" t="s">
        <v>136</v>
      </c>
      <c r="E381" s="15" t="s">
        <v>137</v>
      </c>
      <c r="F381" s="15" t="s">
        <v>15</v>
      </c>
      <c r="G381" s="15" t="s">
        <v>16</v>
      </c>
      <c r="H381" s="15" t="s">
        <v>54</v>
      </c>
      <c r="I381" s="15" t="s">
        <v>56</v>
      </c>
      <c r="J381" s="15" t="s">
        <v>259</v>
      </c>
      <c r="K381" s="15">
        <v>31</v>
      </c>
      <c r="L381" s="16">
        <v>250</v>
      </c>
      <c r="M381" s="17">
        <v>7750</v>
      </c>
      <c r="N381" s="15" t="s">
        <v>367</v>
      </c>
      <c r="O381" s="15" t="s">
        <v>19</v>
      </c>
      <c r="Q381"/>
    </row>
    <row r="382" spans="1:17" ht="15.6" x14ac:dyDescent="0.3">
      <c r="A382" s="11">
        <v>10143</v>
      </c>
      <c r="B382" s="10">
        <v>37843</v>
      </c>
      <c r="C382" s="10" t="s">
        <v>310</v>
      </c>
      <c r="D382" s="11" t="s">
        <v>136</v>
      </c>
      <c r="E382" s="11" t="s">
        <v>137</v>
      </c>
      <c r="F382" s="11" t="s">
        <v>15</v>
      </c>
      <c r="G382" s="11" t="s">
        <v>16</v>
      </c>
      <c r="H382" s="11" t="s">
        <v>61</v>
      </c>
      <c r="I382" s="11" t="s">
        <v>65</v>
      </c>
      <c r="J382" s="11" t="s">
        <v>264</v>
      </c>
      <c r="K382" s="11">
        <v>28</v>
      </c>
      <c r="L382" s="12">
        <v>30</v>
      </c>
      <c r="M382" s="13">
        <v>840</v>
      </c>
      <c r="N382" s="11" t="s">
        <v>367</v>
      </c>
      <c r="O382" s="11" t="s">
        <v>19</v>
      </c>
      <c r="Q382"/>
    </row>
    <row r="383" spans="1:17" ht="15.6" x14ac:dyDescent="0.3">
      <c r="A383" s="15">
        <v>10143</v>
      </c>
      <c r="B383" s="14">
        <v>37843</v>
      </c>
      <c r="C383" s="14" t="s">
        <v>310</v>
      </c>
      <c r="D383" s="15" t="s">
        <v>136</v>
      </c>
      <c r="E383" s="15" t="s">
        <v>137</v>
      </c>
      <c r="F383" s="15" t="s">
        <v>15</v>
      </c>
      <c r="G383" s="15" t="s">
        <v>16</v>
      </c>
      <c r="H383" s="15" t="s">
        <v>61</v>
      </c>
      <c r="I383" s="15" t="s">
        <v>66</v>
      </c>
      <c r="J383" s="15" t="s">
        <v>265</v>
      </c>
      <c r="K383" s="15">
        <v>34</v>
      </c>
      <c r="L383" s="16">
        <v>35</v>
      </c>
      <c r="M383" s="17">
        <v>1190</v>
      </c>
      <c r="N383" s="15" t="s">
        <v>367</v>
      </c>
      <c r="O383" s="15" t="s">
        <v>19</v>
      </c>
      <c r="Q383"/>
    </row>
    <row r="384" spans="1:17" ht="15.6" x14ac:dyDescent="0.3">
      <c r="A384" s="11">
        <v>10143</v>
      </c>
      <c r="B384" s="10">
        <v>37843</v>
      </c>
      <c r="C384" s="10" t="s">
        <v>310</v>
      </c>
      <c r="D384" s="11" t="s">
        <v>136</v>
      </c>
      <c r="E384" s="11" t="s">
        <v>137</v>
      </c>
      <c r="F384" s="11" t="s">
        <v>15</v>
      </c>
      <c r="G384" s="11" t="s">
        <v>16</v>
      </c>
      <c r="H384" s="11" t="s">
        <v>61</v>
      </c>
      <c r="I384" s="11" t="s">
        <v>66</v>
      </c>
      <c r="J384" s="11" t="s">
        <v>265</v>
      </c>
      <c r="K384" s="11">
        <v>37</v>
      </c>
      <c r="L384" s="12">
        <v>35</v>
      </c>
      <c r="M384" s="13">
        <v>1295</v>
      </c>
      <c r="N384" s="11" t="s">
        <v>367</v>
      </c>
      <c r="O384" s="11" t="s">
        <v>19</v>
      </c>
      <c r="Q384"/>
    </row>
    <row r="385" spans="1:17" ht="15.6" x14ac:dyDescent="0.3">
      <c r="A385" s="15">
        <v>10144</v>
      </c>
      <c r="B385" s="14">
        <v>37846</v>
      </c>
      <c r="C385" s="14" t="s">
        <v>291</v>
      </c>
      <c r="D385" s="15" t="s">
        <v>94</v>
      </c>
      <c r="E385" s="15" t="s">
        <v>95</v>
      </c>
      <c r="F385" s="15" t="s">
        <v>96</v>
      </c>
      <c r="G385" s="15" t="s">
        <v>25</v>
      </c>
      <c r="H385" s="15" t="s">
        <v>17</v>
      </c>
      <c r="I385" s="15" t="s">
        <v>21</v>
      </c>
      <c r="J385" s="15" t="s">
        <v>243</v>
      </c>
      <c r="K385" s="15">
        <v>20</v>
      </c>
      <c r="L385" s="16">
        <v>110</v>
      </c>
      <c r="M385" s="17">
        <v>2200</v>
      </c>
      <c r="N385" s="15" t="s">
        <v>367</v>
      </c>
      <c r="O385" s="15" t="s">
        <v>19</v>
      </c>
      <c r="Q385"/>
    </row>
    <row r="386" spans="1:17" ht="15.6" x14ac:dyDescent="0.3">
      <c r="A386" s="11">
        <v>10145</v>
      </c>
      <c r="B386" s="10">
        <v>37858</v>
      </c>
      <c r="C386" s="10" t="s">
        <v>311</v>
      </c>
      <c r="D386" s="11" t="s">
        <v>138</v>
      </c>
      <c r="E386" s="11" t="s">
        <v>139</v>
      </c>
      <c r="F386" s="11" t="s">
        <v>15</v>
      </c>
      <c r="G386" s="11" t="s">
        <v>16</v>
      </c>
      <c r="H386" s="11" t="s">
        <v>68</v>
      </c>
      <c r="I386" s="11" t="s">
        <v>108</v>
      </c>
      <c r="J386" s="11" t="s">
        <v>271</v>
      </c>
      <c r="K386" s="11">
        <v>45</v>
      </c>
      <c r="L386" s="12">
        <v>45</v>
      </c>
      <c r="M386" s="13">
        <v>2025</v>
      </c>
      <c r="N386" s="11" t="s">
        <v>367</v>
      </c>
      <c r="O386" s="11" t="s">
        <v>19</v>
      </c>
      <c r="Q386"/>
    </row>
    <row r="387" spans="1:17" ht="15.6" x14ac:dyDescent="0.3">
      <c r="A387" s="15">
        <v>10145</v>
      </c>
      <c r="B387" s="14">
        <v>37858</v>
      </c>
      <c r="C387" s="14" t="s">
        <v>311</v>
      </c>
      <c r="D387" s="15" t="s">
        <v>138</v>
      </c>
      <c r="E387" s="15" t="s">
        <v>139</v>
      </c>
      <c r="F387" s="15" t="s">
        <v>15</v>
      </c>
      <c r="G387" s="15" t="s">
        <v>16</v>
      </c>
      <c r="H387" s="15" t="s">
        <v>68</v>
      </c>
      <c r="I387" s="15" t="s">
        <v>69</v>
      </c>
      <c r="J387" s="15" t="s">
        <v>266</v>
      </c>
      <c r="K387" s="15">
        <v>37</v>
      </c>
      <c r="L387" s="16">
        <v>25</v>
      </c>
      <c r="M387" s="17">
        <v>925</v>
      </c>
      <c r="N387" s="15" t="s">
        <v>367</v>
      </c>
      <c r="O387" s="15" t="s">
        <v>19</v>
      </c>
      <c r="Q387"/>
    </row>
    <row r="388" spans="1:17" ht="15.6" x14ac:dyDescent="0.3">
      <c r="A388" s="11">
        <v>10145</v>
      </c>
      <c r="B388" s="10">
        <v>37858</v>
      </c>
      <c r="C388" s="10" t="s">
        <v>311</v>
      </c>
      <c r="D388" s="11" t="s">
        <v>138</v>
      </c>
      <c r="E388" s="11" t="s">
        <v>139</v>
      </c>
      <c r="F388" s="11" t="s">
        <v>15</v>
      </c>
      <c r="G388" s="11" t="s">
        <v>16</v>
      </c>
      <c r="H388" s="11" t="s">
        <v>68</v>
      </c>
      <c r="I388" s="11" t="s">
        <v>69</v>
      </c>
      <c r="J388" s="11" t="s">
        <v>266</v>
      </c>
      <c r="K388" s="11">
        <v>33</v>
      </c>
      <c r="L388" s="12">
        <v>25</v>
      </c>
      <c r="M388" s="13">
        <v>825</v>
      </c>
      <c r="N388" s="11" t="s">
        <v>367</v>
      </c>
      <c r="O388" s="11" t="s">
        <v>19</v>
      </c>
      <c r="Q388"/>
    </row>
    <row r="389" spans="1:17" ht="15.6" x14ac:dyDescent="0.3">
      <c r="A389" s="15">
        <v>10145</v>
      </c>
      <c r="B389" s="14">
        <v>37858</v>
      </c>
      <c r="C389" s="14" t="s">
        <v>311</v>
      </c>
      <c r="D389" s="15" t="s">
        <v>138</v>
      </c>
      <c r="E389" s="15" t="s">
        <v>139</v>
      </c>
      <c r="F389" s="15" t="s">
        <v>15</v>
      </c>
      <c r="G389" s="15" t="s">
        <v>16</v>
      </c>
      <c r="H389" s="15" t="s">
        <v>68</v>
      </c>
      <c r="I389" s="15" t="s">
        <v>69</v>
      </c>
      <c r="J389" s="15" t="s">
        <v>266</v>
      </c>
      <c r="K389" s="15">
        <v>49</v>
      </c>
      <c r="L389" s="16">
        <v>25</v>
      </c>
      <c r="M389" s="17">
        <v>1225</v>
      </c>
      <c r="N389" s="15" t="s">
        <v>367</v>
      </c>
      <c r="O389" s="15" t="s">
        <v>19</v>
      </c>
      <c r="Q389"/>
    </row>
    <row r="390" spans="1:17" ht="15.6" x14ac:dyDescent="0.3">
      <c r="A390" s="11">
        <v>10145</v>
      </c>
      <c r="B390" s="10">
        <v>37858</v>
      </c>
      <c r="C390" s="10" t="s">
        <v>311</v>
      </c>
      <c r="D390" s="11" t="s">
        <v>138</v>
      </c>
      <c r="E390" s="11" t="s">
        <v>139</v>
      </c>
      <c r="F390" s="11" t="s">
        <v>15</v>
      </c>
      <c r="G390" s="11" t="s">
        <v>16</v>
      </c>
      <c r="H390" s="11" t="s">
        <v>61</v>
      </c>
      <c r="I390" s="11" t="s">
        <v>66</v>
      </c>
      <c r="J390" s="11" t="s">
        <v>265</v>
      </c>
      <c r="K390" s="11">
        <v>30</v>
      </c>
      <c r="L390" s="12">
        <v>35</v>
      </c>
      <c r="M390" s="13">
        <v>1050</v>
      </c>
      <c r="N390" s="11" t="s">
        <v>367</v>
      </c>
      <c r="O390" s="11" t="s">
        <v>19</v>
      </c>
      <c r="Q390"/>
    </row>
    <row r="391" spans="1:17" ht="15.6" x14ac:dyDescent="0.3">
      <c r="A391" s="15">
        <v>10145</v>
      </c>
      <c r="B391" s="14">
        <v>37858</v>
      </c>
      <c r="C391" s="14" t="s">
        <v>311</v>
      </c>
      <c r="D391" s="15" t="s">
        <v>138</v>
      </c>
      <c r="E391" s="15" t="s">
        <v>139</v>
      </c>
      <c r="F391" s="15" t="s">
        <v>15</v>
      </c>
      <c r="G391" s="15" t="s">
        <v>16</v>
      </c>
      <c r="H391" s="15" t="s">
        <v>68</v>
      </c>
      <c r="I391" s="15" t="s">
        <v>76</v>
      </c>
      <c r="J391" s="15" t="s">
        <v>269</v>
      </c>
      <c r="K391" s="15">
        <v>30</v>
      </c>
      <c r="L391" s="16">
        <v>30</v>
      </c>
      <c r="M391" s="17">
        <v>900</v>
      </c>
      <c r="N391" s="15" t="s">
        <v>367</v>
      </c>
      <c r="O391" s="15" t="s">
        <v>19</v>
      </c>
      <c r="Q391"/>
    </row>
    <row r="392" spans="1:17" ht="15.6" x14ac:dyDescent="0.3">
      <c r="A392" s="11">
        <v>10145</v>
      </c>
      <c r="B392" s="10">
        <v>37858</v>
      </c>
      <c r="C392" s="10" t="s">
        <v>311</v>
      </c>
      <c r="D392" s="11" t="s">
        <v>138</v>
      </c>
      <c r="E392" s="11" t="s">
        <v>139</v>
      </c>
      <c r="F392" s="11" t="s">
        <v>15</v>
      </c>
      <c r="G392" s="11" t="s">
        <v>16</v>
      </c>
      <c r="H392" s="11" t="s">
        <v>68</v>
      </c>
      <c r="I392" s="11" t="s">
        <v>70</v>
      </c>
      <c r="J392" s="11" t="s">
        <v>267</v>
      </c>
      <c r="K392" s="11">
        <v>43</v>
      </c>
      <c r="L392" s="12">
        <v>50</v>
      </c>
      <c r="M392" s="13">
        <v>2150</v>
      </c>
      <c r="N392" s="11" t="s">
        <v>367</v>
      </c>
      <c r="O392" s="11" t="s">
        <v>19</v>
      </c>
      <c r="Q392"/>
    </row>
    <row r="393" spans="1:17" ht="15.6" x14ac:dyDescent="0.3">
      <c r="A393" s="15">
        <v>10145</v>
      </c>
      <c r="B393" s="14">
        <v>37858</v>
      </c>
      <c r="C393" s="14" t="s">
        <v>311</v>
      </c>
      <c r="D393" s="15" t="s">
        <v>138</v>
      </c>
      <c r="E393" s="15" t="s">
        <v>139</v>
      </c>
      <c r="F393" s="15" t="s">
        <v>15</v>
      </c>
      <c r="G393" s="15" t="s">
        <v>16</v>
      </c>
      <c r="H393" s="15" t="s">
        <v>61</v>
      </c>
      <c r="I393" s="15" t="s">
        <v>62</v>
      </c>
      <c r="J393" s="15" t="s">
        <v>261</v>
      </c>
      <c r="K393" s="15">
        <v>40</v>
      </c>
      <c r="L393" s="16">
        <v>15</v>
      </c>
      <c r="M393" s="17">
        <v>600</v>
      </c>
      <c r="N393" s="15" t="s">
        <v>367</v>
      </c>
      <c r="O393" s="15" t="s">
        <v>19</v>
      </c>
      <c r="Q393"/>
    </row>
    <row r="394" spans="1:17" ht="15.6" x14ac:dyDescent="0.3">
      <c r="A394" s="11">
        <v>10145</v>
      </c>
      <c r="B394" s="10">
        <v>37858</v>
      </c>
      <c r="C394" s="10" t="s">
        <v>311</v>
      </c>
      <c r="D394" s="11" t="s">
        <v>138</v>
      </c>
      <c r="E394" s="11" t="s">
        <v>139</v>
      </c>
      <c r="F394" s="11" t="s">
        <v>15</v>
      </c>
      <c r="G394" s="11" t="s">
        <v>16</v>
      </c>
      <c r="H394" s="11" t="s">
        <v>68</v>
      </c>
      <c r="I394" s="11" t="s">
        <v>108</v>
      </c>
      <c r="J394" s="11" t="s">
        <v>271</v>
      </c>
      <c r="K394" s="11">
        <v>47</v>
      </c>
      <c r="L394" s="12">
        <v>45</v>
      </c>
      <c r="M394" s="13">
        <v>2115</v>
      </c>
      <c r="N394" s="11" t="s">
        <v>367</v>
      </c>
      <c r="O394" s="11" t="s">
        <v>19</v>
      </c>
      <c r="Q394"/>
    </row>
    <row r="395" spans="1:17" ht="15.6" x14ac:dyDescent="0.3">
      <c r="A395" s="15">
        <v>10145</v>
      </c>
      <c r="B395" s="14">
        <v>37858</v>
      </c>
      <c r="C395" s="14" t="s">
        <v>311</v>
      </c>
      <c r="D395" s="15" t="s">
        <v>138</v>
      </c>
      <c r="E395" s="15" t="s">
        <v>139</v>
      </c>
      <c r="F395" s="15" t="s">
        <v>15</v>
      </c>
      <c r="G395" s="15" t="s">
        <v>16</v>
      </c>
      <c r="H395" s="15" t="s">
        <v>68</v>
      </c>
      <c r="I395" s="15" t="s">
        <v>70</v>
      </c>
      <c r="J395" s="15" t="s">
        <v>267</v>
      </c>
      <c r="K395" s="15">
        <v>27</v>
      </c>
      <c r="L395" s="16">
        <v>50</v>
      </c>
      <c r="M395" s="17">
        <v>1350</v>
      </c>
      <c r="N395" s="15" t="s">
        <v>367</v>
      </c>
      <c r="O395" s="15" t="s">
        <v>19</v>
      </c>
      <c r="Q395"/>
    </row>
    <row r="396" spans="1:17" ht="15.6" x14ac:dyDescent="0.3">
      <c r="A396" s="11">
        <v>10145</v>
      </c>
      <c r="B396" s="10">
        <v>37858</v>
      </c>
      <c r="C396" s="10" t="s">
        <v>311</v>
      </c>
      <c r="D396" s="11" t="s">
        <v>138</v>
      </c>
      <c r="E396" s="11" t="s">
        <v>139</v>
      </c>
      <c r="F396" s="11" t="s">
        <v>15</v>
      </c>
      <c r="G396" s="11" t="s">
        <v>16</v>
      </c>
      <c r="H396" s="11" t="s">
        <v>61</v>
      </c>
      <c r="I396" s="11" t="s">
        <v>65</v>
      </c>
      <c r="J396" s="11" t="s">
        <v>264</v>
      </c>
      <c r="K396" s="11">
        <v>33</v>
      </c>
      <c r="L396" s="12">
        <v>30</v>
      </c>
      <c r="M396" s="13">
        <v>990</v>
      </c>
      <c r="N396" s="11" t="s">
        <v>367</v>
      </c>
      <c r="O396" s="11" t="s">
        <v>19</v>
      </c>
      <c r="Q396"/>
    </row>
    <row r="397" spans="1:17" ht="15.6" x14ac:dyDescent="0.3">
      <c r="A397" s="15">
        <v>10145</v>
      </c>
      <c r="B397" s="14">
        <v>37858</v>
      </c>
      <c r="C397" s="14" t="s">
        <v>311</v>
      </c>
      <c r="D397" s="15" t="s">
        <v>138</v>
      </c>
      <c r="E397" s="15" t="s">
        <v>139</v>
      </c>
      <c r="F397" s="15" t="s">
        <v>15</v>
      </c>
      <c r="G397" s="15" t="s">
        <v>16</v>
      </c>
      <c r="H397" s="15" t="s">
        <v>68</v>
      </c>
      <c r="I397" s="15" t="s">
        <v>76</v>
      </c>
      <c r="J397" s="15" t="s">
        <v>269</v>
      </c>
      <c r="K397" s="15">
        <v>33</v>
      </c>
      <c r="L397" s="16">
        <v>30</v>
      </c>
      <c r="M397" s="17">
        <v>990</v>
      </c>
      <c r="N397" s="15" t="s">
        <v>367</v>
      </c>
      <c r="O397" s="15" t="s">
        <v>19</v>
      </c>
      <c r="Q397"/>
    </row>
    <row r="398" spans="1:17" ht="15.6" x14ac:dyDescent="0.3">
      <c r="A398" s="11">
        <v>10145</v>
      </c>
      <c r="B398" s="10">
        <v>37858</v>
      </c>
      <c r="C398" s="10" t="s">
        <v>311</v>
      </c>
      <c r="D398" s="11" t="s">
        <v>138</v>
      </c>
      <c r="E398" s="11" t="s">
        <v>139</v>
      </c>
      <c r="F398" s="11" t="s">
        <v>15</v>
      </c>
      <c r="G398" s="11" t="s">
        <v>16</v>
      </c>
      <c r="H398" s="11" t="s">
        <v>68</v>
      </c>
      <c r="I398" s="11" t="s">
        <v>70</v>
      </c>
      <c r="J398" s="11" t="s">
        <v>267</v>
      </c>
      <c r="K398" s="11">
        <v>31</v>
      </c>
      <c r="L398" s="12">
        <v>50</v>
      </c>
      <c r="M398" s="13">
        <v>1550</v>
      </c>
      <c r="N398" s="11" t="s">
        <v>367</v>
      </c>
      <c r="O398" s="11" t="s">
        <v>19</v>
      </c>
      <c r="Q398"/>
    </row>
    <row r="399" spans="1:17" ht="15.6" x14ac:dyDescent="0.3">
      <c r="A399" s="15">
        <v>10145</v>
      </c>
      <c r="B399" s="14">
        <v>37858</v>
      </c>
      <c r="C399" s="14" t="s">
        <v>311</v>
      </c>
      <c r="D399" s="15" t="s">
        <v>138</v>
      </c>
      <c r="E399" s="15" t="s">
        <v>139</v>
      </c>
      <c r="F399" s="15" t="s">
        <v>15</v>
      </c>
      <c r="G399" s="15" t="s">
        <v>16</v>
      </c>
      <c r="H399" s="15" t="s">
        <v>68</v>
      </c>
      <c r="I399" s="15" t="s">
        <v>108</v>
      </c>
      <c r="J399" s="15" t="s">
        <v>271</v>
      </c>
      <c r="K399" s="15">
        <v>27</v>
      </c>
      <c r="L399" s="16">
        <v>45</v>
      </c>
      <c r="M399" s="17">
        <v>1215</v>
      </c>
      <c r="N399" s="15" t="s">
        <v>367</v>
      </c>
      <c r="O399" s="15" t="s">
        <v>19</v>
      </c>
      <c r="Q399"/>
    </row>
    <row r="400" spans="1:17" ht="15.6" x14ac:dyDescent="0.3">
      <c r="A400" s="11">
        <v>10145</v>
      </c>
      <c r="B400" s="10">
        <v>37858</v>
      </c>
      <c r="C400" s="10" t="s">
        <v>311</v>
      </c>
      <c r="D400" s="11" t="s">
        <v>138</v>
      </c>
      <c r="E400" s="11" t="s">
        <v>139</v>
      </c>
      <c r="F400" s="11" t="s">
        <v>15</v>
      </c>
      <c r="G400" s="11" t="s">
        <v>16</v>
      </c>
      <c r="H400" s="11" t="s">
        <v>68</v>
      </c>
      <c r="I400" s="11" t="s">
        <v>70</v>
      </c>
      <c r="J400" s="11" t="s">
        <v>267</v>
      </c>
      <c r="K400" s="11">
        <v>38</v>
      </c>
      <c r="L400" s="12">
        <v>50</v>
      </c>
      <c r="M400" s="13">
        <v>1900</v>
      </c>
      <c r="N400" s="11" t="s">
        <v>367</v>
      </c>
      <c r="O400" s="11" t="s">
        <v>19</v>
      </c>
      <c r="Q400"/>
    </row>
    <row r="401" spans="1:17" ht="15.6" x14ac:dyDescent="0.3">
      <c r="A401" s="15">
        <v>10145</v>
      </c>
      <c r="B401" s="14">
        <v>37858</v>
      </c>
      <c r="C401" s="14" t="s">
        <v>311</v>
      </c>
      <c r="D401" s="15" t="s">
        <v>138</v>
      </c>
      <c r="E401" s="15" t="s">
        <v>139</v>
      </c>
      <c r="F401" s="15" t="s">
        <v>15</v>
      </c>
      <c r="G401" s="15" t="s">
        <v>16</v>
      </c>
      <c r="H401" s="15" t="s">
        <v>61</v>
      </c>
      <c r="I401" s="15" t="s">
        <v>62</v>
      </c>
      <c r="J401" s="15" t="s">
        <v>261</v>
      </c>
      <c r="K401" s="15">
        <v>20</v>
      </c>
      <c r="L401" s="16">
        <v>15</v>
      </c>
      <c r="M401" s="17">
        <v>300</v>
      </c>
      <c r="N401" s="15" t="s">
        <v>367</v>
      </c>
      <c r="O401" s="15" t="s">
        <v>19</v>
      </c>
      <c r="Q401"/>
    </row>
    <row r="402" spans="1:17" ht="15.6" x14ac:dyDescent="0.3">
      <c r="A402" s="11">
        <v>10146</v>
      </c>
      <c r="B402" s="10">
        <v>37867</v>
      </c>
      <c r="C402" s="10" t="s">
        <v>303</v>
      </c>
      <c r="D402" s="11" t="s">
        <v>122</v>
      </c>
      <c r="E402" s="11" t="s">
        <v>123</v>
      </c>
      <c r="F402" s="11" t="s">
        <v>15</v>
      </c>
      <c r="G402" s="11" t="s">
        <v>16</v>
      </c>
      <c r="H402" s="11" t="s">
        <v>68</v>
      </c>
      <c r="I402" s="11" t="s">
        <v>76</v>
      </c>
      <c r="J402" s="11" t="s">
        <v>269</v>
      </c>
      <c r="K402" s="11">
        <v>47</v>
      </c>
      <c r="L402" s="12">
        <v>30</v>
      </c>
      <c r="M402" s="13">
        <v>1410</v>
      </c>
      <c r="N402" s="11" t="s">
        <v>367</v>
      </c>
      <c r="O402" s="11" t="s">
        <v>19</v>
      </c>
      <c r="Q402"/>
    </row>
    <row r="403" spans="1:17" ht="15.6" x14ac:dyDescent="0.3">
      <c r="A403" s="15">
        <v>10146</v>
      </c>
      <c r="B403" s="14">
        <v>37867</v>
      </c>
      <c r="C403" s="14" t="s">
        <v>303</v>
      </c>
      <c r="D403" s="15" t="s">
        <v>122</v>
      </c>
      <c r="E403" s="15" t="s">
        <v>123</v>
      </c>
      <c r="F403" s="15" t="s">
        <v>15</v>
      </c>
      <c r="G403" s="15" t="s">
        <v>16</v>
      </c>
      <c r="H403" s="15" t="s">
        <v>32</v>
      </c>
      <c r="I403" s="15" t="s">
        <v>34</v>
      </c>
      <c r="J403" s="15" t="s">
        <v>246</v>
      </c>
      <c r="K403" s="15">
        <v>29</v>
      </c>
      <c r="L403" s="16">
        <v>80</v>
      </c>
      <c r="M403" s="17">
        <v>2320</v>
      </c>
      <c r="N403" s="15" t="s">
        <v>367</v>
      </c>
      <c r="O403" s="15" t="s">
        <v>19</v>
      </c>
      <c r="Q403"/>
    </row>
    <row r="404" spans="1:17" ht="15.6" x14ac:dyDescent="0.3">
      <c r="A404" s="11">
        <v>10147</v>
      </c>
      <c r="B404" s="10">
        <v>37869</v>
      </c>
      <c r="C404" s="10" t="s">
        <v>312</v>
      </c>
      <c r="D404" s="11" t="s">
        <v>140</v>
      </c>
      <c r="E404" s="11" t="s">
        <v>125</v>
      </c>
      <c r="F404" s="11" t="s">
        <v>15</v>
      </c>
      <c r="G404" s="11" t="s">
        <v>16</v>
      </c>
      <c r="H404" s="11" t="s">
        <v>32</v>
      </c>
      <c r="I404" s="11" t="s">
        <v>46</v>
      </c>
      <c r="J404" s="11" t="s">
        <v>254</v>
      </c>
      <c r="K404" s="11">
        <v>48</v>
      </c>
      <c r="L404" s="12">
        <v>90</v>
      </c>
      <c r="M404" s="13">
        <v>4320</v>
      </c>
      <c r="N404" s="11" t="s">
        <v>367</v>
      </c>
      <c r="O404" s="11" t="s">
        <v>19</v>
      </c>
      <c r="Q404"/>
    </row>
    <row r="405" spans="1:17" ht="15.6" x14ac:dyDescent="0.3">
      <c r="A405" s="15">
        <v>10147</v>
      </c>
      <c r="B405" s="14">
        <v>37869</v>
      </c>
      <c r="C405" s="14" t="s">
        <v>312</v>
      </c>
      <c r="D405" s="15" t="s">
        <v>140</v>
      </c>
      <c r="E405" s="15" t="s">
        <v>125</v>
      </c>
      <c r="F405" s="15" t="s">
        <v>15</v>
      </c>
      <c r="G405" s="15" t="s">
        <v>16</v>
      </c>
      <c r="H405" s="15" t="s">
        <v>32</v>
      </c>
      <c r="I405" s="15" t="s">
        <v>34</v>
      </c>
      <c r="J405" s="15" t="s">
        <v>246</v>
      </c>
      <c r="K405" s="15">
        <v>31</v>
      </c>
      <c r="L405" s="16">
        <v>80</v>
      </c>
      <c r="M405" s="17">
        <v>2480</v>
      </c>
      <c r="N405" s="15" t="s">
        <v>367</v>
      </c>
      <c r="O405" s="15" t="s">
        <v>19</v>
      </c>
      <c r="Q405"/>
    </row>
    <row r="406" spans="1:17" ht="15.6" x14ac:dyDescent="0.3">
      <c r="A406" s="11">
        <v>10147</v>
      </c>
      <c r="B406" s="10">
        <v>37869</v>
      </c>
      <c r="C406" s="10" t="s">
        <v>312</v>
      </c>
      <c r="D406" s="11" t="s">
        <v>140</v>
      </c>
      <c r="E406" s="11" t="s">
        <v>125</v>
      </c>
      <c r="F406" s="11" t="s">
        <v>15</v>
      </c>
      <c r="G406" s="11" t="s">
        <v>16</v>
      </c>
      <c r="H406" s="11" t="s">
        <v>32</v>
      </c>
      <c r="I406" s="11" t="s">
        <v>33</v>
      </c>
      <c r="J406" s="11" t="s">
        <v>245</v>
      </c>
      <c r="K406" s="11">
        <v>21</v>
      </c>
      <c r="L406" s="12">
        <v>85</v>
      </c>
      <c r="M406" s="13">
        <v>1785</v>
      </c>
      <c r="N406" s="11" t="s">
        <v>367</v>
      </c>
      <c r="O406" s="11" t="s">
        <v>19</v>
      </c>
      <c r="Q406"/>
    </row>
    <row r="407" spans="1:17" ht="15.6" x14ac:dyDescent="0.3">
      <c r="A407" s="15">
        <v>10147</v>
      </c>
      <c r="B407" s="14">
        <v>37869</v>
      </c>
      <c r="C407" s="14" t="s">
        <v>312</v>
      </c>
      <c r="D407" s="15" t="s">
        <v>140</v>
      </c>
      <c r="E407" s="15" t="s">
        <v>125</v>
      </c>
      <c r="F407" s="15" t="s">
        <v>15</v>
      </c>
      <c r="G407" s="15" t="s">
        <v>16</v>
      </c>
      <c r="H407" s="15" t="s">
        <v>32</v>
      </c>
      <c r="I407" s="15" t="s">
        <v>34</v>
      </c>
      <c r="J407" s="15" t="s">
        <v>246</v>
      </c>
      <c r="K407" s="15">
        <v>33</v>
      </c>
      <c r="L407" s="16">
        <v>80</v>
      </c>
      <c r="M407" s="17">
        <v>2640</v>
      </c>
      <c r="N407" s="15" t="s">
        <v>367</v>
      </c>
      <c r="O407" s="15" t="s">
        <v>19</v>
      </c>
      <c r="Q407"/>
    </row>
    <row r="408" spans="1:17" ht="15.6" x14ac:dyDescent="0.3">
      <c r="A408" s="11">
        <v>10147</v>
      </c>
      <c r="B408" s="10">
        <v>37869</v>
      </c>
      <c r="C408" s="10" t="s">
        <v>312</v>
      </c>
      <c r="D408" s="11" t="s">
        <v>140</v>
      </c>
      <c r="E408" s="11" t="s">
        <v>125</v>
      </c>
      <c r="F408" s="11" t="s">
        <v>15</v>
      </c>
      <c r="G408" s="11" t="s">
        <v>16</v>
      </c>
      <c r="H408" s="11" t="s">
        <v>32</v>
      </c>
      <c r="I408" s="11" t="s">
        <v>33</v>
      </c>
      <c r="J408" s="11" t="s">
        <v>245</v>
      </c>
      <c r="K408" s="11">
        <v>26</v>
      </c>
      <c r="L408" s="12">
        <v>85</v>
      </c>
      <c r="M408" s="13">
        <v>2210</v>
      </c>
      <c r="N408" s="11" t="s">
        <v>367</v>
      </c>
      <c r="O408" s="11" t="s">
        <v>19</v>
      </c>
      <c r="Q408"/>
    </row>
    <row r="409" spans="1:17" ht="15.6" x14ac:dyDescent="0.3">
      <c r="A409" s="15">
        <v>10147</v>
      </c>
      <c r="B409" s="14">
        <v>37869</v>
      </c>
      <c r="C409" s="14" t="s">
        <v>312</v>
      </c>
      <c r="D409" s="15" t="s">
        <v>140</v>
      </c>
      <c r="E409" s="15" t="s">
        <v>125</v>
      </c>
      <c r="F409" s="15" t="s">
        <v>15</v>
      </c>
      <c r="G409" s="15" t="s">
        <v>16</v>
      </c>
      <c r="H409" s="15" t="s">
        <v>32</v>
      </c>
      <c r="I409" s="15" t="s">
        <v>34</v>
      </c>
      <c r="J409" s="15" t="s">
        <v>246</v>
      </c>
      <c r="K409" s="15">
        <v>36</v>
      </c>
      <c r="L409" s="16">
        <v>80</v>
      </c>
      <c r="M409" s="17">
        <v>2880</v>
      </c>
      <c r="N409" s="15" t="s">
        <v>367</v>
      </c>
      <c r="O409" s="15" t="s">
        <v>19</v>
      </c>
      <c r="Q409"/>
    </row>
    <row r="410" spans="1:17" ht="15.6" x14ac:dyDescent="0.3">
      <c r="A410" s="11">
        <v>10147</v>
      </c>
      <c r="B410" s="10">
        <v>37869</v>
      </c>
      <c r="C410" s="10" t="s">
        <v>312</v>
      </c>
      <c r="D410" s="11" t="s">
        <v>140</v>
      </c>
      <c r="E410" s="11" t="s">
        <v>125</v>
      </c>
      <c r="F410" s="11" t="s">
        <v>15</v>
      </c>
      <c r="G410" s="11" t="s">
        <v>16</v>
      </c>
      <c r="H410" s="11" t="s">
        <v>32</v>
      </c>
      <c r="I410" s="11" t="s">
        <v>33</v>
      </c>
      <c r="J410" s="11" t="s">
        <v>245</v>
      </c>
      <c r="K410" s="11">
        <v>37</v>
      </c>
      <c r="L410" s="12">
        <v>85</v>
      </c>
      <c r="M410" s="13">
        <v>3145</v>
      </c>
      <c r="N410" s="11" t="s">
        <v>367</v>
      </c>
      <c r="O410" s="11" t="s">
        <v>19</v>
      </c>
      <c r="Q410"/>
    </row>
    <row r="411" spans="1:17" ht="15.6" x14ac:dyDescent="0.3">
      <c r="A411" s="15">
        <v>10147</v>
      </c>
      <c r="B411" s="14">
        <v>37869</v>
      </c>
      <c r="C411" s="14" t="s">
        <v>312</v>
      </c>
      <c r="D411" s="15" t="s">
        <v>140</v>
      </c>
      <c r="E411" s="15" t="s">
        <v>125</v>
      </c>
      <c r="F411" s="15" t="s">
        <v>15</v>
      </c>
      <c r="G411" s="15" t="s">
        <v>16</v>
      </c>
      <c r="H411" s="15" t="s">
        <v>32</v>
      </c>
      <c r="I411" s="15" t="s">
        <v>33</v>
      </c>
      <c r="J411" s="15" t="s">
        <v>245</v>
      </c>
      <c r="K411" s="15">
        <v>25</v>
      </c>
      <c r="L411" s="16">
        <v>85</v>
      </c>
      <c r="M411" s="17">
        <v>2125</v>
      </c>
      <c r="N411" s="15" t="s">
        <v>367</v>
      </c>
      <c r="O411" s="15" t="s">
        <v>19</v>
      </c>
      <c r="Q411"/>
    </row>
    <row r="412" spans="1:17" ht="15.6" x14ac:dyDescent="0.3">
      <c r="A412" s="11">
        <v>10147</v>
      </c>
      <c r="B412" s="10">
        <v>37869</v>
      </c>
      <c r="C412" s="10" t="s">
        <v>312</v>
      </c>
      <c r="D412" s="11" t="s">
        <v>140</v>
      </c>
      <c r="E412" s="11" t="s">
        <v>125</v>
      </c>
      <c r="F412" s="11" t="s">
        <v>15</v>
      </c>
      <c r="G412" s="11" t="s">
        <v>16</v>
      </c>
      <c r="H412" s="11" t="s">
        <v>32</v>
      </c>
      <c r="I412" s="11" t="s">
        <v>46</v>
      </c>
      <c r="J412" s="11" t="s">
        <v>254</v>
      </c>
      <c r="K412" s="11">
        <v>30</v>
      </c>
      <c r="L412" s="12">
        <v>90</v>
      </c>
      <c r="M412" s="13">
        <v>2700</v>
      </c>
      <c r="N412" s="11" t="s">
        <v>367</v>
      </c>
      <c r="O412" s="11" t="s">
        <v>19</v>
      </c>
      <c r="Q412"/>
    </row>
    <row r="413" spans="1:17" ht="15.6" x14ac:dyDescent="0.3">
      <c r="A413" s="15">
        <v>10147</v>
      </c>
      <c r="B413" s="14">
        <v>37869</v>
      </c>
      <c r="C413" s="14" t="s">
        <v>312</v>
      </c>
      <c r="D413" s="15" t="s">
        <v>140</v>
      </c>
      <c r="E413" s="15" t="s">
        <v>125</v>
      </c>
      <c r="F413" s="15" t="s">
        <v>15</v>
      </c>
      <c r="G413" s="15" t="s">
        <v>16</v>
      </c>
      <c r="H413" s="15" t="s">
        <v>32</v>
      </c>
      <c r="I413" s="15" t="s">
        <v>45</v>
      </c>
      <c r="J413" s="15" t="s">
        <v>253</v>
      </c>
      <c r="K413" s="15">
        <v>23</v>
      </c>
      <c r="L413" s="16">
        <v>35</v>
      </c>
      <c r="M413" s="17">
        <v>805</v>
      </c>
      <c r="N413" s="15" t="s">
        <v>367</v>
      </c>
      <c r="O413" s="15" t="s">
        <v>19</v>
      </c>
      <c r="Q413"/>
    </row>
    <row r="414" spans="1:17" ht="15.6" x14ac:dyDescent="0.3">
      <c r="A414" s="11">
        <v>10147</v>
      </c>
      <c r="B414" s="10">
        <v>37869</v>
      </c>
      <c r="C414" s="10" t="s">
        <v>312</v>
      </c>
      <c r="D414" s="11" t="s">
        <v>140</v>
      </c>
      <c r="E414" s="11" t="s">
        <v>125</v>
      </c>
      <c r="F414" s="11" t="s">
        <v>15</v>
      </c>
      <c r="G414" s="11" t="s">
        <v>16</v>
      </c>
      <c r="H414" s="11" t="s">
        <v>32</v>
      </c>
      <c r="I414" s="11" t="s">
        <v>33</v>
      </c>
      <c r="J414" s="11" t="s">
        <v>245</v>
      </c>
      <c r="K414" s="11">
        <v>31</v>
      </c>
      <c r="L414" s="12">
        <v>85</v>
      </c>
      <c r="M414" s="13">
        <v>2635</v>
      </c>
      <c r="N414" s="11" t="s">
        <v>367</v>
      </c>
      <c r="O414" s="11" t="s">
        <v>19</v>
      </c>
      <c r="Q414"/>
    </row>
    <row r="415" spans="1:17" ht="15.6" x14ac:dyDescent="0.3">
      <c r="A415" s="15">
        <v>10148</v>
      </c>
      <c r="B415" s="14">
        <v>37875</v>
      </c>
      <c r="C415" s="14" t="s">
        <v>313</v>
      </c>
      <c r="D415" s="15" t="s">
        <v>141</v>
      </c>
      <c r="E415" s="15" t="s">
        <v>142</v>
      </c>
      <c r="F415" s="15" t="s">
        <v>106</v>
      </c>
      <c r="G415" s="15" t="s">
        <v>107</v>
      </c>
      <c r="H415" s="15" t="s">
        <v>32</v>
      </c>
      <c r="I415" s="15" t="s">
        <v>46</v>
      </c>
      <c r="J415" s="15" t="s">
        <v>254</v>
      </c>
      <c r="K415" s="15">
        <v>23</v>
      </c>
      <c r="L415" s="16">
        <v>90</v>
      </c>
      <c r="M415" s="17">
        <v>2070</v>
      </c>
      <c r="N415" s="15" t="s">
        <v>367</v>
      </c>
      <c r="O415" s="15" t="s">
        <v>19</v>
      </c>
      <c r="Q415"/>
    </row>
    <row r="416" spans="1:17" ht="15.6" x14ac:dyDescent="0.3">
      <c r="A416" s="11">
        <v>10148</v>
      </c>
      <c r="B416" s="10">
        <v>37875</v>
      </c>
      <c r="C416" s="10" t="s">
        <v>313</v>
      </c>
      <c r="D416" s="11" t="s">
        <v>141</v>
      </c>
      <c r="E416" s="11" t="s">
        <v>142</v>
      </c>
      <c r="F416" s="11" t="s">
        <v>106</v>
      </c>
      <c r="G416" s="11" t="s">
        <v>107</v>
      </c>
      <c r="H416" s="11" t="s">
        <v>32</v>
      </c>
      <c r="I416" s="11" t="s">
        <v>33</v>
      </c>
      <c r="J416" s="11" t="s">
        <v>245</v>
      </c>
      <c r="K416" s="11">
        <v>47</v>
      </c>
      <c r="L416" s="12">
        <v>85</v>
      </c>
      <c r="M416" s="13">
        <v>3995</v>
      </c>
      <c r="N416" s="11" t="s">
        <v>367</v>
      </c>
      <c r="O416" s="11" t="s">
        <v>19</v>
      </c>
      <c r="Q416"/>
    </row>
    <row r="417" spans="1:17" ht="15.6" x14ac:dyDescent="0.3">
      <c r="A417" s="15">
        <v>10148</v>
      </c>
      <c r="B417" s="14">
        <v>37875</v>
      </c>
      <c r="C417" s="14" t="s">
        <v>313</v>
      </c>
      <c r="D417" s="15" t="s">
        <v>141</v>
      </c>
      <c r="E417" s="15" t="s">
        <v>142</v>
      </c>
      <c r="F417" s="15" t="s">
        <v>106</v>
      </c>
      <c r="G417" s="15" t="s">
        <v>107</v>
      </c>
      <c r="H417" s="15" t="s">
        <v>32</v>
      </c>
      <c r="I417" s="15" t="s">
        <v>34</v>
      </c>
      <c r="J417" s="15" t="s">
        <v>246</v>
      </c>
      <c r="K417" s="15">
        <v>25</v>
      </c>
      <c r="L417" s="16">
        <v>80</v>
      </c>
      <c r="M417" s="17">
        <v>2000</v>
      </c>
      <c r="N417" s="15" t="s">
        <v>367</v>
      </c>
      <c r="O417" s="15" t="s">
        <v>19</v>
      </c>
      <c r="Q417"/>
    </row>
    <row r="418" spans="1:17" ht="15.6" x14ac:dyDescent="0.3">
      <c r="A418" s="11">
        <v>10148</v>
      </c>
      <c r="B418" s="10">
        <v>37875</v>
      </c>
      <c r="C418" s="10" t="s">
        <v>313</v>
      </c>
      <c r="D418" s="11" t="s">
        <v>141</v>
      </c>
      <c r="E418" s="11" t="s">
        <v>142</v>
      </c>
      <c r="F418" s="11" t="s">
        <v>106</v>
      </c>
      <c r="G418" s="11" t="s">
        <v>107</v>
      </c>
      <c r="H418" s="11" t="s">
        <v>32</v>
      </c>
      <c r="I418" s="11" t="s">
        <v>33</v>
      </c>
      <c r="J418" s="11" t="s">
        <v>245</v>
      </c>
      <c r="K418" s="11">
        <v>27</v>
      </c>
      <c r="L418" s="12">
        <v>85</v>
      </c>
      <c r="M418" s="13">
        <v>2295</v>
      </c>
      <c r="N418" s="11" t="s">
        <v>367</v>
      </c>
      <c r="O418" s="11" t="s">
        <v>19</v>
      </c>
      <c r="Q418"/>
    </row>
    <row r="419" spans="1:17" ht="15.6" x14ac:dyDescent="0.3">
      <c r="A419" s="15">
        <v>10148</v>
      </c>
      <c r="B419" s="14">
        <v>37875</v>
      </c>
      <c r="C419" s="14" t="s">
        <v>313</v>
      </c>
      <c r="D419" s="15" t="s">
        <v>141</v>
      </c>
      <c r="E419" s="15" t="s">
        <v>142</v>
      </c>
      <c r="F419" s="15" t="s">
        <v>106</v>
      </c>
      <c r="G419" s="15" t="s">
        <v>107</v>
      </c>
      <c r="H419" s="15" t="s">
        <v>32</v>
      </c>
      <c r="I419" s="15" t="s">
        <v>46</v>
      </c>
      <c r="J419" s="15" t="s">
        <v>254</v>
      </c>
      <c r="K419" s="15">
        <v>32</v>
      </c>
      <c r="L419" s="16">
        <v>90</v>
      </c>
      <c r="M419" s="17">
        <v>2880</v>
      </c>
      <c r="N419" s="15" t="s">
        <v>367</v>
      </c>
      <c r="O419" s="15" t="s">
        <v>19</v>
      </c>
      <c r="Q419"/>
    </row>
    <row r="420" spans="1:17" ht="15.6" x14ac:dyDescent="0.3">
      <c r="A420" s="11">
        <v>10148</v>
      </c>
      <c r="B420" s="10">
        <v>37875</v>
      </c>
      <c r="C420" s="10" t="s">
        <v>313</v>
      </c>
      <c r="D420" s="11" t="s">
        <v>141</v>
      </c>
      <c r="E420" s="11" t="s">
        <v>142</v>
      </c>
      <c r="F420" s="11" t="s">
        <v>106</v>
      </c>
      <c r="G420" s="11" t="s">
        <v>107</v>
      </c>
      <c r="H420" s="11" t="s">
        <v>32</v>
      </c>
      <c r="I420" s="11" t="s">
        <v>33</v>
      </c>
      <c r="J420" s="11" t="s">
        <v>245</v>
      </c>
      <c r="K420" s="11">
        <v>28</v>
      </c>
      <c r="L420" s="12">
        <v>85</v>
      </c>
      <c r="M420" s="13">
        <v>2380</v>
      </c>
      <c r="N420" s="11" t="s">
        <v>367</v>
      </c>
      <c r="O420" s="11" t="s">
        <v>19</v>
      </c>
      <c r="Q420"/>
    </row>
    <row r="421" spans="1:17" ht="15.6" x14ac:dyDescent="0.3">
      <c r="A421" s="15">
        <v>10148</v>
      </c>
      <c r="B421" s="14">
        <v>37875</v>
      </c>
      <c r="C421" s="14" t="s">
        <v>313</v>
      </c>
      <c r="D421" s="15" t="s">
        <v>141</v>
      </c>
      <c r="E421" s="15" t="s">
        <v>142</v>
      </c>
      <c r="F421" s="15" t="s">
        <v>106</v>
      </c>
      <c r="G421" s="15" t="s">
        <v>107</v>
      </c>
      <c r="H421" s="15" t="s">
        <v>17</v>
      </c>
      <c r="I421" s="15" t="s">
        <v>20</v>
      </c>
      <c r="J421" s="15" t="s">
        <v>242</v>
      </c>
      <c r="K421" s="15">
        <v>34</v>
      </c>
      <c r="L421" s="16">
        <v>48</v>
      </c>
      <c r="M421" s="17">
        <v>1632</v>
      </c>
      <c r="N421" s="15" t="s">
        <v>367</v>
      </c>
      <c r="O421" s="15" t="s">
        <v>19</v>
      </c>
      <c r="Q421"/>
    </row>
    <row r="422" spans="1:17" ht="15.6" x14ac:dyDescent="0.3">
      <c r="A422" s="11">
        <v>10148</v>
      </c>
      <c r="B422" s="10">
        <v>37875</v>
      </c>
      <c r="C422" s="10" t="s">
        <v>313</v>
      </c>
      <c r="D422" s="11" t="s">
        <v>141</v>
      </c>
      <c r="E422" s="11" t="s">
        <v>142</v>
      </c>
      <c r="F422" s="11" t="s">
        <v>106</v>
      </c>
      <c r="G422" s="11" t="s">
        <v>107</v>
      </c>
      <c r="H422" s="11" t="s">
        <v>32</v>
      </c>
      <c r="I422" s="11" t="s">
        <v>44</v>
      </c>
      <c r="J422" s="11" t="s">
        <v>252</v>
      </c>
      <c r="K422" s="11">
        <v>29</v>
      </c>
      <c r="L422" s="12">
        <v>55</v>
      </c>
      <c r="M422" s="13">
        <v>1595</v>
      </c>
      <c r="N422" s="11" t="s">
        <v>367</v>
      </c>
      <c r="O422" s="11" t="s">
        <v>19</v>
      </c>
      <c r="Q422"/>
    </row>
    <row r="423" spans="1:17" ht="15.6" x14ac:dyDescent="0.3">
      <c r="A423" s="15">
        <v>10148</v>
      </c>
      <c r="B423" s="14">
        <v>37875</v>
      </c>
      <c r="C423" s="14" t="s">
        <v>313</v>
      </c>
      <c r="D423" s="15" t="s">
        <v>141</v>
      </c>
      <c r="E423" s="15" t="s">
        <v>142</v>
      </c>
      <c r="F423" s="15" t="s">
        <v>106</v>
      </c>
      <c r="G423" s="15" t="s">
        <v>107</v>
      </c>
      <c r="H423" s="15" t="s">
        <v>32</v>
      </c>
      <c r="I423" s="15" t="s">
        <v>44</v>
      </c>
      <c r="J423" s="15" t="s">
        <v>252</v>
      </c>
      <c r="K423" s="15">
        <v>25</v>
      </c>
      <c r="L423" s="16">
        <v>55</v>
      </c>
      <c r="M423" s="17">
        <v>1375</v>
      </c>
      <c r="N423" s="15" t="s">
        <v>367</v>
      </c>
      <c r="O423" s="15" t="s">
        <v>19</v>
      </c>
      <c r="Q423"/>
    </row>
    <row r="424" spans="1:17" ht="15.6" x14ac:dyDescent="0.3">
      <c r="A424" s="11">
        <v>10148</v>
      </c>
      <c r="B424" s="10">
        <v>37875</v>
      </c>
      <c r="C424" s="10" t="s">
        <v>313</v>
      </c>
      <c r="D424" s="11" t="s">
        <v>141</v>
      </c>
      <c r="E424" s="11" t="s">
        <v>142</v>
      </c>
      <c r="F424" s="11" t="s">
        <v>106</v>
      </c>
      <c r="G424" s="11" t="s">
        <v>107</v>
      </c>
      <c r="H424" s="11" t="s">
        <v>32</v>
      </c>
      <c r="I424" s="11" t="s">
        <v>33</v>
      </c>
      <c r="J424" s="11" t="s">
        <v>245</v>
      </c>
      <c r="K424" s="11">
        <v>47</v>
      </c>
      <c r="L424" s="12">
        <v>85</v>
      </c>
      <c r="M424" s="13">
        <v>3995</v>
      </c>
      <c r="N424" s="11" t="s">
        <v>367</v>
      </c>
      <c r="O424" s="11" t="s">
        <v>19</v>
      </c>
      <c r="Q424"/>
    </row>
    <row r="425" spans="1:17" ht="15.6" x14ac:dyDescent="0.3">
      <c r="A425" s="15">
        <v>10148</v>
      </c>
      <c r="B425" s="14">
        <v>37875</v>
      </c>
      <c r="C425" s="14" t="s">
        <v>313</v>
      </c>
      <c r="D425" s="15" t="s">
        <v>141</v>
      </c>
      <c r="E425" s="15" t="s">
        <v>142</v>
      </c>
      <c r="F425" s="15" t="s">
        <v>106</v>
      </c>
      <c r="G425" s="15" t="s">
        <v>107</v>
      </c>
      <c r="H425" s="15" t="s">
        <v>32</v>
      </c>
      <c r="I425" s="15" t="s">
        <v>44</v>
      </c>
      <c r="J425" s="15" t="s">
        <v>252</v>
      </c>
      <c r="K425" s="15">
        <v>21</v>
      </c>
      <c r="L425" s="16">
        <v>55</v>
      </c>
      <c r="M425" s="17">
        <v>1155</v>
      </c>
      <c r="N425" s="15" t="s">
        <v>367</v>
      </c>
      <c r="O425" s="15" t="s">
        <v>19</v>
      </c>
      <c r="Q425"/>
    </row>
    <row r="426" spans="1:17" ht="15.6" x14ac:dyDescent="0.3">
      <c r="A426" s="11">
        <v>10148</v>
      </c>
      <c r="B426" s="10">
        <v>37875</v>
      </c>
      <c r="C426" s="10" t="s">
        <v>313</v>
      </c>
      <c r="D426" s="11" t="s">
        <v>141</v>
      </c>
      <c r="E426" s="11" t="s">
        <v>142</v>
      </c>
      <c r="F426" s="11" t="s">
        <v>106</v>
      </c>
      <c r="G426" s="11" t="s">
        <v>107</v>
      </c>
      <c r="H426" s="11" t="s">
        <v>32</v>
      </c>
      <c r="I426" s="11" t="s">
        <v>46</v>
      </c>
      <c r="J426" s="11" t="s">
        <v>254</v>
      </c>
      <c r="K426" s="11">
        <v>34</v>
      </c>
      <c r="L426" s="12">
        <v>90</v>
      </c>
      <c r="M426" s="13">
        <v>3060</v>
      </c>
      <c r="N426" s="11" t="s">
        <v>367</v>
      </c>
      <c r="O426" s="11" t="s">
        <v>19</v>
      </c>
      <c r="Q426"/>
    </row>
    <row r="427" spans="1:17" ht="15.6" x14ac:dyDescent="0.3">
      <c r="A427" s="15">
        <v>10148</v>
      </c>
      <c r="B427" s="14">
        <v>37875</v>
      </c>
      <c r="C427" s="14" t="s">
        <v>313</v>
      </c>
      <c r="D427" s="15" t="s">
        <v>141</v>
      </c>
      <c r="E427" s="15" t="s">
        <v>142</v>
      </c>
      <c r="F427" s="15" t="s">
        <v>106</v>
      </c>
      <c r="G427" s="15" t="s">
        <v>107</v>
      </c>
      <c r="H427" s="15" t="s">
        <v>32</v>
      </c>
      <c r="I427" s="15" t="s">
        <v>34</v>
      </c>
      <c r="J427" s="15" t="s">
        <v>246</v>
      </c>
      <c r="K427" s="15">
        <v>31</v>
      </c>
      <c r="L427" s="16">
        <v>80</v>
      </c>
      <c r="M427" s="17">
        <v>2480</v>
      </c>
      <c r="N427" s="15" t="s">
        <v>367</v>
      </c>
      <c r="O427" s="15" t="s">
        <v>19</v>
      </c>
      <c r="Q427"/>
    </row>
    <row r="428" spans="1:17" ht="15.6" x14ac:dyDescent="0.3">
      <c r="A428" s="11">
        <v>10148</v>
      </c>
      <c r="B428" s="10">
        <v>37875</v>
      </c>
      <c r="C428" s="10" t="s">
        <v>313</v>
      </c>
      <c r="D428" s="11" t="s">
        <v>141</v>
      </c>
      <c r="E428" s="11" t="s">
        <v>142</v>
      </c>
      <c r="F428" s="11" t="s">
        <v>106</v>
      </c>
      <c r="G428" s="11" t="s">
        <v>107</v>
      </c>
      <c r="H428" s="11" t="s">
        <v>32</v>
      </c>
      <c r="I428" s="11" t="s">
        <v>33</v>
      </c>
      <c r="J428" s="11" t="s">
        <v>245</v>
      </c>
      <c r="K428" s="11">
        <v>27</v>
      </c>
      <c r="L428" s="12">
        <v>85</v>
      </c>
      <c r="M428" s="13">
        <v>2295</v>
      </c>
      <c r="N428" s="11" t="s">
        <v>367</v>
      </c>
      <c r="O428" s="11" t="s">
        <v>19</v>
      </c>
      <c r="Q428"/>
    </row>
    <row r="429" spans="1:17" ht="15.6" x14ac:dyDescent="0.3">
      <c r="A429" s="15">
        <v>10149</v>
      </c>
      <c r="B429" s="14">
        <v>37876</v>
      </c>
      <c r="C429" s="14" t="s">
        <v>314</v>
      </c>
      <c r="D429" s="15" t="s">
        <v>143</v>
      </c>
      <c r="E429" s="15" t="s">
        <v>144</v>
      </c>
      <c r="F429" s="15" t="s">
        <v>15</v>
      </c>
      <c r="G429" s="15" t="s">
        <v>16</v>
      </c>
      <c r="H429" s="15" t="s">
        <v>17</v>
      </c>
      <c r="I429" s="15" t="s">
        <v>21</v>
      </c>
      <c r="J429" s="15" t="s">
        <v>243</v>
      </c>
      <c r="K429" s="15">
        <v>50</v>
      </c>
      <c r="L429" s="16">
        <v>110</v>
      </c>
      <c r="M429" s="17">
        <v>5500</v>
      </c>
      <c r="N429" s="15" t="s">
        <v>368</v>
      </c>
      <c r="O429" s="15" t="s">
        <v>19</v>
      </c>
      <c r="Q429"/>
    </row>
    <row r="430" spans="1:17" ht="15.6" x14ac:dyDescent="0.3">
      <c r="A430" s="11">
        <v>10149</v>
      </c>
      <c r="B430" s="10">
        <v>37876</v>
      </c>
      <c r="C430" s="10" t="s">
        <v>314</v>
      </c>
      <c r="D430" s="11" t="s">
        <v>143</v>
      </c>
      <c r="E430" s="11" t="s">
        <v>144</v>
      </c>
      <c r="F430" s="11" t="s">
        <v>15</v>
      </c>
      <c r="G430" s="11" t="s">
        <v>16</v>
      </c>
      <c r="H430" s="11" t="s">
        <v>17</v>
      </c>
      <c r="I430" s="11" t="s">
        <v>26</v>
      </c>
      <c r="J430" s="11" t="s">
        <v>244</v>
      </c>
      <c r="K430" s="11">
        <v>30</v>
      </c>
      <c r="L430" s="12">
        <v>60</v>
      </c>
      <c r="M430" s="13">
        <v>1800</v>
      </c>
      <c r="N430" s="11" t="s">
        <v>367</v>
      </c>
      <c r="O430" s="11" t="s">
        <v>19</v>
      </c>
      <c r="Q430"/>
    </row>
    <row r="431" spans="1:17" ht="15.6" x14ac:dyDescent="0.3">
      <c r="A431" s="15">
        <v>10149</v>
      </c>
      <c r="B431" s="14">
        <v>37876</v>
      </c>
      <c r="C431" s="14" t="s">
        <v>314</v>
      </c>
      <c r="D431" s="15" t="s">
        <v>143</v>
      </c>
      <c r="E431" s="15" t="s">
        <v>144</v>
      </c>
      <c r="F431" s="15" t="s">
        <v>15</v>
      </c>
      <c r="G431" s="15" t="s">
        <v>16</v>
      </c>
      <c r="H431" s="15" t="s">
        <v>17</v>
      </c>
      <c r="I431" s="15" t="s">
        <v>20</v>
      </c>
      <c r="J431" s="15" t="s">
        <v>242</v>
      </c>
      <c r="K431" s="15">
        <v>34</v>
      </c>
      <c r="L431" s="16">
        <v>48</v>
      </c>
      <c r="M431" s="17">
        <v>1632</v>
      </c>
      <c r="N431" s="15" t="s">
        <v>367</v>
      </c>
      <c r="O431" s="15" t="s">
        <v>19</v>
      </c>
      <c r="Q431"/>
    </row>
    <row r="432" spans="1:17" ht="15.6" x14ac:dyDescent="0.3">
      <c r="A432" s="11">
        <v>10149</v>
      </c>
      <c r="B432" s="10">
        <v>37876</v>
      </c>
      <c r="C432" s="10" t="s">
        <v>314</v>
      </c>
      <c r="D432" s="11" t="s">
        <v>143</v>
      </c>
      <c r="E432" s="11" t="s">
        <v>144</v>
      </c>
      <c r="F432" s="11" t="s">
        <v>15</v>
      </c>
      <c r="G432" s="11" t="s">
        <v>16</v>
      </c>
      <c r="H432" s="11" t="s">
        <v>17</v>
      </c>
      <c r="I432" s="11" t="s">
        <v>26</v>
      </c>
      <c r="J432" s="11" t="s">
        <v>244</v>
      </c>
      <c r="K432" s="11">
        <v>24</v>
      </c>
      <c r="L432" s="12">
        <v>60</v>
      </c>
      <c r="M432" s="13">
        <v>1440</v>
      </c>
      <c r="N432" s="11" t="s">
        <v>367</v>
      </c>
      <c r="O432" s="11" t="s">
        <v>19</v>
      </c>
      <c r="Q432"/>
    </row>
    <row r="433" spans="1:17" ht="15.6" x14ac:dyDescent="0.3">
      <c r="A433" s="15">
        <v>10149</v>
      </c>
      <c r="B433" s="14">
        <v>37876</v>
      </c>
      <c r="C433" s="14" t="s">
        <v>314</v>
      </c>
      <c r="D433" s="15" t="s">
        <v>143</v>
      </c>
      <c r="E433" s="15" t="s">
        <v>144</v>
      </c>
      <c r="F433" s="15" t="s">
        <v>15</v>
      </c>
      <c r="G433" s="15" t="s">
        <v>16</v>
      </c>
      <c r="H433" s="15" t="s">
        <v>17</v>
      </c>
      <c r="I433" s="15" t="s">
        <v>52</v>
      </c>
      <c r="J433" s="15" t="s">
        <v>256</v>
      </c>
      <c r="K433" s="15">
        <v>33</v>
      </c>
      <c r="L433" s="16">
        <v>45</v>
      </c>
      <c r="M433" s="17">
        <v>1485</v>
      </c>
      <c r="N433" s="15" t="s">
        <v>367</v>
      </c>
      <c r="O433" s="15" t="s">
        <v>19</v>
      </c>
      <c r="Q433"/>
    </row>
    <row r="434" spans="1:17" ht="15.6" x14ac:dyDescent="0.3">
      <c r="A434" s="11">
        <v>10149</v>
      </c>
      <c r="B434" s="10">
        <v>37876</v>
      </c>
      <c r="C434" s="10" t="s">
        <v>314</v>
      </c>
      <c r="D434" s="11" t="s">
        <v>143</v>
      </c>
      <c r="E434" s="11" t="s">
        <v>144</v>
      </c>
      <c r="F434" s="11" t="s">
        <v>15</v>
      </c>
      <c r="G434" s="11" t="s">
        <v>16</v>
      </c>
      <c r="H434" s="11" t="s">
        <v>17</v>
      </c>
      <c r="I434" s="11" t="s">
        <v>20</v>
      </c>
      <c r="J434" s="11" t="s">
        <v>242</v>
      </c>
      <c r="K434" s="11">
        <v>23</v>
      </c>
      <c r="L434" s="12">
        <v>48</v>
      </c>
      <c r="M434" s="13">
        <v>1104</v>
      </c>
      <c r="N434" s="11" t="s">
        <v>367</v>
      </c>
      <c r="O434" s="11" t="s">
        <v>19</v>
      </c>
      <c r="Q434"/>
    </row>
    <row r="435" spans="1:17" ht="15.6" x14ac:dyDescent="0.3">
      <c r="A435" s="15">
        <v>10149</v>
      </c>
      <c r="B435" s="14">
        <v>37876</v>
      </c>
      <c r="C435" s="14" t="s">
        <v>314</v>
      </c>
      <c r="D435" s="15" t="s">
        <v>143</v>
      </c>
      <c r="E435" s="15" t="s">
        <v>144</v>
      </c>
      <c r="F435" s="15" t="s">
        <v>15</v>
      </c>
      <c r="G435" s="15" t="s">
        <v>16</v>
      </c>
      <c r="H435" s="15" t="s">
        <v>17</v>
      </c>
      <c r="I435" s="15" t="s">
        <v>18</v>
      </c>
      <c r="J435" s="15" t="s">
        <v>241</v>
      </c>
      <c r="K435" s="15">
        <v>42</v>
      </c>
      <c r="L435" s="16">
        <v>30</v>
      </c>
      <c r="M435" s="17">
        <v>1260</v>
      </c>
      <c r="N435" s="15" t="s">
        <v>367</v>
      </c>
      <c r="O435" s="15" t="s">
        <v>19</v>
      </c>
      <c r="Q435"/>
    </row>
    <row r="436" spans="1:17" ht="15.6" x14ac:dyDescent="0.3">
      <c r="A436" s="11">
        <v>10149</v>
      </c>
      <c r="B436" s="10">
        <v>37876</v>
      </c>
      <c r="C436" s="10" t="s">
        <v>314</v>
      </c>
      <c r="D436" s="11" t="s">
        <v>143</v>
      </c>
      <c r="E436" s="11" t="s">
        <v>144</v>
      </c>
      <c r="F436" s="11" t="s">
        <v>15</v>
      </c>
      <c r="G436" s="11" t="s">
        <v>16</v>
      </c>
      <c r="H436" s="11" t="s">
        <v>17</v>
      </c>
      <c r="I436" s="11" t="s">
        <v>20</v>
      </c>
      <c r="J436" s="11" t="s">
        <v>242</v>
      </c>
      <c r="K436" s="11">
        <v>36</v>
      </c>
      <c r="L436" s="12">
        <v>48</v>
      </c>
      <c r="M436" s="13">
        <v>1728</v>
      </c>
      <c r="N436" s="11" t="s">
        <v>367</v>
      </c>
      <c r="O436" s="11" t="s">
        <v>19</v>
      </c>
      <c r="Q436"/>
    </row>
    <row r="437" spans="1:17" ht="15.6" x14ac:dyDescent="0.3">
      <c r="A437" s="15">
        <v>10149</v>
      </c>
      <c r="B437" s="14">
        <v>37876</v>
      </c>
      <c r="C437" s="14" t="s">
        <v>314</v>
      </c>
      <c r="D437" s="15" t="s">
        <v>143</v>
      </c>
      <c r="E437" s="15" t="s">
        <v>144</v>
      </c>
      <c r="F437" s="15" t="s">
        <v>15</v>
      </c>
      <c r="G437" s="15" t="s">
        <v>16</v>
      </c>
      <c r="H437" s="15" t="s">
        <v>17</v>
      </c>
      <c r="I437" s="15" t="s">
        <v>26</v>
      </c>
      <c r="J437" s="15" t="s">
        <v>244</v>
      </c>
      <c r="K437" s="15">
        <v>49</v>
      </c>
      <c r="L437" s="16">
        <v>60</v>
      </c>
      <c r="M437" s="17">
        <v>2940</v>
      </c>
      <c r="N437" s="15" t="s">
        <v>367</v>
      </c>
      <c r="O437" s="15" t="s">
        <v>19</v>
      </c>
      <c r="Q437"/>
    </row>
    <row r="438" spans="1:17" ht="15.6" x14ac:dyDescent="0.3">
      <c r="A438" s="11">
        <v>10149</v>
      </c>
      <c r="B438" s="10">
        <v>37876</v>
      </c>
      <c r="C438" s="10" t="s">
        <v>314</v>
      </c>
      <c r="D438" s="11" t="s">
        <v>143</v>
      </c>
      <c r="E438" s="11" t="s">
        <v>144</v>
      </c>
      <c r="F438" s="11" t="s">
        <v>15</v>
      </c>
      <c r="G438" s="11" t="s">
        <v>16</v>
      </c>
      <c r="H438" s="11" t="s">
        <v>17</v>
      </c>
      <c r="I438" s="11" t="s">
        <v>18</v>
      </c>
      <c r="J438" s="11" t="s">
        <v>241</v>
      </c>
      <c r="K438" s="11">
        <v>26</v>
      </c>
      <c r="L438" s="12">
        <v>30</v>
      </c>
      <c r="M438" s="13">
        <v>780</v>
      </c>
      <c r="N438" s="11" t="s">
        <v>367</v>
      </c>
      <c r="O438" s="11" t="s">
        <v>19</v>
      </c>
      <c r="Q438"/>
    </row>
    <row r="439" spans="1:17" ht="15.6" x14ac:dyDescent="0.3">
      <c r="A439" s="15">
        <v>10149</v>
      </c>
      <c r="B439" s="14">
        <v>37876</v>
      </c>
      <c r="C439" s="14" t="s">
        <v>314</v>
      </c>
      <c r="D439" s="15" t="s">
        <v>143</v>
      </c>
      <c r="E439" s="15" t="s">
        <v>144</v>
      </c>
      <c r="F439" s="15" t="s">
        <v>15</v>
      </c>
      <c r="G439" s="15" t="s">
        <v>16</v>
      </c>
      <c r="H439" s="15" t="s">
        <v>17</v>
      </c>
      <c r="I439" s="15" t="s">
        <v>20</v>
      </c>
      <c r="J439" s="15" t="s">
        <v>242</v>
      </c>
      <c r="K439" s="15">
        <v>20</v>
      </c>
      <c r="L439" s="16">
        <v>48</v>
      </c>
      <c r="M439" s="17">
        <v>960</v>
      </c>
      <c r="N439" s="15" t="s">
        <v>367</v>
      </c>
      <c r="O439" s="15" t="s">
        <v>19</v>
      </c>
      <c r="Q439"/>
    </row>
    <row r="440" spans="1:17" ht="15.6" x14ac:dyDescent="0.3">
      <c r="A440" s="11">
        <v>10150</v>
      </c>
      <c r="B440" s="10">
        <v>37883</v>
      </c>
      <c r="C440" s="10" t="s">
        <v>292</v>
      </c>
      <c r="D440" s="11" t="s">
        <v>97</v>
      </c>
      <c r="E440" s="11" t="s">
        <v>98</v>
      </c>
      <c r="F440" s="11" t="s">
        <v>98</v>
      </c>
      <c r="G440" s="11" t="s">
        <v>74</v>
      </c>
      <c r="H440" s="11" t="s">
        <v>32</v>
      </c>
      <c r="I440" s="11" t="s">
        <v>46</v>
      </c>
      <c r="J440" s="11" t="s">
        <v>254</v>
      </c>
      <c r="K440" s="11">
        <v>45</v>
      </c>
      <c r="L440" s="12">
        <v>90</v>
      </c>
      <c r="M440" s="13">
        <v>4050</v>
      </c>
      <c r="N440" s="11" t="s">
        <v>367</v>
      </c>
      <c r="O440" s="11" t="s">
        <v>19</v>
      </c>
      <c r="Q440"/>
    </row>
    <row r="441" spans="1:17" ht="15.6" x14ac:dyDescent="0.3">
      <c r="A441" s="15">
        <v>10150</v>
      </c>
      <c r="B441" s="14">
        <v>37883</v>
      </c>
      <c r="C441" s="14" t="s">
        <v>292</v>
      </c>
      <c r="D441" s="15" t="s">
        <v>97</v>
      </c>
      <c r="E441" s="15" t="s">
        <v>98</v>
      </c>
      <c r="F441" s="15" t="s">
        <v>98</v>
      </c>
      <c r="G441" s="15" t="s">
        <v>74</v>
      </c>
      <c r="H441" s="15" t="s">
        <v>32</v>
      </c>
      <c r="I441" s="15" t="s">
        <v>44</v>
      </c>
      <c r="J441" s="15" t="s">
        <v>252</v>
      </c>
      <c r="K441" s="15">
        <v>20</v>
      </c>
      <c r="L441" s="16">
        <v>55</v>
      </c>
      <c r="M441" s="17">
        <v>1100</v>
      </c>
      <c r="N441" s="15" t="s">
        <v>367</v>
      </c>
      <c r="O441" s="15" t="s">
        <v>19</v>
      </c>
      <c r="Q441"/>
    </row>
    <row r="442" spans="1:17" ht="15.6" x14ac:dyDescent="0.3">
      <c r="A442" s="11">
        <v>10150</v>
      </c>
      <c r="B442" s="10">
        <v>37883</v>
      </c>
      <c r="C442" s="10" t="s">
        <v>292</v>
      </c>
      <c r="D442" s="11" t="s">
        <v>97</v>
      </c>
      <c r="E442" s="11" t="s">
        <v>98</v>
      </c>
      <c r="F442" s="11" t="s">
        <v>98</v>
      </c>
      <c r="G442" s="11" t="s">
        <v>74</v>
      </c>
      <c r="H442" s="11" t="s">
        <v>35</v>
      </c>
      <c r="I442" s="11" t="s">
        <v>40</v>
      </c>
      <c r="J442" s="11" t="s">
        <v>251</v>
      </c>
      <c r="K442" s="11">
        <v>30</v>
      </c>
      <c r="L442" s="12">
        <v>25</v>
      </c>
      <c r="M442" s="13">
        <v>750</v>
      </c>
      <c r="N442" s="11" t="s">
        <v>367</v>
      </c>
      <c r="O442" s="11" t="s">
        <v>19</v>
      </c>
      <c r="Q442"/>
    </row>
    <row r="443" spans="1:17" ht="15.6" x14ac:dyDescent="0.3">
      <c r="A443" s="15">
        <v>10150</v>
      </c>
      <c r="B443" s="14">
        <v>37883</v>
      </c>
      <c r="C443" s="14" t="s">
        <v>292</v>
      </c>
      <c r="D443" s="15" t="s">
        <v>97</v>
      </c>
      <c r="E443" s="15" t="s">
        <v>98</v>
      </c>
      <c r="F443" s="15" t="s">
        <v>98</v>
      </c>
      <c r="G443" s="15" t="s">
        <v>74</v>
      </c>
      <c r="H443" s="15" t="s">
        <v>35</v>
      </c>
      <c r="I443" s="15" t="s">
        <v>38</v>
      </c>
      <c r="J443" s="15" t="s">
        <v>249</v>
      </c>
      <c r="K443" s="15">
        <v>34</v>
      </c>
      <c r="L443" s="16">
        <v>20</v>
      </c>
      <c r="M443" s="17">
        <v>680</v>
      </c>
      <c r="N443" s="15" t="s">
        <v>367</v>
      </c>
      <c r="O443" s="15" t="s">
        <v>19</v>
      </c>
      <c r="Q443"/>
    </row>
    <row r="444" spans="1:17" ht="15.6" x14ac:dyDescent="0.3">
      <c r="A444" s="11">
        <v>10150</v>
      </c>
      <c r="B444" s="10">
        <v>37883</v>
      </c>
      <c r="C444" s="10" t="s">
        <v>292</v>
      </c>
      <c r="D444" s="11" t="s">
        <v>97</v>
      </c>
      <c r="E444" s="11" t="s">
        <v>98</v>
      </c>
      <c r="F444" s="11" t="s">
        <v>98</v>
      </c>
      <c r="G444" s="11" t="s">
        <v>74</v>
      </c>
      <c r="H444" s="11" t="s">
        <v>17</v>
      </c>
      <c r="I444" s="11" t="s">
        <v>20</v>
      </c>
      <c r="J444" s="11" t="s">
        <v>242</v>
      </c>
      <c r="K444" s="11">
        <v>47</v>
      </c>
      <c r="L444" s="12">
        <v>48</v>
      </c>
      <c r="M444" s="13">
        <v>2256</v>
      </c>
      <c r="N444" s="11" t="s">
        <v>367</v>
      </c>
      <c r="O444" s="11" t="s">
        <v>19</v>
      </c>
      <c r="Q444"/>
    </row>
    <row r="445" spans="1:17" ht="15.6" x14ac:dyDescent="0.3">
      <c r="A445" s="15">
        <v>10150</v>
      </c>
      <c r="B445" s="14">
        <v>37883</v>
      </c>
      <c r="C445" s="14" t="s">
        <v>292</v>
      </c>
      <c r="D445" s="15" t="s">
        <v>97</v>
      </c>
      <c r="E445" s="15" t="s">
        <v>98</v>
      </c>
      <c r="F445" s="15" t="s">
        <v>98</v>
      </c>
      <c r="G445" s="15" t="s">
        <v>74</v>
      </c>
      <c r="H445" s="15" t="s">
        <v>17</v>
      </c>
      <c r="I445" s="15" t="s">
        <v>26</v>
      </c>
      <c r="J445" s="15" t="s">
        <v>244</v>
      </c>
      <c r="K445" s="15">
        <v>30</v>
      </c>
      <c r="L445" s="16">
        <v>60</v>
      </c>
      <c r="M445" s="17">
        <v>1800</v>
      </c>
      <c r="N445" s="15" t="s">
        <v>367</v>
      </c>
      <c r="O445" s="15" t="s">
        <v>19</v>
      </c>
      <c r="Q445"/>
    </row>
    <row r="446" spans="1:17" ht="15.6" x14ac:dyDescent="0.3">
      <c r="A446" s="11">
        <v>10150</v>
      </c>
      <c r="B446" s="10">
        <v>37883</v>
      </c>
      <c r="C446" s="10" t="s">
        <v>292</v>
      </c>
      <c r="D446" s="11" t="s">
        <v>97</v>
      </c>
      <c r="E446" s="11" t="s">
        <v>98</v>
      </c>
      <c r="F446" s="11" t="s">
        <v>98</v>
      </c>
      <c r="G446" s="11" t="s">
        <v>74</v>
      </c>
      <c r="H446" s="11" t="s">
        <v>17</v>
      </c>
      <c r="I446" s="11" t="s">
        <v>20</v>
      </c>
      <c r="J446" s="11" t="s">
        <v>242</v>
      </c>
      <c r="K446" s="11">
        <v>26</v>
      </c>
      <c r="L446" s="12">
        <v>48</v>
      </c>
      <c r="M446" s="13">
        <v>1248</v>
      </c>
      <c r="N446" s="11" t="s">
        <v>367</v>
      </c>
      <c r="O446" s="11" t="s">
        <v>19</v>
      </c>
      <c r="Q446"/>
    </row>
    <row r="447" spans="1:17" ht="15.6" x14ac:dyDescent="0.3">
      <c r="A447" s="15">
        <v>10150</v>
      </c>
      <c r="B447" s="14">
        <v>37883</v>
      </c>
      <c r="C447" s="14" t="s">
        <v>292</v>
      </c>
      <c r="D447" s="15" t="s">
        <v>97</v>
      </c>
      <c r="E447" s="15" t="s">
        <v>98</v>
      </c>
      <c r="F447" s="15" t="s">
        <v>98</v>
      </c>
      <c r="G447" s="15" t="s">
        <v>74</v>
      </c>
      <c r="H447" s="15" t="s">
        <v>35</v>
      </c>
      <c r="I447" s="15" t="s">
        <v>40</v>
      </c>
      <c r="J447" s="15" t="s">
        <v>251</v>
      </c>
      <c r="K447" s="15">
        <v>49</v>
      </c>
      <c r="L447" s="16">
        <v>25</v>
      </c>
      <c r="M447" s="17">
        <v>1225</v>
      </c>
      <c r="N447" s="15" t="s">
        <v>367</v>
      </c>
      <c r="O447" s="15" t="s">
        <v>19</v>
      </c>
      <c r="Q447"/>
    </row>
    <row r="448" spans="1:17" ht="15.6" x14ac:dyDescent="0.3">
      <c r="A448" s="11">
        <v>10150</v>
      </c>
      <c r="B448" s="10">
        <v>37883</v>
      </c>
      <c r="C448" s="10" t="s">
        <v>292</v>
      </c>
      <c r="D448" s="11" t="s">
        <v>97</v>
      </c>
      <c r="E448" s="11" t="s">
        <v>98</v>
      </c>
      <c r="F448" s="11" t="s">
        <v>98</v>
      </c>
      <c r="G448" s="11" t="s">
        <v>74</v>
      </c>
      <c r="H448" s="11" t="s">
        <v>17</v>
      </c>
      <c r="I448" s="11" t="s">
        <v>26</v>
      </c>
      <c r="J448" s="11" t="s">
        <v>244</v>
      </c>
      <c r="K448" s="11">
        <v>30</v>
      </c>
      <c r="L448" s="12">
        <v>60</v>
      </c>
      <c r="M448" s="13">
        <v>1800</v>
      </c>
      <c r="N448" s="11" t="s">
        <v>367</v>
      </c>
      <c r="O448" s="11" t="s">
        <v>19</v>
      </c>
      <c r="Q448"/>
    </row>
    <row r="449" spans="1:17" ht="15.6" x14ac:dyDescent="0.3">
      <c r="A449" s="15">
        <v>10150</v>
      </c>
      <c r="B449" s="14">
        <v>37883</v>
      </c>
      <c r="C449" s="14" t="s">
        <v>292</v>
      </c>
      <c r="D449" s="15" t="s">
        <v>97</v>
      </c>
      <c r="E449" s="15" t="s">
        <v>98</v>
      </c>
      <c r="F449" s="15" t="s">
        <v>98</v>
      </c>
      <c r="G449" s="15" t="s">
        <v>74</v>
      </c>
      <c r="H449" s="15" t="s">
        <v>35</v>
      </c>
      <c r="I449" s="15" t="s">
        <v>39</v>
      </c>
      <c r="J449" s="15" t="s">
        <v>250</v>
      </c>
      <c r="K449" s="15">
        <v>49</v>
      </c>
      <c r="L449" s="16">
        <v>20</v>
      </c>
      <c r="M449" s="17">
        <v>980</v>
      </c>
      <c r="N449" s="15" t="s">
        <v>367</v>
      </c>
      <c r="O449" s="15" t="s">
        <v>19</v>
      </c>
      <c r="Q449"/>
    </row>
    <row r="450" spans="1:17" ht="15.6" x14ac:dyDescent="0.3">
      <c r="A450" s="11">
        <v>10150</v>
      </c>
      <c r="B450" s="10">
        <v>37883</v>
      </c>
      <c r="C450" s="10" t="s">
        <v>292</v>
      </c>
      <c r="D450" s="11" t="s">
        <v>97</v>
      </c>
      <c r="E450" s="11" t="s">
        <v>98</v>
      </c>
      <c r="F450" s="11" t="s">
        <v>98</v>
      </c>
      <c r="G450" s="11" t="s">
        <v>74</v>
      </c>
      <c r="H450" s="11" t="s">
        <v>32</v>
      </c>
      <c r="I450" s="11" t="s">
        <v>33</v>
      </c>
      <c r="J450" s="11" t="s">
        <v>245</v>
      </c>
      <c r="K450" s="11">
        <v>20</v>
      </c>
      <c r="L450" s="12">
        <v>85</v>
      </c>
      <c r="M450" s="13">
        <v>1700</v>
      </c>
      <c r="N450" s="11" t="s">
        <v>367</v>
      </c>
      <c r="O450" s="11" t="s">
        <v>19</v>
      </c>
      <c r="Q450"/>
    </row>
    <row r="451" spans="1:17" ht="15.6" x14ac:dyDescent="0.3">
      <c r="A451" s="15">
        <v>10151</v>
      </c>
      <c r="B451" s="14">
        <v>37885</v>
      </c>
      <c r="C451" s="14" t="s">
        <v>315</v>
      </c>
      <c r="D451" s="15" t="s">
        <v>145</v>
      </c>
      <c r="E451" s="15" t="s">
        <v>146</v>
      </c>
      <c r="F451" s="15" t="s">
        <v>135</v>
      </c>
      <c r="G451" s="15" t="s">
        <v>25</v>
      </c>
      <c r="H451" s="15" t="s">
        <v>35</v>
      </c>
      <c r="I451" s="15" t="s">
        <v>39</v>
      </c>
      <c r="J451" s="15" t="s">
        <v>250</v>
      </c>
      <c r="K451" s="15">
        <v>24</v>
      </c>
      <c r="L451" s="16">
        <v>20</v>
      </c>
      <c r="M451" s="17">
        <v>480</v>
      </c>
      <c r="N451" s="15" t="s">
        <v>367</v>
      </c>
      <c r="O451" s="15" t="s">
        <v>19</v>
      </c>
      <c r="Q451"/>
    </row>
    <row r="452" spans="1:17" ht="15.6" x14ac:dyDescent="0.3">
      <c r="A452" s="11">
        <v>10151</v>
      </c>
      <c r="B452" s="10">
        <v>37885</v>
      </c>
      <c r="C452" s="10" t="s">
        <v>315</v>
      </c>
      <c r="D452" s="11" t="s">
        <v>145</v>
      </c>
      <c r="E452" s="11" t="s">
        <v>146</v>
      </c>
      <c r="F452" s="11" t="s">
        <v>135</v>
      </c>
      <c r="G452" s="11" t="s">
        <v>25</v>
      </c>
      <c r="H452" s="11" t="s">
        <v>32</v>
      </c>
      <c r="I452" s="11" t="s">
        <v>45</v>
      </c>
      <c r="J452" s="11" t="s">
        <v>253</v>
      </c>
      <c r="K452" s="11">
        <v>43</v>
      </c>
      <c r="L452" s="12">
        <v>35</v>
      </c>
      <c r="M452" s="13">
        <v>1505</v>
      </c>
      <c r="N452" s="11" t="s">
        <v>367</v>
      </c>
      <c r="O452" s="11" t="s">
        <v>19</v>
      </c>
      <c r="Q452"/>
    </row>
    <row r="453" spans="1:17" ht="15.6" x14ac:dyDescent="0.3">
      <c r="A453" s="15">
        <v>10151</v>
      </c>
      <c r="B453" s="14">
        <v>37885</v>
      </c>
      <c r="C453" s="14" t="s">
        <v>315</v>
      </c>
      <c r="D453" s="15" t="s">
        <v>145</v>
      </c>
      <c r="E453" s="15" t="s">
        <v>146</v>
      </c>
      <c r="F453" s="15" t="s">
        <v>135</v>
      </c>
      <c r="G453" s="15" t="s">
        <v>25</v>
      </c>
      <c r="H453" s="15" t="s">
        <v>35</v>
      </c>
      <c r="I453" s="15" t="s">
        <v>40</v>
      </c>
      <c r="J453" s="15" t="s">
        <v>251</v>
      </c>
      <c r="K453" s="15">
        <v>49</v>
      </c>
      <c r="L453" s="16">
        <v>25</v>
      </c>
      <c r="M453" s="17">
        <v>1225</v>
      </c>
      <c r="N453" s="15" t="s">
        <v>367</v>
      </c>
      <c r="O453" s="15" t="s">
        <v>19</v>
      </c>
      <c r="Q453"/>
    </row>
    <row r="454" spans="1:17" ht="15.6" x14ac:dyDescent="0.3">
      <c r="A454" s="11">
        <v>10151</v>
      </c>
      <c r="B454" s="10">
        <v>37885</v>
      </c>
      <c r="C454" s="10" t="s">
        <v>315</v>
      </c>
      <c r="D454" s="11" t="s">
        <v>145</v>
      </c>
      <c r="E454" s="11" t="s">
        <v>146</v>
      </c>
      <c r="F454" s="11" t="s">
        <v>135</v>
      </c>
      <c r="G454" s="11" t="s">
        <v>25</v>
      </c>
      <c r="H454" s="11" t="s">
        <v>35</v>
      </c>
      <c r="I454" s="11" t="s">
        <v>38</v>
      </c>
      <c r="J454" s="11" t="s">
        <v>249</v>
      </c>
      <c r="K454" s="11">
        <v>39</v>
      </c>
      <c r="L454" s="12">
        <v>20</v>
      </c>
      <c r="M454" s="13">
        <v>780</v>
      </c>
      <c r="N454" s="11" t="s">
        <v>367</v>
      </c>
      <c r="O454" s="11" t="s">
        <v>19</v>
      </c>
      <c r="Q454"/>
    </row>
    <row r="455" spans="1:17" ht="15.6" x14ac:dyDescent="0.3">
      <c r="A455" s="15">
        <v>10151</v>
      </c>
      <c r="B455" s="14">
        <v>37885</v>
      </c>
      <c r="C455" s="14" t="s">
        <v>315</v>
      </c>
      <c r="D455" s="15" t="s">
        <v>145</v>
      </c>
      <c r="E455" s="15" t="s">
        <v>146</v>
      </c>
      <c r="F455" s="15" t="s">
        <v>135</v>
      </c>
      <c r="G455" s="15" t="s">
        <v>25</v>
      </c>
      <c r="H455" s="15" t="s">
        <v>32</v>
      </c>
      <c r="I455" s="15" t="s">
        <v>34</v>
      </c>
      <c r="J455" s="15" t="s">
        <v>246</v>
      </c>
      <c r="K455" s="15">
        <v>21</v>
      </c>
      <c r="L455" s="16">
        <v>80</v>
      </c>
      <c r="M455" s="17">
        <v>1680</v>
      </c>
      <c r="N455" s="15" t="s">
        <v>367</v>
      </c>
      <c r="O455" s="15" t="s">
        <v>19</v>
      </c>
      <c r="Q455"/>
    </row>
    <row r="456" spans="1:17" ht="15.6" x14ac:dyDescent="0.3">
      <c r="A456" s="11">
        <v>10151</v>
      </c>
      <c r="B456" s="10">
        <v>37885</v>
      </c>
      <c r="C456" s="10" t="s">
        <v>315</v>
      </c>
      <c r="D456" s="11" t="s">
        <v>145</v>
      </c>
      <c r="E456" s="11" t="s">
        <v>146</v>
      </c>
      <c r="F456" s="11" t="s">
        <v>135</v>
      </c>
      <c r="G456" s="11" t="s">
        <v>25</v>
      </c>
      <c r="H456" s="11" t="s">
        <v>35</v>
      </c>
      <c r="I456" s="11" t="s">
        <v>39</v>
      </c>
      <c r="J456" s="11" t="s">
        <v>250</v>
      </c>
      <c r="K456" s="11">
        <v>42</v>
      </c>
      <c r="L456" s="12">
        <v>20</v>
      </c>
      <c r="M456" s="13">
        <v>840</v>
      </c>
      <c r="N456" s="11" t="s">
        <v>367</v>
      </c>
      <c r="O456" s="11" t="s">
        <v>19</v>
      </c>
      <c r="Q456"/>
    </row>
    <row r="457" spans="1:17" ht="15.6" x14ac:dyDescent="0.3">
      <c r="A457" s="15">
        <v>10151</v>
      </c>
      <c r="B457" s="14">
        <v>37885</v>
      </c>
      <c r="C457" s="14" t="s">
        <v>315</v>
      </c>
      <c r="D457" s="15" t="s">
        <v>145</v>
      </c>
      <c r="E457" s="15" t="s">
        <v>146</v>
      </c>
      <c r="F457" s="15" t="s">
        <v>135</v>
      </c>
      <c r="G457" s="15" t="s">
        <v>25</v>
      </c>
      <c r="H457" s="15" t="s">
        <v>32</v>
      </c>
      <c r="I457" s="15" t="s">
        <v>34</v>
      </c>
      <c r="J457" s="15" t="s">
        <v>246</v>
      </c>
      <c r="K457" s="15">
        <v>30</v>
      </c>
      <c r="L457" s="16">
        <v>80</v>
      </c>
      <c r="M457" s="17">
        <v>2400</v>
      </c>
      <c r="N457" s="15" t="s">
        <v>367</v>
      </c>
      <c r="O457" s="15" t="s">
        <v>19</v>
      </c>
      <c r="Q457"/>
    </row>
    <row r="458" spans="1:17" ht="15.6" x14ac:dyDescent="0.3">
      <c r="A458" s="11">
        <v>10151</v>
      </c>
      <c r="B458" s="10">
        <v>37885</v>
      </c>
      <c r="C458" s="10" t="s">
        <v>315</v>
      </c>
      <c r="D458" s="11" t="s">
        <v>145</v>
      </c>
      <c r="E458" s="11" t="s">
        <v>146</v>
      </c>
      <c r="F458" s="11" t="s">
        <v>135</v>
      </c>
      <c r="G458" s="11" t="s">
        <v>25</v>
      </c>
      <c r="H458" s="11" t="s">
        <v>35</v>
      </c>
      <c r="I458" s="11" t="s">
        <v>40</v>
      </c>
      <c r="J458" s="11" t="s">
        <v>251</v>
      </c>
      <c r="K458" s="11">
        <v>27</v>
      </c>
      <c r="L458" s="12">
        <v>25</v>
      </c>
      <c r="M458" s="13">
        <v>675</v>
      </c>
      <c r="N458" s="11" t="s">
        <v>367</v>
      </c>
      <c r="O458" s="11" t="s">
        <v>19</v>
      </c>
      <c r="Q458"/>
    </row>
    <row r="459" spans="1:17" ht="15.6" x14ac:dyDescent="0.3">
      <c r="A459" s="15">
        <v>10151</v>
      </c>
      <c r="B459" s="14">
        <v>37885</v>
      </c>
      <c r="C459" s="14" t="s">
        <v>315</v>
      </c>
      <c r="D459" s="15" t="s">
        <v>145</v>
      </c>
      <c r="E459" s="15" t="s">
        <v>146</v>
      </c>
      <c r="F459" s="15" t="s">
        <v>135</v>
      </c>
      <c r="G459" s="15" t="s">
        <v>25</v>
      </c>
      <c r="H459" s="15" t="s">
        <v>35</v>
      </c>
      <c r="I459" s="15" t="s">
        <v>37</v>
      </c>
      <c r="J459" s="15" t="s">
        <v>248</v>
      </c>
      <c r="K459" s="15">
        <v>41</v>
      </c>
      <c r="L459" s="16">
        <v>30</v>
      </c>
      <c r="M459" s="17">
        <v>1230</v>
      </c>
      <c r="N459" s="15" t="s">
        <v>367</v>
      </c>
      <c r="O459" s="15" t="s">
        <v>19</v>
      </c>
      <c r="Q459"/>
    </row>
    <row r="460" spans="1:17" ht="15.6" x14ac:dyDescent="0.3">
      <c r="A460" s="11">
        <v>10151</v>
      </c>
      <c r="B460" s="10">
        <v>37885</v>
      </c>
      <c r="C460" s="10" t="s">
        <v>315</v>
      </c>
      <c r="D460" s="11" t="s">
        <v>145</v>
      </c>
      <c r="E460" s="11" t="s">
        <v>146</v>
      </c>
      <c r="F460" s="11" t="s">
        <v>135</v>
      </c>
      <c r="G460" s="11" t="s">
        <v>25</v>
      </c>
      <c r="H460" s="11" t="s">
        <v>35</v>
      </c>
      <c r="I460" s="11" t="s">
        <v>39</v>
      </c>
      <c r="J460" s="11" t="s">
        <v>250</v>
      </c>
      <c r="K460" s="11">
        <v>26</v>
      </c>
      <c r="L460" s="12">
        <v>20</v>
      </c>
      <c r="M460" s="13">
        <v>520</v>
      </c>
      <c r="N460" s="11" t="s">
        <v>367</v>
      </c>
      <c r="O460" s="11" t="s">
        <v>19</v>
      </c>
      <c r="Q460"/>
    </row>
    <row r="461" spans="1:17" ht="15.6" x14ac:dyDescent="0.3">
      <c r="A461" s="15">
        <v>10152</v>
      </c>
      <c r="B461" s="14">
        <v>37889</v>
      </c>
      <c r="C461" s="14" t="s">
        <v>316</v>
      </c>
      <c r="D461" s="15" t="s">
        <v>147</v>
      </c>
      <c r="E461" s="15" t="s">
        <v>148</v>
      </c>
      <c r="F461" s="15" t="s">
        <v>106</v>
      </c>
      <c r="G461" s="15" t="s">
        <v>107</v>
      </c>
      <c r="H461" s="15" t="s">
        <v>32</v>
      </c>
      <c r="I461" s="15" t="s">
        <v>33</v>
      </c>
      <c r="J461" s="15" t="s">
        <v>245</v>
      </c>
      <c r="K461" s="15">
        <v>35</v>
      </c>
      <c r="L461" s="16">
        <v>85</v>
      </c>
      <c r="M461" s="17">
        <v>2975</v>
      </c>
      <c r="N461" s="15" t="s">
        <v>367</v>
      </c>
      <c r="O461" s="15" t="s">
        <v>19</v>
      </c>
      <c r="Q461"/>
    </row>
    <row r="462" spans="1:17" ht="15.6" x14ac:dyDescent="0.3">
      <c r="A462" s="11">
        <v>10152</v>
      </c>
      <c r="B462" s="10">
        <v>37889</v>
      </c>
      <c r="C462" s="10" t="s">
        <v>316</v>
      </c>
      <c r="D462" s="11" t="s">
        <v>147</v>
      </c>
      <c r="E462" s="11" t="s">
        <v>148</v>
      </c>
      <c r="F462" s="11" t="s">
        <v>106</v>
      </c>
      <c r="G462" s="11" t="s">
        <v>107</v>
      </c>
      <c r="H462" s="11" t="s">
        <v>32</v>
      </c>
      <c r="I462" s="11" t="s">
        <v>45</v>
      </c>
      <c r="J462" s="11" t="s">
        <v>253</v>
      </c>
      <c r="K462" s="11">
        <v>25</v>
      </c>
      <c r="L462" s="12">
        <v>35</v>
      </c>
      <c r="M462" s="13">
        <v>875</v>
      </c>
      <c r="N462" s="11" t="s">
        <v>367</v>
      </c>
      <c r="O462" s="11" t="s">
        <v>19</v>
      </c>
      <c r="Q462"/>
    </row>
    <row r="463" spans="1:17" ht="15.6" x14ac:dyDescent="0.3">
      <c r="A463" s="15">
        <v>10152</v>
      </c>
      <c r="B463" s="14">
        <v>37889</v>
      </c>
      <c r="C463" s="14" t="s">
        <v>316</v>
      </c>
      <c r="D463" s="15" t="s">
        <v>147</v>
      </c>
      <c r="E463" s="15" t="s">
        <v>148</v>
      </c>
      <c r="F463" s="15" t="s">
        <v>106</v>
      </c>
      <c r="G463" s="15" t="s">
        <v>107</v>
      </c>
      <c r="H463" s="15" t="s">
        <v>32</v>
      </c>
      <c r="I463" s="15" t="s">
        <v>46</v>
      </c>
      <c r="J463" s="15" t="s">
        <v>254</v>
      </c>
      <c r="K463" s="15">
        <v>23</v>
      </c>
      <c r="L463" s="16">
        <v>90</v>
      </c>
      <c r="M463" s="17">
        <v>2070</v>
      </c>
      <c r="N463" s="15" t="s">
        <v>367</v>
      </c>
      <c r="O463" s="15" t="s">
        <v>19</v>
      </c>
      <c r="Q463"/>
    </row>
    <row r="464" spans="1:17" ht="15.6" x14ac:dyDescent="0.3">
      <c r="A464" s="11">
        <v>10152</v>
      </c>
      <c r="B464" s="10">
        <v>37889</v>
      </c>
      <c r="C464" s="10" t="s">
        <v>316</v>
      </c>
      <c r="D464" s="11" t="s">
        <v>147</v>
      </c>
      <c r="E464" s="11" t="s">
        <v>148</v>
      </c>
      <c r="F464" s="11" t="s">
        <v>106</v>
      </c>
      <c r="G464" s="11" t="s">
        <v>107</v>
      </c>
      <c r="H464" s="11" t="s">
        <v>47</v>
      </c>
      <c r="I464" s="11" t="s">
        <v>53</v>
      </c>
      <c r="J464" s="11" t="s">
        <v>257</v>
      </c>
      <c r="K464" s="11">
        <v>33</v>
      </c>
      <c r="L464" s="12">
        <v>90</v>
      </c>
      <c r="M464" s="13">
        <v>2970</v>
      </c>
      <c r="N464" s="11" t="s">
        <v>367</v>
      </c>
      <c r="O464" s="11" t="s">
        <v>19</v>
      </c>
      <c r="Q464"/>
    </row>
    <row r="465" spans="1:17" ht="15.6" x14ac:dyDescent="0.3">
      <c r="A465" s="15">
        <v>10153</v>
      </c>
      <c r="B465" s="14">
        <v>37892</v>
      </c>
      <c r="C465" s="14" t="s">
        <v>279</v>
      </c>
      <c r="D465" s="15" t="s">
        <v>41</v>
      </c>
      <c r="E465" s="15" t="s">
        <v>42</v>
      </c>
      <c r="F465" s="15" t="s">
        <v>43</v>
      </c>
      <c r="G465" s="15" t="s">
        <v>25</v>
      </c>
      <c r="H465" s="15" t="s">
        <v>32</v>
      </c>
      <c r="I465" s="15" t="s">
        <v>45</v>
      </c>
      <c r="J465" s="15" t="s">
        <v>253</v>
      </c>
      <c r="K465" s="15">
        <v>20</v>
      </c>
      <c r="L465" s="16">
        <v>35</v>
      </c>
      <c r="M465" s="17">
        <v>700</v>
      </c>
      <c r="N465" s="15" t="s">
        <v>367</v>
      </c>
      <c r="O465" s="15" t="s">
        <v>19</v>
      </c>
      <c r="Q465"/>
    </row>
    <row r="466" spans="1:17" ht="15.6" x14ac:dyDescent="0.3">
      <c r="A466" s="11">
        <v>10153</v>
      </c>
      <c r="B466" s="10">
        <v>37892</v>
      </c>
      <c r="C466" s="10" t="s">
        <v>279</v>
      </c>
      <c r="D466" s="11" t="s">
        <v>41</v>
      </c>
      <c r="E466" s="11" t="s">
        <v>42</v>
      </c>
      <c r="F466" s="11" t="s">
        <v>43</v>
      </c>
      <c r="G466" s="11" t="s">
        <v>25</v>
      </c>
      <c r="H466" s="11" t="s">
        <v>32</v>
      </c>
      <c r="I466" s="11" t="s">
        <v>45</v>
      </c>
      <c r="J466" s="11" t="s">
        <v>253</v>
      </c>
      <c r="K466" s="11">
        <v>42</v>
      </c>
      <c r="L466" s="12">
        <v>35</v>
      </c>
      <c r="M466" s="13">
        <v>1470</v>
      </c>
      <c r="N466" s="11" t="s">
        <v>367</v>
      </c>
      <c r="O466" s="11" t="s">
        <v>19</v>
      </c>
      <c r="Q466"/>
    </row>
    <row r="467" spans="1:17" ht="15.6" x14ac:dyDescent="0.3">
      <c r="A467" s="15">
        <v>10153</v>
      </c>
      <c r="B467" s="14">
        <v>37892</v>
      </c>
      <c r="C467" s="14" t="s">
        <v>279</v>
      </c>
      <c r="D467" s="15" t="s">
        <v>41</v>
      </c>
      <c r="E467" s="15" t="s">
        <v>42</v>
      </c>
      <c r="F467" s="15" t="s">
        <v>43</v>
      </c>
      <c r="G467" s="15" t="s">
        <v>25</v>
      </c>
      <c r="H467" s="15" t="s">
        <v>32</v>
      </c>
      <c r="I467" s="15" t="s">
        <v>45</v>
      </c>
      <c r="J467" s="15" t="s">
        <v>253</v>
      </c>
      <c r="K467" s="15">
        <v>49</v>
      </c>
      <c r="L467" s="16">
        <v>35</v>
      </c>
      <c r="M467" s="17">
        <v>1715</v>
      </c>
      <c r="N467" s="15" t="s">
        <v>367</v>
      </c>
      <c r="O467" s="15" t="s">
        <v>19</v>
      </c>
      <c r="Q467"/>
    </row>
    <row r="468" spans="1:17" ht="15.6" x14ac:dyDescent="0.3">
      <c r="A468" s="11">
        <v>10153</v>
      </c>
      <c r="B468" s="10">
        <v>37892</v>
      </c>
      <c r="C468" s="10" t="s">
        <v>279</v>
      </c>
      <c r="D468" s="11" t="s">
        <v>41</v>
      </c>
      <c r="E468" s="11" t="s">
        <v>42</v>
      </c>
      <c r="F468" s="11" t="s">
        <v>43</v>
      </c>
      <c r="G468" s="11" t="s">
        <v>25</v>
      </c>
      <c r="H468" s="11" t="s">
        <v>17</v>
      </c>
      <c r="I468" s="11" t="s">
        <v>82</v>
      </c>
      <c r="J468" s="11" t="s">
        <v>270</v>
      </c>
      <c r="K468" s="11">
        <v>31</v>
      </c>
      <c r="L468" s="12">
        <v>75</v>
      </c>
      <c r="M468" s="13">
        <v>2325</v>
      </c>
      <c r="N468" s="11" t="s">
        <v>367</v>
      </c>
      <c r="O468" s="11" t="s">
        <v>19</v>
      </c>
      <c r="Q468"/>
    </row>
    <row r="469" spans="1:17" ht="15.6" x14ac:dyDescent="0.3">
      <c r="A469" s="15">
        <v>10153</v>
      </c>
      <c r="B469" s="14">
        <v>37892</v>
      </c>
      <c r="C469" s="14" t="s">
        <v>279</v>
      </c>
      <c r="D469" s="15" t="s">
        <v>41</v>
      </c>
      <c r="E469" s="15" t="s">
        <v>42</v>
      </c>
      <c r="F469" s="15" t="s">
        <v>43</v>
      </c>
      <c r="G469" s="15" t="s">
        <v>25</v>
      </c>
      <c r="H469" s="15" t="s">
        <v>47</v>
      </c>
      <c r="I469" s="15" t="s">
        <v>119</v>
      </c>
      <c r="J469" s="15" t="s">
        <v>272</v>
      </c>
      <c r="K469" s="15">
        <v>29</v>
      </c>
      <c r="L469" s="16">
        <v>60</v>
      </c>
      <c r="M469" s="17">
        <v>1740</v>
      </c>
      <c r="N469" s="15" t="s">
        <v>367</v>
      </c>
      <c r="O469" s="15" t="s">
        <v>19</v>
      </c>
      <c r="Q469"/>
    </row>
    <row r="470" spans="1:17" ht="15.6" x14ac:dyDescent="0.3">
      <c r="A470" s="11">
        <v>10153</v>
      </c>
      <c r="B470" s="10">
        <v>37892</v>
      </c>
      <c r="C470" s="10" t="s">
        <v>279</v>
      </c>
      <c r="D470" s="11" t="s">
        <v>41</v>
      </c>
      <c r="E470" s="11" t="s">
        <v>42</v>
      </c>
      <c r="F470" s="11" t="s">
        <v>43</v>
      </c>
      <c r="G470" s="11" t="s">
        <v>25</v>
      </c>
      <c r="H470" s="11" t="s">
        <v>17</v>
      </c>
      <c r="I470" s="11" t="s">
        <v>20</v>
      </c>
      <c r="J470" s="11" t="s">
        <v>242</v>
      </c>
      <c r="K470" s="11">
        <v>22</v>
      </c>
      <c r="L470" s="12">
        <v>48</v>
      </c>
      <c r="M470" s="13">
        <v>1056</v>
      </c>
      <c r="N470" s="11" t="s">
        <v>367</v>
      </c>
      <c r="O470" s="11" t="s">
        <v>19</v>
      </c>
      <c r="Q470"/>
    </row>
    <row r="471" spans="1:17" ht="15.6" x14ac:dyDescent="0.3">
      <c r="A471" s="15">
        <v>10153</v>
      </c>
      <c r="B471" s="14">
        <v>37892</v>
      </c>
      <c r="C471" s="14" t="s">
        <v>279</v>
      </c>
      <c r="D471" s="15" t="s">
        <v>41</v>
      </c>
      <c r="E471" s="15" t="s">
        <v>42</v>
      </c>
      <c r="F471" s="15" t="s">
        <v>43</v>
      </c>
      <c r="G471" s="15" t="s">
        <v>25</v>
      </c>
      <c r="H471" s="15" t="s">
        <v>54</v>
      </c>
      <c r="I471" s="15" t="s">
        <v>57</v>
      </c>
      <c r="J471" s="15" t="s">
        <v>260</v>
      </c>
      <c r="K471" s="15">
        <v>40</v>
      </c>
      <c r="L471" s="16">
        <v>220</v>
      </c>
      <c r="M471" s="17">
        <v>8800</v>
      </c>
      <c r="N471" s="15" t="s">
        <v>367</v>
      </c>
      <c r="O471" s="15" t="s">
        <v>19</v>
      </c>
      <c r="Q471"/>
    </row>
    <row r="472" spans="1:17" ht="15.6" x14ac:dyDescent="0.3">
      <c r="A472" s="11">
        <v>10153</v>
      </c>
      <c r="B472" s="10">
        <v>37892</v>
      </c>
      <c r="C472" s="10" t="s">
        <v>279</v>
      </c>
      <c r="D472" s="11" t="s">
        <v>41</v>
      </c>
      <c r="E472" s="11" t="s">
        <v>42</v>
      </c>
      <c r="F472" s="11" t="s">
        <v>43</v>
      </c>
      <c r="G472" s="11" t="s">
        <v>25</v>
      </c>
      <c r="H472" s="11" t="s">
        <v>47</v>
      </c>
      <c r="I472" s="11" t="s">
        <v>48</v>
      </c>
      <c r="J472" s="11" t="s">
        <v>255</v>
      </c>
      <c r="K472" s="11">
        <v>31</v>
      </c>
      <c r="L472" s="12">
        <v>70</v>
      </c>
      <c r="M472" s="13">
        <v>2170</v>
      </c>
      <c r="N472" s="11" t="s">
        <v>367</v>
      </c>
      <c r="O472" s="11" t="s">
        <v>19</v>
      </c>
      <c r="Q472"/>
    </row>
    <row r="473" spans="1:17" ht="15.6" x14ac:dyDescent="0.3">
      <c r="A473" s="15">
        <v>10153</v>
      </c>
      <c r="B473" s="14">
        <v>37892</v>
      </c>
      <c r="C473" s="14" t="s">
        <v>279</v>
      </c>
      <c r="D473" s="15" t="s">
        <v>41</v>
      </c>
      <c r="E473" s="15" t="s">
        <v>42</v>
      </c>
      <c r="F473" s="15" t="s">
        <v>43</v>
      </c>
      <c r="G473" s="15" t="s">
        <v>25</v>
      </c>
      <c r="H473" s="15" t="s">
        <v>54</v>
      </c>
      <c r="I473" s="15" t="s">
        <v>57</v>
      </c>
      <c r="J473" s="15" t="s">
        <v>260</v>
      </c>
      <c r="K473" s="15">
        <v>43</v>
      </c>
      <c r="L473" s="16">
        <v>220</v>
      </c>
      <c r="M473" s="17">
        <v>9460</v>
      </c>
      <c r="N473" s="15" t="s">
        <v>367</v>
      </c>
      <c r="O473" s="15" t="s">
        <v>19</v>
      </c>
      <c r="Q473"/>
    </row>
    <row r="474" spans="1:17" ht="15.6" x14ac:dyDescent="0.3">
      <c r="A474" s="11">
        <v>10153</v>
      </c>
      <c r="B474" s="10">
        <v>37892</v>
      </c>
      <c r="C474" s="10" t="s">
        <v>279</v>
      </c>
      <c r="D474" s="11" t="s">
        <v>41</v>
      </c>
      <c r="E474" s="11" t="s">
        <v>42</v>
      </c>
      <c r="F474" s="11" t="s">
        <v>43</v>
      </c>
      <c r="G474" s="11" t="s">
        <v>25</v>
      </c>
      <c r="H474" s="11" t="s">
        <v>54</v>
      </c>
      <c r="I474" s="11" t="s">
        <v>56</v>
      </c>
      <c r="J474" s="11" t="s">
        <v>259</v>
      </c>
      <c r="K474" s="11">
        <v>31</v>
      </c>
      <c r="L474" s="12">
        <v>250</v>
      </c>
      <c r="M474" s="13">
        <v>7750</v>
      </c>
      <c r="N474" s="11" t="s">
        <v>367</v>
      </c>
      <c r="O474" s="11" t="s">
        <v>19</v>
      </c>
      <c r="Q474"/>
    </row>
    <row r="475" spans="1:17" ht="15.6" x14ac:dyDescent="0.3">
      <c r="A475" s="15">
        <v>10153</v>
      </c>
      <c r="B475" s="14">
        <v>37892</v>
      </c>
      <c r="C475" s="14" t="s">
        <v>279</v>
      </c>
      <c r="D475" s="15" t="s">
        <v>41</v>
      </c>
      <c r="E475" s="15" t="s">
        <v>42</v>
      </c>
      <c r="F475" s="15" t="s">
        <v>43</v>
      </c>
      <c r="G475" s="15" t="s">
        <v>25</v>
      </c>
      <c r="H475" s="15" t="s">
        <v>54</v>
      </c>
      <c r="I475" s="15" t="s">
        <v>57</v>
      </c>
      <c r="J475" s="15" t="s">
        <v>260</v>
      </c>
      <c r="K475" s="15">
        <v>50</v>
      </c>
      <c r="L475" s="16">
        <v>220</v>
      </c>
      <c r="M475" s="17">
        <v>11000</v>
      </c>
      <c r="N475" s="15" t="s">
        <v>368</v>
      </c>
      <c r="O475" s="15" t="s">
        <v>19</v>
      </c>
      <c r="Q475"/>
    </row>
    <row r="476" spans="1:17" ht="15.6" x14ac:dyDescent="0.3">
      <c r="A476" s="11">
        <v>10153</v>
      </c>
      <c r="B476" s="10">
        <v>37892</v>
      </c>
      <c r="C476" s="10" t="s">
        <v>279</v>
      </c>
      <c r="D476" s="11" t="s">
        <v>41</v>
      </c>
      <c r="E476" s="11" t="s">
        <v>42</v>
      </c>
      <c r="F476" s="11" t="s">
        <v>43</v>
      </c>
      <c r="G476" s="11" t="s">
        <v>25</v>
      </c>
      <c r="H476" s="11" t="s">
        <v>54</v>
      </c>
      <c r="I476" s="11" t="s">
        <v>57</v>
      </c>
      <c r="J476" s="11" t="s">
        <v>260</v>
      </c>
      <c r="K476" s="11">
        <v>20</v>
      </c>
      <c r="L476" s="12">
        <v>220</v>
      </c>
      <c r="M476" s="13">
        <v>4400</v>
      </c>
      <c r="N476" s="11" t="s">
        <v>367</v>
      </c>
      <c r="O476" s="11" t="s">
        <v>19</v>
      </c>
      <c r="Q476"/>
    </row>
    <row r="477" spans="1:17" ht="15.6" x14ac:dyDescent="0.3">
      <c r="A477" s="15">
        <v>10153</v>
      </c>
      <c r="B477" s="14">
        <v>37892</v>
      </c>
      <c r="C477" s="14" t="s">
        <v>279</v>
      </c>
      <c r="D477" s="15" t="s">
        <v>41</v>
      </c>
      <c r="E477" s="15" t="s">
        <v>42</v>
      </c>
      <c r="F477" s="15" t="s">
        <v>43</v>
      </c>
      <c r="G477" s="15" t="s">
        <v>25</v>
      </c>
      <c r="H477" s="15" t="s">
        <v>54</v>
      </c>
      <c r="I477" s="15" t="s">
        <v>57</v>
      </c>
      <c r="J477" s="15" t="s">
        <v>260</v>
      </c>
      <c r="K477" s="15">
        <v>50</v>
      </c>
      <c r="L477" s="16">
        <v>220</v>
      </c>
      <c r="M477" s="17">
        <v>11000</v>
      </c>
      <c r="N477" s="15" t="s">
        <v>368</v>
      </c>
      <c r="O477" s="15" t="s">
        <v>19</v>
      </c>
      <c r="Q477"/>
    </row>
    <row r="478" spans="1:17" ht="15.6" x14ac:dyDescent="0.3">
      <c r="A478" s="11">
        <v>10154</v>
      </c>
      <c r="B478" s="10">
        <v>37896</v>
      </c>
      <c r="C478" s="10" t="s">
        <v>317</v>
      </c>
      <c r="D478" s="11" t="s">
        <v>149</v>
      </c>
      <c r="E478" s="11" t="s">
        <v>123</v>
      </c>
      <c r="F478" s="11" t="s">
        <v>15</v>
      </c>
      <c r="G478" s="11" t="s">
        <v>16</v>
      </c>
      <c r="H478" s="11" t="s">
        <v>17</v>
      </c>
      <c r="I478" s="11" t="s">
        <v>20</v>
      </c>
      <c r="J478" s="11" t="s">
        <v>242</v>
      </c>
      <c r="K478" s="11">
        <v>31</v>
      </c>
      <c r="L478" s="12">
        <v>48</v>
      </c>
      <c r="M478" s="13">
        <v>1488</v>
      </c>
      <c r="N478" s="11" t="s">
        <v>367</v>
      </c>
      <c r="O478" s="11" t="s">
        <v>19</v>
      </c>
      <c r="Q478"/>
    </row>
    <row r="479" spans="1:17" ht="15.6" x14ac:dyDescent="0.3">
      <c r="A479" s="15">
        <v>10154</v>
      </c>
      <c r="B479" s="14">
        <v>37896</v>
      </c>
      <c r="C479" s="14" t="s">
        <v>317</v>
      </c>
      <c r="D479" s="15" t="s">
        <v>149</v>
      </c>
      <c r="E479" s="15" t="s">
        <v>123</v>
      </c>
      <c r="F479" s="15" t="s">
        <v>15</v>
      </c>
      <c r="G479" s="15" t="s">
        <v>16</v>
      </c>
      <c r="H479" s="15" t="s">
        <v>54</v>
      </c>
      <c r="I479" s="15" t="s">
        <v>56</v>
      </c>
      <c r="J479" s="15" t="s">
        <v>259</v>
      </c>
      <c r="K479" s="15">
        <v>36</v>
      </c>
      <c r="L479" s="16">
        <v>250</v>
      </c>
      <c r="M479" s="17">
        <v>9000</v>
      </c>
      <c r="N479" s="15" t="s">
        <v>367</v>
      </c>
      <c r="O479" s="15" t="s">
        <v>19</v>
      </c>
      <c r="Q479"/>
    </row>
    <row r="480" spans="1:17" ht="15.6" x14ac:dyDescent="0.3">
      <c r="A480" s="11">
        <v>10300</v>
      </c>
      <c r="B480" s="10">
        <v>37898</v>
      </c>
      <c r="C480" s="10" t="s">
        <v>276</v>
      </c>
      <c r="D480" s="11" t="s">
        <v>22</v>
      </c>
      <c r="E480" s="11" t="s">
        <v>23</v>
      </c>
      <c r="F480" s="11" t="s">
        <v>24</v>
      </c>
      <c r="G480" s="11" t="s">
        <v>25</v>
      </c>
      <c r="H480" s="11" t="s">
        <v>32</v>
      </c>
      <c r="I480" s="11" t="s">
        <v>46</v>
      </c>
      <c r="J480" s="11" t="s">
        <v>254</v>
      </c>
      <c r="K480" s="11">
        <v>33</v>
      </c>
      <c r="L480" s="12">
        <v>90</v>
      </c>
      <c r="M480" s="13">
        <v>2970</v>
      </c>
      <c r="N480" s="11" t="s">
        <v>367</v>
      </c>
      <c r="O480" s="11" t="s">
        <v>19</v>
      </c>
      <c r="Q480"/>
    </row>
    <row r="481" spans="1:17" ht="15.6" x14ac:dyDescent="0.3">
      <c r="A481" s="15">
        <v>10300</v>
      </c>
      <c r="B481" s="14">
        <v>37898</v>
      </c>
      <c r="C481" s="14" t="s">
        <v>276</v>
      </c>
      <c r="D481" s="15" t="s">
        <v>22</v>
      </c>
      <c r="E481" s="15" t="s">
        <v>23</v>
      </c>
      <c r="F481" s="15" t="s">
        <v>24</v>
      </c>
      <c r="G481" s="15" t="s">
        <v>25</v>
      </c>
      <c r="H481" s="15" t="s">
        <v>32</v>
      </c>
      <c r="I481" s="15" t="s">
        <v>33</v>
      </c>
      <c r="J481" s="15" t="s">
        <v>245</v>
      </c>
      <c r="K481" s="15">
        <v>29</v>
      </c>
      <c r="L481" s="16">
        <v>85</v>
      </c>
      <c r="M481" s="17">
        <v>2465</v>
      </c>
      <c r="N481" s="15" t="s">
        <v>367</v>
      </c>
      <c r="O481" s="15" t="s">
        <v>19</v>
      </c>
      <c r="Q481"/>
    </row>
    <row r="482" spans="1:17" ht="15.6" x14ac:dyDescent="0.3">
      <c r="A482" s="11">
        <v>10300</v>
      </c>
      <c r="B482" s="10">
        <v>37898</v>
      </c>
      <c r="C482" s="10" t="s">
        <v>276</v>
      </c>
      <c r="D482" s="11" t="s">
        <v>22</v>
      </c>
      <c r="E482" s="11" t="s">
        <v>23</v>
      </c>
      <c r="F482" s="11" t="s">
        <v>24</v>
      </c>
      <c r="G482" s="11" t="s">
        <v>25</v>
      </c>
      <c r="H482" s="11" t="s">
        <v>32</v>
      </c>
      <c r="I482" s="11" t="s">
        <v>34</v>
      </c>
      <c r="J482" s="11" t="s">
        <v>246</v>
      </c>
      <c r="K482" s="11">
        <v>22</v>
      </c>
      <c r="L482" s="12">
        <v>80</v>
      </c>
      <c r="M482" s="13">
        <v>1760</v>
      </c>
      <c r="N482" s="11" t="s">
        <v>367</v>
      </c>
      <c r="O482" s="11" t="s">
        <v>19</v>
      </c>
      <c r="Q482"/>
    </row>
    <row r="483" spans="1:17" ht="15.6" x14ac:dyDescent="0.3">
      <c r="A483" s="15">
        <v>10300</v>
      </c>
      <c r="B483" s="14">
        <v>37898</v>
      </c>
      <c r="C483" s="14" t="s">
        <v>276</v>
      </c>
      <c r="D483" s="15" t="s">
        <v>22</v>
      </c>
      <c r="E483" s="15" t="s">
        <v>23</v>
      </c>
      <c r="F483" s="15" t="s">
        <v>24</v>
      </c>
      <c r="G483" s="15" t="s">
        <v>25</v>
      </c>
      <c r="H483" s="15" t="s">
        <v>32</v>
      </c>
      <c r="I483" s="15" t="s">
        <v>34</v>
      </c>
      <c r="J483" s="15" t="s">
        <v>246</v>
      </c>
      <c r="K483" s="15">
        <v>23</v>
      </c>
      <c r="L483" s="16">
        <v>80</v>
      </c>
      <c r="M483" s="17">
        <v>1840</v>
      </c>
      <c r="N483" s="15" t="s">
        <v>367</v>
      </c>
      <c r="O483" s="15" t="s">
        <v>19</v>
      </c>
      <c r="Q483"/>
    </row>
    <row r="484" spans="1:17" ht="15.6" x14ac:dyDescent="0.3">
      <c r="A484" s="11">
        <v>10300</v>
      </c>
      <c r="B484" s="10">
        <v>37898</v>
      </c>
      <c r="C484" s="10" t="s">
        <v>276</v>
      </c>
      <c r="D484" s="11" t="s">
        <v>22</v>
      </c>
      <c r="E484" s="11" t="s">
        <v>23</v>
      </c>
      <c r="F484" s="11" t="s">
        <v>24</v>
      </c>
      <c r="G484" s="11" t="s">
        <v>25</v>
      </c>
      <c r="H484" s="11" t="s">
        <v>32</v>
      </c>
      <c r="I484" s="11" t="s">
        <v>34</v>
      </c>
      <c r="J484" s="11" t="s">
        <v>246</v>
      </c>
      <c r="K484" s="11">
        <v>41</v>
      </c>
      <c r="L484" s="12">
        <v>80</v>
      </c>
      <c r="M484" s="13">
        <v>3280</v>
      </c>
      <c r="N484" s="11" t="s">
        <v>367</v>
      </c>
      <c r="O484" s="11" t="s">
        <v>19</v>
      </c>
      <c r="Q484"/>
    </row>
    <row r="485" spans="1:17" ht="15.6" x14ac:dyDescent="0.3">
      <c r="A485" s="15">
        <v>10300</v>
      </c>
      <c r="B485" s="14">
        <v>37898</v>
      </c>
      <c r="C485" s="14" t="s">
        <v>276</v>
      </c>
      <c r="D485" s="15" t="s">
        <v>22</v>
      </c>
      <c r="E485" s="15" t="s">
        <v>23</v>
      </c>
      <c r="F485" s="15" t="s">
        <v>24</v>
      </c>
      <c r="G485" s="15" t="s">
        <v>25</v>
      </c>
      <c r="H485" s="15" t="s">
        <v>32</v>
      </c>
      <c r="I485" s="15" t="s">
        <v>33</v>
      </c>
      <c r="J485" s="15" t="s">
        <v>245</v>
      </c>
      <c r="K485" s="15">
        <v>49</v>
      </c>
      <c r="L485" s="16">
        <v>85</v>
      </c>
      <c r="M485" s="17">
        <v>4165</v>
      </c>
      <c r="N485" s="15" t="s">
        <v>367</v>
      </c>
      <c r="O485" s="15" t="s">
        <v>19</v>
      </c>
      <c r="Q485"/>
    </row>
    <row r="486" spans="1:17" ht="15.6" x14ac:dyDescent="0.3">
      <c r="A486" s="11">
        <v>10300</v>
      </c>
      <c r="B486" s="10">
        <v>37898</v>
      </c>
      <c r="C486" s="10" t="s">
        <v>276</v>
      </c>
      <c r="D486" s="11" t="s">
        <v>22</v>
      </c>
      <c r="E486" s="11" t="s">
        <v>23</v>
      </c>
      <c r="F486" s="11" t="s">
        <v>24</v>
      </c>
      <c r="G486" s="11" t="s">
        <v>25</v>
      </c>
      <c r="H486" s="11" t="s">
        <v>32</v>
      </c>
      <c r="I486" s="11" t="s">
        <v>44</v>
      </c>
      <c r="J486" s="11" t="s">
        <v>252</v>
      </c>
      <c r="K486" s="11">
        <v>23</v>
      </c>
      <c r="L486" s="12">
        <v>55</v>
      </c>
      <c r="M486" s="13">
        <v>1265</v>
      </c>
      <c r="N486" s="11" t="s">
        <v>367</v>
      </c>
      <c r="O486" s="11" t="s">
        <v>19</v>
      </c>
      <c r="Q486"/>
    </row>
    <row r="487" spans="1:17" ht="15.6" x14ac:dyDescent="0.3">
      <c r="A487" s="15">
        <v>10300</v>
      </c>
      <c r="B487" s="14">
        <v>37898</v>
      </c>
      <c r="C487" s="14" t="s">
        <v>276</v>
      </c>
      <c r="D487" s="15" t="s">
        <v>22</v>
      </c>
      <c r="E487" s="15" t="s">
        <v>23</v>
      </c>
      <c r="F487" s="15" t="s">
        <v>24</v>
      </c>
      <c r="G487" s="15" t="s">
        <v>25</v>
      </c>
      <c r="H487" s="15" t="s">
        <v>32</v>
      </c>
      <c r="I487" s="15" t="s">
        <v>34</v>
      </c>
      <c r="J487" s="15" t="s">
        <v>246</v>
      </c>
      <c r="K487" s="15">
        <v>31</v>
      </c>
      <c r="L487" s="16">
        <v>80</v>
      </c>
      <c r="M487" s="17">
        <v>2480</v>
      </c>
      <c r="N487" s="15" t="s">
        <v>367</v>
      </c>
      <c r="O487" s="15" t="s">
        <v>19</v>
      </c>
      <c r="Q487"/>
    </row>
    <row r="488" spans="1:17" ht="15.6" x14ac:dyDescent="0.3">
      <c r="A488" s="11">
        <v>10301</v>
      </c>
      <c r="B488" s="10">
        <v>37899</v>
      </c>
      <c r="C488" s="10" t="s">
        <v>318</v>
      </c>
      <c r="D488" s="11" t="s">
        <v>150</v>
      </c>
      <c r="E488" s="11" t="s">
        <v>151</v>
      </c>
      <c r="F488" s="11" t="s">
        <v>31</v>
      </c>
      <c r="G488" s="11" t="s">
        <v>25</v>
      </c>
      <c r="H488" s="11" t="s">
        <v>32</v>
      </c>
      <c r="I488" s="11" t="s">
        <v>44</v>
      </c>
      <c r="J488" s="11" t="s">
        <v>252</v>
      </c>
      <c r="K488" s="11">
        <v>37</v>
      </c>
      <c r="L488" s="12">
        <v>55</v>
      </c>
      <c r="M488" s="13">
        <v>2035</v>
      </c>
      <c r="N488" s="11" t="s">
        <v>367</v>
      </c>
      <c r="O488" s="11" t="s">
        <v>19</v>
      </c>
      <c r="Q488"/>
    </row>
    <row r="489" spans="1:17" ht="15.6" x14ac:dyDescent="0.3">
      <c r="A489" s="15">
        <v>10301</v>
      </c>
      <c r="B489" s="14">
        <v>37899</v>
      </c>
      <c r="C489" s="14" t="s">
        <v>318</v>
      </c>
      <c r="D489" s="15" t="s">
        <v>150</v>
      </c>
      <c r="E489" s="15" t="s">
        <v>151</v>
      </c>
      <c r="F489" s="15" t="s">
        <v>31</v>
      </c>
      <c r="G489" s="15" t="s">
        <v>25</v>
      </c>
      <c r="H489" s="15" t="s">
        <v>32</v>
      </c>
      <c r="I489" s="15" t="s">
        <v>34</v>
      </c>
      <c r="J489" s="15" t="s">
        <v>246</v>
      </c>
      <c r="K489" s="15">
        <v>32</v>
      </c>
      <c r="L489" s="16">
        <v>80</v>
      </c>
      <c r="M489" s="17">
        <v>2560</v>
      </c>
      <c r="N489" s="15" t="s">
        <v>367</v>
      </c>
      <c r="O489" s="15" t="s">
        <v>19</v>
      </c>
      <c r="Q489"/>
    </row>
    <row r="490" spans="1:17" ht="15.6" x14ac:dyDescent="0.3">
      <c r="A490" s="11">
        <v>10301</v>
      </c>
      <c r="B490" s="10">
        <v>37899</v>
      </c>
      <c r="C490" s="10" t="s">
        <v>318</v>
      </c>
      <c r="D490" s="11" t="s">
        <v>150</v>
      </c>
      <c r="E490" s="11" t="s">
        <v>151</v>
      </c>
      <c r="F490" s="11" t="s">
        <v>31</v>
      </c>
      <c r="G490" s="11" t="s">
        <v>25</v>
      </c>
      <c r="H490" s="11" t="s">
        <v>32</v>
      </c>
      <c r="I490" s="11" t="s">
        <v>44</v>
      </c>
      <c r="J490" s="11" t="s">
        <v>252</v>
      </c>
      <c r="K490" s="11">
        <v>47</v>
      </c>
      <c r="L490" s="12">
        <v>55</v>
      </c>
      <c r="M490" s="13">
        <v>2585</v>
      </c>
      <c r="N490" s="11" t="s">
        <v>367</v>
      </c>
      <c r="O490" s="11" t="s">
        <v>19</v>
      </c>
      <c r="Q490"/>
    </row>
    <row r="491" spans="1:17" ht="15.6" x14ac:dyDescent="0.3">
      <c r="A491" s="15">
        <v>10301</v>
      </c>
      <c r="B491" s="14">
        <v>37899</v>
      </c>
      <c r="C491" s="14" t="s">
        <v>318</v>
      </c>
      <c r="D491" s="15" t="s">
        <v>150</v>
      </c>
      <c r="E491" s="15" t="s">
        <v>151</v>
      </c>
      <c r="F491" s="15" t="s">
        <v>31</v>
      </c>
      <c r="G491" s="15" t="s">
        <v>25</v>
      </c>
      <c r="H491" s="15" t="s">
        <v>32</v>
      </c>
      <c r="I491" s="15" t="s">
        <v>45</v>
      </c>
      <c r="J491" s="15" t="s">
        <v>253</v>
      </c>
      <c r="K491" s="15">
        <v>22</v>
      </c>
      <c r="L491" s="16">
        <v>35</v>
      </c>
      <c r="M491" s="17">
        <v>770</v>
      </c>
      <c r="N491" s="15" t="s">
        <v>367</v>
      </c>
      <c r="O491" s="15" t="s">
        <v>19</v>
      </c>
      <c r="Q491"/>
    </row>
    <row r="492" spans="1:17" ht="15.6" x14ac:dyDescent="0.3">
      <c r="A492" s="11">
        <v>10301</v>
      </c>
      <c r="B492" s="10">
        <v>37899</v>
      </c>
      <c r="C492" s="10" t="s">
        <v>318</v>
      </c>
      <c r="D492" s="11" t="s">
        <v>150</v>
      </c>
      <c r="E492" s="11" t="s">
        <v>151</v>
      </c>
      <c r="F492" s="11" t="s">
        <v>31</v>
      </c>
      <c r="G492" s="11" t="s">
        <v>25</v>
      </c>
      <c r="H492" s="11" t="s">
        <v>32</v>
      </c>
      <c r="I492" s="11" t="s">
        <v>34</v>
      </c>
      <c r="J492" s="11" t="s">
        <v>246</v>
      </c>
      <c r="K492" s="11">
        <v>23</v>
      </c>
      <c r="L492" s="12">
        <v>80</v>
      </c>
      <c r="M492" s="13">
        <v>1840</v>
      </c>
      <c r="N492" s="11" t="s">
        <v>367</v>
      </c>
      <c r="O492" s="11" t="s">
        <v>19</v>
      </c>
      <c r="Q492"/>
    </row>
    <row r="493" spans="1:17" ht="15.6" x14ac:dyDescent="0.3">
      <c r="A493" s="15">
        <v>10301</v>
      </c>
      <c r="B493" s="14">
        <v>37899</v>
      </c>
      <c r="C493" s="14" t="s">
        <v>318</v>
      </c>
      <c r="D493" s="15" t="s">
        <v>150</v>
      </c>
      <c r="E493" s="15" t="s">
        <v>151</v>
      </c>
      <c r="F493" s="15" t="s">
        <v>31</v>
      </c>
      <c r="G493" s="15" t="s">
        <v>25</v>
      </c>
      <c r="H493" s="15" t="s">
        <v>32</v>
      </c>
      <c r="I493" s="15" t="s">
        <v>33</v>
      </c>
      <c r="J493" s="15" t="s">
        <v>245</v>
      </c>
      <c r="K493" s="15">
        <v>39</v>
      </c>
      <c r="L493" s="16">
        <v>85</v>
      </c>
      <c r="M493" s="17">
        <v>3315</v>
      </c>
      <c r="N493" s="15" t="s">
        <v>367</v>
      </c>
      <c r="O493" s="15" t="s">
        <v>19</v>
      </c>
      <c r="Q493"/>
    </row>
    <row r="494" spans="1:17" ht="15.6" x14ac:dyDescent="0.3">
      <c r="A494" s="11">
        <v>10301</v>
      </c>
      <c r="B494" s="10">
        <v>37899</v>
      </c>
      <c r="C494" s="10" t="s">
        <v>318</v>
      </c>
      <c r="D494" s="11" t="s">
        <v>150</v>
      </c>
      <c r="E494" s="11" t="s">
        <v>151</v>
      </c>
      <c r="F494" s="11" t="s">
        <v>31</v>
      </c>
      <c r="G494" s="11" t="s">
        <v>25</v>
      </c>
      <c r="H494" s="11" t="s">
        <v>32</v>
      </c>
      <c r="I494" s="11" t="s">
        <v>46</v>
      </c>
      <c r="J494" s="11" t="s">
        <v>254</v>
      </c>
      <c r="K494" s="11">
        <v>27</v>
      </c>
      <c r="L494" s="12">
        <v>90</v>
      </c>
      <c r="M494" s="13">
        <v>2430</v>
      </c>
      <c r="N494" s="11" t="s">
        <v>367</v>
      </c>
      <c r="O494" s="11" t="s">
        <v>19</v>
      </c>
      <c r="Q494"/>
    </row>
    <row r="495" spans="1:17" ht="15.6" x14ac:dyDescent="0.3">
      <c r="A495" s="15">
        <v>10301</v>
      </c>
      <c r="B495" s="14">
        <v>37899</v>
      </c>
      <c r="C495" s="14" t="s">
        <v>318</v>
      </c>
      <c r="D495" s="15" t="s">
        <v>150</v>
      </c>
      <c r="E495" s="15" t="s">
        <v>151</v>
      </c>
      <c r="F495" s="15" t="s">
        <v>31</v>
      </c>
      <c r="G495" s="15" t="s">
        <v>25</v>
      </c>
      <c r="H495" s="15" t="s">
        <v>32</v>
      </c>
      <c r="I495" s="15" t="s">
        <v>34</v>
      </c>
      <c r="J495" s="15" t="s">
        <v>246</v>
      </c>
      <c r="K495" s="15">
        <v>22</v>
      </c>
      <c r="L495" s="16">
        <v>80</v>
      </c>
      <c r="M495" s="17">
        <v>1760</v>
      </c>
      <c r="N495" s="15" t="s">
        <v>367</v>
      </c>
      <c r="O495" s="15" t="s">
        <v>19</v>
      </c>
      <c r="Q495"/>
    </row>
    <row r="496" spans="1:17" ht="15.6" x14ac:dyDescent="0.3">
      <c r="A496" s="11">
        <v>10301</v>
      </c>
      <c r="B496" s="10">
        <v>37899</v>
      </c>
      <c r="C496" s="10" t="s">
        <v>318</v>
      </c>
      <c r="D496" s="11" t="s">
        <v>150</v>
      </c>
      <c r="E496" s="11" t="s">
        <v>151</v>
      </c>
      <c r="F496" s="11" t="s">
        <v>31</v>
      </c>
      <c r="G496" s="11" t="s">
        <v>25</v>
      </c>
      <c r="H496" s="11" t="s">
        <v>32</v>
      </c>
      <c r="I496" s="11" t="s">
        <v>33</v>
      </c>
      <c r="J496" s="11" t="s">
        <v>245</v>
      </c>
      <c r="K496" s="11">
        <v>48</v>
      </c>
      <c r="L496" s="12">
        <v>85</v>
      </c>
      <c r="M496" s="13">
        <v>4080</v>
      </c>
      <c r="N496" s="11" t="s">
        <v>367</v>
      </c>
      <c r="O496" s="11" t="s">
        <v>19</v>
      </c>
      <c r="Q496"/>
    </row>
    <row r="497" spans="1:17" ht="15.6" x14ac:dyDescent="0.3">
      <c r="A497" s="15">
        <v>10301</v>
      </c>
      <c r="B497" s="14">
        <v>37899</v>
      </c>
      <c r="C497" s="14" t="s">
        <v>318</v>
      </c>
      <c r="D497" s="15" t="s">
        <v>150</v>
      </c>
      <c r="E497" s="15" t="s">
        <v>151</v>
      </c>
      <c r="F497" s="15" t="s">
        <v>31</v>
      </c>
      <c r="G497" s="15" t="s">
        <v>25</v>
      </c>
      <c r="H497" s="15" t="s">
        <v>32</v>
      </c>
      <c r="I497" s="15" t="s">
        <v>45</v>
      </c>
      <c r="J497" s="15" t="s">
        <v>253</v>
      </c>
      <c r="K497" s="15">
        <v>22</v>
      </c>
      <c r="L497" s="16">
        <v>35</v>
      </c>
      <c r="M497" s="17">
        <v>770</v>
      </c>
      <c r="N497" s="15" t="s">
        <v>367</v>
      </c>
      <c r="O497" s="15" t="s">
        <v>19</v>
      </c>
      <c r="Q497"/>
    </row>
    <row r="498" spans="1:17" ht="15.6" x14ac:dyDescent="0.3">
      <c r="A498" s="11">
        <v>10301</v>
      </c>
      <c r="B498" s="10">
        <v>37899</v>
      </c>
      <c r="C498" s="10" t="s">
        <v>318</v>
      </c>
      <c r="D498" s="11" t="s">
        <v>150</v>
      </c>
      <c r="E498" s="11" t="s">
        <v>151</v>
      </c>
      <c r="F498" s="11" t="s">
        <v>31</v>
      </c>
      <c r="G498" s="11" t="s">
        <v>25</v>
      </c>
      <c r="H498" s="11" t="s">
        <v>32</v>
      </c>
      <c r="I498" s="11" t="s">
        <v>44</v>
      </c>
      <c r="J498" s="11" t="s">
        <v>252</v>
      </c>
      <c r="K498" s="11">
        <v>50</v>
      </c>
      <c r="L498" s="12">
        <v>55</v>
      </c>
      <c r="M498" s="13">
        <v>2750</v>
      </c>
      <c r="N498" s="11" t="s">
        <v>368</v>
      </c>
      <c r="O498" s="11" t="s">
        <v>19</v>
      </c>
      <c r="Q498"/>
    </row>
    <row r="499" spans="1:17" ht="15.6" x14ac:dyDescent="0.3">
      <c r="A499" s="15">
        <v>10155</v>
      </c>
      <c r="B499" s="14">
        <v>37900</v>
      </c>
      <c r="C499" s="14" t="s">
        <v>319</v>
      </c>
      <c r="D499" s="15" t="s">
        <v>152</v>
      </c>
      <c r="E499" s="15" t="s">
        <v>153</v>
      </c>
      <c r="F499" s="15" t="s">
        <v>135</v>
      </c>
      <c r="G499" s="15" t="s">
        <v>25</v>
      </c>
      <c r="H499" s="15" t="s">
        <v>32</v>
      </c>
      <c r="I499" s="15" t="s">
        <v>33</v>
      </c>
      <c r="J499" s="15" t="s">
        <v>245</v>
      </c>
      <c r="K499" s="15">
        <v>32</v>
      </c>
      <c r="L499" s="16">
        <v>85</v>
      </c>
      <c r="M499" s="17">
        <v>2720</v>
      </c>
      <c r="N499" s="15" t="s">
        <v>367</v>
      </c>
      <c r="O499" s="15" t="s">
        <v>19</v>
      </c>
      <c r="Q499"/>
    </row>
    <row r="500" spans="1:17" ht="15.6" x14ac:dyDescent="0.3">
      <c r="A500" s="11">
        <v>10155</v>
      </c>
      <c r="B500" s="10">
        <v>37900</v>
      </c>
      <c r="C500" s="10" t="s">
        <v>319</v>
      </c>
      <c r="D500" s="11" t="s">
        <v>152</v>
      </c>
      <c r="E500" s="11" t="s">
        <v>153</v>
      </c>
      <c r="F500" s="11" t="s">
        <v>135</v>
      </c>
      <c r="G500" s="11" t="s">
        <v>25</v>
      </c>
      <c r="H500" s="11" t="s">
        <v>61</v>
      </c>
      <c r="I500" s="11" t="s">
        <v>66</v>
      </c>
      <c r="J500" s="11" t="s">
        <v>265</v>
      </c>
      <c r="K500" s="11">
        <v>38</v>
      </c>
      <c r="L500" s="12">
        <v>35</v>
      </c>
      <c r="M500" s="13">
        <v>1330</v>
      </c>
      <c r="N500" s="11" t="s">
        <v>367</v>
      </c>
      <c r="O500" s="11" t="s">
        <v>19</v>
      </c>
      <c r="Q500"/>
    </row>
    <row r="501" spans="1:17" ht="15.6" x14ac:dyDescent="0.3">
      <c r="A501" s="15">
        <v>10302</v>
      </c>
      <c r="B501" s="14">
        <v>37900</v>
      </c>
      <c r="C501" s="14" t="s">
        <v>320</v>
      </c>
      <c r="D501" s="15" t="s">
        <v>154</v>
      </c>
      <c r="E501" s="15" t="s">
        <v>155</v>
      </c>
      <c r="F501" s="15" t="s">
        <v>81</v>
      </c>
      <c r="G501" s="15" t="s">
        <v>25</v>
      </c>
      <c r="H501" s="15" t="s">
        <v>17</v>
      </c>
      <c r="I501" s="15" t="s">
        <v>20</v>
      </c>
      <c r="J501" s="15" t="s">
        <v>242</v>
      </c>
      <c r="K501" s="15">
        <v>43</v>
      </c>
      <c r="L501" s="16">
        <v>48</v>
      </c>
      <c r="M501" s="17">
        <v>2064</v>
      </c>
      <c r="N501" s="15" t="s">
        <v>367</v>
      </c>
      <c r="O501" s="15" t="s">
        <v>19</v>
      </c>
      <c r="Q501"/>
    </row>
    <row r="502" spans="1:17" ht="15.6" x14ac:dyDescent="0.3">
      <c r="A502" s="11">
        <v>10155</v>
      </c>
      <c r="B502" s="10">
        <v>37900</v>
      </c>
      <c r="C502" s="10" t="s">
        <v>319</v>
      </c>
      <c r="D502" s="11" t="s">
        <v>152</v>
      </c>
      <c r="E502" s="11" t="s">
        <v>153</v>
      </c>
      <c r="F502" s="11" t="s">
        <v>135</v>
      </c>
      <c r="G502" s="11" t="s">
        <v>25</v>
      </c>
      <c r="H502" s="11" t="s">
        <v>54</v>
      </c>
      <c r="I502" s="11" t="s">
        <v>55</v>
      </c>
      <c r="J502" s="11" t="s">
        <v>258</v>
      </c>
      <c r="K502" s="11">
        <v>44</v>
      </c>
      <c r="L502" s="12">
        <v>180</v>
      </c>
      <c r="M502" s="13">
        <v>7920</v>
      </c>
      <c r="N502" s="11" t="s">
        <v>367</v>
      </c>
      <c r="O502" s="11" t="s">
        <v>19</v>
      </c>
      <c r="Q502"/>
    </row>
    <row r="503" spans="1:17" ht="15.6" x14ac:dyDescent="0.3">
      <c r="A503" s="15">
        <v>10155</v>
      </c>
      <c r="B503" s="14">
        <v>37900</v>
      </c>
      <c r="C503" s="14" t="s">
        <v>319</v>
      </c>
      <c r="D503" s="15" t="s">
        <v>152</v>
      </c>
      <c r="E503" s="15" t="s">
        <v>153</v>
      </c>
      <c r="F503" s="15" t="s">
        <v>135</v>
      </c>
      <c r="G503" s="15" t="s">
        <v>25</v>
      </c>
      <c r="H503" s="15" t="s">
        <v>17</v>
      </c>
      <c r="I503" s="15" t="s">
        <v>20</v>
      </c>
      <c r="J503" s="15" t="s">
        <v>242</v>
      </c>
      <c r="K503" s="15">
        <v>29</v>
      </c>
      <c r="L503" s="16">
        <v>48</v>
      </c>
      <c r="M503" s="17">
        <v>1392</v>
      </c>
      <c r="N503" s="15" t="s">
        <v>367</v>
      </c>
      <c r="O503" s="15" t="s">
        <v>19</v>
      </c>
      <c r="Q503"/>
    </row>
    <row r="504" spans="1:17" ht="15.6" x14ac:dyDescent="0.3">
      <c r="A504" s="11">
        <v>10302</v>
      </c>
      <c r="B504" s="10">
        <v>37900</v>
      </c>
      <c r="C504" s="10" t="s">
        <v>320</v>
      </c>
      <c r="D504" s="11" t="s">
        <v>154</v>
      </c>
      <c r="E504" s="11" t="s">
        <v>155</v>
      </c>
      <c r="F504" s="11" t="s">
        <v>81</v>
      </c>
      <c r="G504" s="11" t="s">
        <v>25</v>
      </c>
      <c r="H504" s="11" t="s">
        <v>17</v>
      </c>
      <c r="I504" s="11" t="s">
        <v>82</v>
      </c>
      <c r="J504" s="11" t="s">
        <v>270</v>
      </c>
      <c r="K504" s="11">
        <v>38</v>
      </c>
      <c r="L504" s="12">
        <v>75</v>
      </c>
      <c r="M504" s="13">
        <v>2850</v>
      </c>
      <c r="N504" s="11" t="s">
        <v>367</v>
      </c>
      <c r="O504" s="11" t="s">
        <v>19</v>
      </c>
      <c r="Q504"/>
    </row>
    <row r="505" spans="1:17" ht="15.6" x14ac:dyDescent="0.3">
      <c r="A505" s="15">
        <v>10302</v>
      </c>
      <c r="B505" s="14">
        <v>37900</v>
      </c>
      <c r="C505" s="14" t="s">
        <v>320</v>
      </c>
      <c r="D505" s="15" t="s">
        <v>154</v>
      </c>
      <c r="E505" s="15" t="s">
        <v>155</v>
      </c>
      <c r="F505" s="15" t="s">
        <v>81</v>
      </c>
      <c r="G505" s="15" t="s">
        <v>25</v>
      </c>
      <c r="H505" s="15" t="s">
        <v>32</v>
      </c>
      <c r="I505" s="15" t="s">
        <v>33</v>
      </c>
      <c r="J505" s="15" t="s">
        <v>245</v>
      </c>
      <c r="K505" s="15">
        <v>23</v>
      </c>
      <c r="L505" s="16">
        <v>85</v>
      </c>
      <c r="M505" s="17">
        <v>1955</v>
      </c>
      <c r="N505" s="15" t="s">
        <v>367</v>
      </c>
      <c r="O505" s="15" t="s">
        <v>19</v>
      </c>
      <c r="Q505"/>
    </row>
    <row r="506" spans="1:17" ht="15.6" x14ac:dyDescent="0.3">
      <c r="A506" s="11">
        <v>10302</v>
      </c>
      <c r="B506" s="10">
        <v>37900</v>
      </c>
      <c r="C506" s="10" t="s">
        <v>320</v>
      </c>
      <c r="D506" s="11" t="s">
        <v>154</v>
      </c>
      <c r="E506" s="11" t="s">
        <v>155</v>
      </c>
      <c r="F506" s="11" t="s">
        <v>81</v>
      </c>
      <c r="G506" s="11" t="s">
        <v>25</v>
      </c>
      <c r="H506" s="11" t="s">
        <v>32</v>
      </c>
      <c r="I506" s="11" t="s">
        <v>46</v>
      </c>
      <c r="J506" s="11" t="s">
        <v>254</v>
      </c>
      <c r="K506" s="11">
        <v>49</v>
      </c>
      <c r="L506" s="12">
        <v>90</v>
      </c>
      <c r="M506" s="13">
        <v>4410</v>
      </c>
      <c r="N506" s="11" t="s">
        <v>367</v>
      </c>
      <c r="O506" s="11" t="s">
        <v>19</v>
      </c>
      <c r="Q506"/>
    </row>
    <row r="507" spans="1:17" ht="15.6" x14ac:dyDescent="0.3">
      <c r="A507" s="15">
        <v>10155</v>
      </c>
      <c r="B507" s="14">
        <v>37900</v>
      </c>
      <c r="C507" s="14" t="s">
        <v>319</v>
      </c>
      <c r="D507" s="15" t="s">
        <v>152</v>
      </c>
      <c r="E507" s="15" t="s">
        <v>153</v>
      </c>
      <c r="F507" s="15" t="s">
        <v>135</v>
      </c>
      <c r="G507" s="15" t="s">
        <v>25</v>
      </c>
      <c r="H507" s="15" t="s">
        <v>61</v>
      </c>
      <c r="I507" s="15" t="s">
        <v>62</v>
      </c>
      <c r="J507" s="15" t="s">
        <v>261</v>
      </c>
      <c r="K507" s="15">
        <v>23</v>
      </c>
      <c r="L507" s="16">
        <v>15</v>
      </c>
      <c r="M507" s="17">
        <v>345</v>
      </c>
      <c r="N507" s="15" t="s">
        <v>367</v>
      </c>
      <c r="O507" s="15" t="s">
        <v>19</v>
      </c>
      <c r="Q507"/>
    </row>
    <row r="508" spans="1:17" ht="15.6" x14ac:dyDescent="0.3">
      <c r="A508" s="11">
        <v>10302</v>
      </c>
      <c r="B508" s="10">
        <v>37900</v>
      </c>
      <c r="C508" s="10" t="s">
        <v>320</v>
      </c>
      <c r="D508" s="11" t="s">
        <v>154</v>
      </c>
      <c r="E508" s="11" t="s">
        <v>155</v>
      </c>
      <c r="F508" s="11" t="s">
        <v>81</v>
      </c>
      <c r="G508" s="11" t="s">
        <v>25</v>
      </c>
      <c r="H508" s="11" t="s">
        <v>32</v>
      </c>
      <c r="I508" s="11" t="s">
        <v>46</v>
      </c>
      <c r="J508" s="11" t="s">
        <v>254</v>
      </c>
      <c r="K508" s="11">
        <v>45</v>
      </c>
      <c r="L508" s="12">
        <v>90</v>
      </c>
      <c r="M508" s="13">
        <v>4050</v>
      </c>
      <c r="N508" s="11" t="s">
        <v>367</v>
      </c>
      <c r="O508" s="11" t="s">
        <v>19</v>
      </c>
      <c r="Q508"/>
    </row>
    <row r="509" spans="1:17" ht="15.6" x14ac:dyDescent="0.3">
      <c r="A509" s="15">
        <v>10302</v>
      </c>
      <c r="B509" s="14">
        <v>37900</v>
      </c>
      <c r="C509" s="14" t="s">
        <v>320</v>
      </c>
      <c r="D509" s="15" t="s">
        <v>154</v>
      </c>
      <c r="E509" s="15" t="s">
        <v>155</v>
      </c>
      <c r="F509" s="15" t="s">
        <v>81</v>
      </c>
      <c r="G509" s="15" t="s">
        <v>25</v>
      </c>
      <c r="H509" s="15" t="s">
        <v>32</v>
      </c>
      <c r="I509" s="15" t="s">
        <v>46</v>
      </c>
      <c r="J509" s="15" t="s">
        <v>254</v>
      </c>
      <c r="K509" s="15">
        <v>48</v>
      </c>
      <c r="L509" s="16">
        <v>90</v>
      </c>
      <c r="M509" s="17">
        <v>4320</v>
      </c>
      <c r="N509" s="15" t="s">
        <v>367</v>
      </c>
      <c r="O509" s="15" t="s">
        <v>19</v>
      </c>
      <c r="Q509"/>
    </row>
    <row r="510" spans="1:17" ht="15.6" x14ac:dyDescent="0.3">
      <c r="A510" s="11">
        <v>10155</v>
      </c>
      <c r="B510" s="10">
        <v>37900</v>
      </c>
      <c r="C510" s="10" t="s">
        <v>319</v>
      </c>
      <c r="D510" s="11" t="s">
        <v>152</v>
      </c>
      <c r="E510" s="11" t="s">
        <v>153</v>
      </c>
      <c r="F510" s="11" t="s">
        <v>135</v>
      </c>
      <c r="G510" s="11" t="s">
        <v>25</v>
      </c>
      <c r="H510" s="11" t="s">
        <v>17</v>
      </c>
      <c r="I510" s="11" t="s">
        <v>20</v>
      </c>
      <c r="J510" s="11" t="s">
        <v>242</v>
      </c>
      <c r="K510" s="11">
        <v>34</v>
      </c>
      <c r="L510" s="12">
        <v>48</v>
      </c>
      <c r="M510" s="13">
        <v>1632</v>
      </c>
      <c r="N510" s="11" t="s">
        <v>367</v>
      </c>
      <c r="O510" s="11" t="s">
        <v>19</v>
      </c>
      <c r="Q510"/>
    </row>
    <row r="511" spans="1:17" ht="15.6" x14ac:dyDescent="0.3">
      <c r="A511" s="15">
        <v>10155</v>
      </c>
      <c r="B511" s="14">
        <v>37900</v>
      </c>
      <c r="C511" s="14" t="s">
        <v>319</v>
      </c>
      <c r="D511" s="15" t="s">
        <v>152</v>
      </c>
      <c r="E511" s="15" t="s">
        <v>153</v>
      </c>
      <c r="F511" s="15" t="s">
        <v>135</v>
      </c>
      <c r="G511" s="15" t="s">
        <v>25</v>
      </c>
      <c r="H511" s="15" t="s">
        <v>17</v>
      </c>
      <c r="I511" s="15" t="s">
        <v>26</v>
      </c>
      <c r="J511" s="15" t="s">
        <v>244</v>
      </c>
      <c r="K511" s="15">
        <v>37</v>
      </c>
      <c r="L511" s="16">
        <v>60</v>
      </c>
      <c r="M511" s="17">
        <v>2220</v>
      </c>
      <c r="N511" s="15" t="s">
        <v>367</v>
      </c>
      <c r="O511" s="15" t="s">
        <v>19</v>
      </c>
      <c r="Q511"/>
    </row>
    <row r="512" spans="1:17" ht="15.6" x14ac:dyDescent="0.3">
      <c r="A512" s="11">
        <v>10155</v>
      </c>
      <c r="B512" s="10">
        <v>37900</v>
      </c>
      <c r="C512" s="10" t="s">
        <v>319</v>
      </c>
      <c r="D512" s="11" t="s">
        <v>152</v>
      </c>
      <c r="E512" s="11" t="s">
        <v>153</v>
      </c>
      <c r="F512" s="11" t="s">
        <v>135</v>
      </c>
      <c r="G512" s="11" t="s">
        <v>25</v>
      </c>
      <c r="H512" s="11" t="s">
        <v>61</v>
      </c>
      <c r="I512" s="11" t="s">
        <v>66</v>
      </c>
      <c r="J512" s="11" t="s">
        <v>265</v>
      </c>
      <c r="K512" s="11">
        <v>44</v>
      </c>
      <c r="L512" s="12">
        <v>35</v>
      </c>
      <c r="M512" s="13">
        <v>1540</v>
      </c>
      <c r="N512" s="11" t="s">
        <v>367</v>
      </c>
      <c r="O512" s="11" t="s">
        <v>19</v>
      </c>
      <c r="Q512"/>
    </row>
    <row r="513" spans="1:17" ht="15.6" x14ac:dyDescent="0.3">
      <c r="A513" s="15">
        <v>10155</v>
      </c>
      <c r="B513" s="14">
        <v>37900</v>
      </c>
      <c r="C513" s="14" t="s">
        <v>319</v>
      </c>
      <c r="D513" s="15" t="s">
        <v>152</v>
      </c>
      <c r="E513" s="15" t="s">
        <v>153</v>
      </c>
      <c r="F513" s="15" t="s">
        <v>135</v>
      </c>
      <c r="G513" s="15" t="s">
        <v>25</v>
      </c>
      <c r="H513" s="15" t="s">
        <v>54</v>
      </c>
      <c r="I513" s="15" t="s">
        <v>56</v>
      </c>
      <c r="J513" s="15" t="s">
        <v>259</v>
      </c>
      <c r="K513" s="15">
        <v>32</v>
      </c>
      <c r="L513" s="16">
        <v>250</v>
      </c>
      <c r="M513" s="17">
        <v>8000</v>
      </c>
      <c r="N513" s="15" t="s">
        <v>367</v>
      </c>
      <c r="O513" s="15" t="s">
        <v>19</v>
      </c>
      <c r="Q513"/>
    </row>
    <row r="514" spans="1:17" ht="15.6" x14ac:dyDescent="0.3">
      <c r="A514" s="11">
        <v>10155</v>
      </c>
      <c r="B514" s="10">
        <v>37900</v>
      </c>
      <c r="C514" s="10" t="s">
        <v>319</v>
      </c>
      <c r="D514" s="11" t="s">
        <v>152</v>
      </c>
      <c r="E514" s="11" t="s">
        <v>153</v>
      </c>
      <c r="F514" s="11" t="s">
        <v>135</v>
      </c>
      <c r="G514" s="11" t="s">
        <v>25</v>
      </c>
      <c r="H514" s="11" t="s">
        <v>61</v>
      </c>
      <c r="I514" s="11" t="s">
        <v>63</v>
      </c>
      <c r="J514" s="11" t="s">
        <v>262</v>
      </c>
      <c r="K514" s="11">
        <v>20</v>
      </c>
      <c r="L514" s="12">
        <v>40</v>
      </c>
      <c r="M514" s="13">
        <v>800</v>
      </c>
      <c r="N514" s="11" t="s">
        <v>367</v>
      </c>
      <c r="O514" s="11" t="s">
        <v>19</v>
      </c>
      <c r="Q514"/>
    </row>
    <row r="515" spans="1:17" ht="15.6" x14ac:dyDescent="0.3">
      <c r="A515" s="15">
        <v>10155</v>
      </c>
      <c r="B515" s="14">
        <v>37900</v>
      </c>
      <c r="C515" s="14" t="s">
        <v>319</v>
      </c>
      <c r="D515" s="15" t="s">
        <v>152</v>
      </c>
      <c r="E515" s="15" t="s">
        <v>153</v>
      </c>
      <c r="F515" s="15" t="s">
        <v>135</v>
      </c>
      <c r="G515" s="15" t="s">
        <v>25</v>
      </c>
      <c r="H515" s="15" t="s">
        <v>61</v>
      </c>
      <c r="I515" s="15" t="s">
        <v>66</v>
      </c>
      <c r="J515" s="15" t="s">
        <v>265</v>
      </c>
      <c r="K515" s="15">
        <v>43</v>
      </c>
      <c r="L515" s="16">
        <v>35</v>
      </c>
      <c r="M515" s="17">
        <v>1505</v>
      </c>
      <c r="N515" s="15" t="s">
        <v>367</v>
      </c>
      <c r="O515" s="15" t="s">
        <v>19</v>
      </c>
      <c r="Q515"/>
    </row>
    <row r="516" spans="1:17" ht="15.6" x14ac:dyDescent="0.3">
      <c r="A516" s="11">
        <v>10155</v>
      </c>
      <c r="B516" s="10">
        <v>37900</v>
      </c>
      <c r="C516" s="10" t="s">
        <v>319</v>
      </c>
      <c r="D516" s="11" t="s">
        <v>152</v>
      </c>
      <c r="E516" s="11" t="s">
        <v>153</v>
      </c>
      <c r="F516" s="11" t="s">
        <v>135</v>
      </c>
      <c r="G516" s="11" t="s">
        <v>25</v>
      </c>
      <c r="H516" s="11" t="s">
        <v>61</v>
      </c>
      <c r="I516" s="11" t="s">
        <v>62</v>
      </c>
      <c r="J516" s="11" t="s">
        <v>261</v>
      </c>
      <c r="K516" s="11">
        <v>44</v>
      </c>
      <c r="L516" s="12">
        <v>15</v>
      </c>
      <c r="M516" s="13">
        <v>660</v>
      </c>
      <c r="N516" s="11" t="s">
        <v>367</v>
      </c>
      <c r="O516" s="11" t="s">
        <v>19</v>
      </c>
      <c r="Q516"/>
    </row>
    <row r="517" spans="1:17" ht="15.6" x14ac:dyDescent="0.3">
      <c r="A517" s="15">
        <v>10155</v>
      </c>
      <c r="B517" s="14">
        <v>37900</v>
      </c>
      <c r="C517" s="14" t="s">
        <v>319</v>
      </c>
      <c r="D517" s="15" t="s">
        <v>152</v>
      </c>
      <c r="E517" s="15" t="s">
        <v>153</v>
      </c>
      <c r="F517" s="15" t="s">
        <v>135</v>
      </c>
      <c r="G517" s="15" t="s">
        <v>25</v>
      </c>
      <c r="H517" s="15" t="s">
        <v>61</v>
      </c>
      <c r="I517" s="15" t="s">
        <v>62</v>
      </c>
      <c r="J517" s="15" t="s">
        <v>261</v>
      </c>
      <c r="K517" s="15">
        <v>34</v>
      </c>
      <c r="L517" s="16">
        <v>15</v>
      </c>
      <c r="M517" s="17">
        <v>510</v>
      </c>
      <c r="N517" s="15" t="s">
        <v>367</v>
      </c>
      <c r="O517" s="15" t="s">
        <v>19</v>
      </c>
      <c r="Q517"/>
    </row>
    <row r="518" spans="1:17" ht="15.6" x14ac:dyDescent="0.3">
      <c r="A518" s="11">
        <v>10156</v>
      </c>
      <c r="B518" s="10">
        <v>37902</v>
      </c>
      <c r="C518" s="10" t="s">
        <v>279</v>
      </c>
      <c r="D518" s="11" t="s">
        <v>41</v>
      </c>
      <c r="E518" s="11" t="s">
        <v>42</v>
      </c>
      <c r="F518" s="11" t="s">
        <v>43</v>
      </c>
      <c r="G518" s="11" t="s">
        <v>25</v>
      </c>
      <c r="H518" s="11" t="s">
        <v>17</v>
      </c>
      <c r="I518" s="11" t="s">
        <v>21</v>
      </c>
      <c r="J518" s="11" t="s">
        <v>243</v>
      </c>
      <c r="K518" s="11">
        <v>20</v>
      </c>
      <c r="L518" s="12">
        <v>110</v>
      </c>
      <c r="M518" s="13">
        <v>2200</v>
      </c>
      <c r="N518" s="11" t="s">
        <v>367</v>
      </c>
      <c r="O518" s="11" t="s">
        <v>19</v>
      </c>
      <c r="Q518"/>
    </row>
    <row r="519" spans="1:17" ht="15.6" x14ac:dyDescent="0.3">
      <c r="A519" s="15">
        <v>10156</v>
      </c>
      <c r="B519" s="14">
        <v>37902</v>
      </c>
      <c r="C519" s="14" t="s">
        <v>279</v>
      </c>
      <c r="D519" s="15" t="s">
        <v>41</v>
      </c>
      <c r="E519" s="15" t="s">
        <v>42</v>
      </c>
      <c r="F519" s="15" t="s">
        <v>43</v>
      </c>
      <c r="G519" s="15" t="s">
        <v>25</v>
      </c>
      <c r="H519" s="15" t="s">
        <v>61</v>
      </c>
      <c r="I519" s="15" t="s">
        <v>62</v>
      </c>
      <c r="J519" s="15" t="s">
        <v>261</v>
      </c>
      <c r="K519" s="15">
        <v>48</v>
      </c>
      <c r="L519" s="16">
        <v>15</v>
      </c>
      <c r="M519" s="17">
        <v>720</v>
      </c>
      <c r="N519" s="15" t="s">
        <v>367</v>
      </c>
      <c r="O519" s="15" t="s">
        <v>19</v>
      </c>
      <c r="Q519"/>
    </row>
    <row r="520" spans="1:17" ht="15.6" x14ac:dyDescent="0.3">
      <c r="A520" s="11">
        <v>10159</v>
      </c>
      <c r="B520" s="10">
        <v>37904</v>
      </c>
      <c r="C520" s="10" t="s">
        <v>321</v>
      </c>
      <c r="D520" s="11" t="s">
        <v>156</v>
      </c>
      <c r="E520" s="11" t="s">
        <v>87</v>
      </c>
      <c r="F520" s="11" t="s">
        <v>15</v>
      </c>
      <c r="G520" s="11" t="s">
        <v>16</v>
      </c>
      <c r="H520" s="11" t="s">
        <v>68</v>
      </c>
      <c r="I520" s="11" t="s">
        <v>70</v>
      </c>
      <c r="J520" s="11" t="s">
        <v>267</v>
      </c>
      <c r="K520" s="11">
        <v>49</v>
      </c>
      <c r="L520" s="12">
        <v>50</v>
      </c>
      <c r="M520" s="13">
        <v>2450</v>
      </c>
      <c r="N520" s="11" t="s">
        <v>367</v>
      </c>
      <c r="O520" s="11" t="s">
        <v>19</v>
      </c>
      <c r="Q520"/>
    </row>
    <row r="521" spans="1:17" ht="15.6" x14ac:dyDescent="0.3">
      <c r="A521" s="15">
        <v>10159</v>
      </c>
      <c r="B521" s="14">
        <v>37904</v>
      </c>
      <c r="C521" s="14" t="s">
        <v>321</v>
      </c>
      <c r="D521" s="15" t="s">
        <v>156</v>
      </c>
      <c r="E521" s="15" t="s">
        <v>87</v>
      </c>
      <c r="F521" s="15" t="s">
        <v>15</v>
      </c>
      <c r="G521" s="15" t="s">
        <v>16</v>
      </c>
      <c r="H521" s="15" t="s">
        <v>68</v>
      </c>
      <c r="I521" s="15" t="s">
        <v>69</v>
      </c>
      <c r="J521" s="15" t="s">
        <v>266</v>
      </c>
      <c r="K521" s="15">
        <v>37</v>
      </c>
      <c r="L521" s="16">
        <v>25</v>
      </c>
      <c r="M521" s="17">
        <v>925</v>
      </c>
      <c r="N521" s="15" t="s">
        <v>367</v>
      </c>
      <c r="O521" s="15" t="s">
        <v>19</v>
      </c>
      <c r="Q521"/>
    </row>
    <row r="522" spans="1:17" ht="15.6" x14ac:dyDescent="0.3">
      <c r="A522" s="11">
        <v>10159</v>
      </c>
      <c r="B522" s="10">
        <v>37904</v>
      </c>
      <c r="C522" s="10" t="s">
        <v>321</v>
      </c>
      <c r="D522" s="11" t="s">
        <v>156</v>
      </c>
      <c r="E522" s="11" t="s">
        <v>87</v>
      </c>
      <c r="F522" s="11" t="s">
        <v>15</v>
      </c>
      <c r="G522" s="11" t="s">
        <v>16</v>
      </c>
      <c r="H522" s="11" t="s">
        <v>68</v>
      </c>
      <c r="I522" s="11" t="s">
        <v>76</v>
      </c>
      <c r="J522" s="11" t="s">
        <v>269</v>
      </c>
      <c r="K522" s="11">
        <v>22</v>
      </c>
      <c r="L522" s="12">
        <v>30</v>
      </c>
      <c r="M522" s="13">
        <v>660</v>
      </c>
      <c r="N522" s="11" t="s">
        <v>367</v>
      </c>
      <c r="O522" s="11" t="s">
        <v>19</v>
      </c>
      <c r="Q522"/>
    </row>
    <row r="523" spans="1:17" ht="15.6" x14ac:dyDescent="0.3">
      <c r="A523" s="15">
        <v>10159</v>
      </c>
      <c r="B523" s="14">
        <v>37904</v>
      </c>
      <c r="C523" s="14" t="s">
        <v>321</v>
      </c>
      <c r="D523" s="15" t="s">
        <v>156</v>
      </c>
      <c r="E523" s="15" t="s">
        <v>87</v>
      </c>
      <c r="F523" s="15" t="s">
        <v>15</v>
      </c>
      <c r="G523" s="15" t="s">
        <v>16</v>
      </c>
      <c r="H523" s="15" t="s">
        <v>32</v>
      </c>
      <c r="I523" s="15" t="s">
        <v>34</v>
      </c>
      <c r="J523" s="15" t="s">
        <v>246</v>
      </c>
      <c r="K523" s="15">
        <v>41</v>
      </c>
      <c r="L523" s="16">
        <v>80</v>
      </c>
      <c r="M523" s="17">
        <v>3280</v>
      </c>
      <c r="N523" s="15" t="s">
        <v>367</v>
      </c>
      <c r="O523" s="15" t="s">
        <v>19</v>
      </c>
      <c r="Q523"/>
    </row>
    <row r="524" spans="1:17" ht="15.6" x14ac:dyDescent="0.3">
      <c r="A524" s="11">
        <v>10159</v>
      </c>
      <c r="B524" s="10">
        <v>37904</v>
      </c>
      <c r="C524" s="10" t="s">
        <v>321</v>
      </c>
      <c r="D524" s="11" t="s">
        <v>156</v>
      </c>
      <c r="E524" s="11" t="s">
        <v>87</v>
      </c>
      <c r="F524" s="11" t="s">
        <v>15</v>
      </c>
      <c r="G524" s="11" t="s">
        <v>16</v>
      </c>
      <c r="H524" s="11" t="s">
        <v>68</v>
      </c>
      <c r="I524" s="11" t="s">
        <v>70</v>
      </c>
      <c r="J524" s="11" t="s">
        <v>267</v>
      </c>
      <c r="K524" s="11">
        <v>38</v>
      </c>
      <c r="L524" s="12">
        <v>50</v>
      </c>
      <c r="M524" s="13">
        <v>1900</v>
      </c>
      <c r="N524" s="11" t="s">
        <v>367</v>
      </c>
      <c r="O524" s="11" t="s">
        <v>19</v>
      </c>
      <c r="Q524"/>
    </row>
    <row r="525" spans="1:17" ht="15.6" x14ac:dyDescent="0.3">
      <c r="A525" s="15">
        <v>10159</v>
      </c>
      <c r="B525" s="14">
        <v>37904</v>
      </c>
      <c r="C525" s="14" t="s">
        <v>321</v>
      </c>
      <c r="D525" s="15" t="s">
        <v>156</v>
      </c>
      <c r="E525" s="15" t="s">
        <v>87</v>
      </c>
      <c r="F525" s="15" t="s">
        <v>15</v>
      </c>
      <c r="G525" s="15" t="s">
        <v>16</v>
      </c>
      <c r="H525" s="15" t="s">
        <v>32</v>
      </c>
      <c r="I525" s="15" t="s">
        <v>45</v>
      </c>
      <c r="J525" s="15" t="s">
        <v>253</v>
      </c>
      <c r="K525" s="15">
        <v>24</v>
      </c>
      <c r="L525" s="16">
        <v>35</v>
      </c>
      <c r="M525" s="17">
        <v>840</v>
      </c>
      <c r="N525" s="15" t="s">
        <v>367</v>
      </c>
      <c r="O525" s="15" t="s">
        <v>19</v>
      </c>
      <c r="Q525"/>
    </row>
    <row r="526" spans="1:17" ht="15.6" x14ac:dyDescent="0.3">
      <c r="A526" s="11">
        <v>10159</v>
      </c>
      <c r="B526" s="10">
        <v>37904</v>
      </c>
      <c r="C526" s="10" t="s">
        <v>321</v>
      </c>
      <c r="D526" s="11" t="s">
        <v>156</v>
      </c>
      <c r="E526" s="11" t="s">
        <v>87</v>
      </c>
      <c r="F526" s="11" t="s">
        <v>15</v>
      </c>
      <c r="G526" s="11" t="s">
        <v>16</v>
      </c>
      <c r="H526" s="11" t="s">
        <v>68</v>
      </c>
      <c r="I526" s="11" t="s">
        <v>70</v>
      </c>
      <c r="J526" s="11" t="s">
        <v>267</v>
      </c>
      <c r="K526" s="11">
        <v>42</v>
      </c>
      <c r="L526" s="12">
        <v>50</v>
      </c>
      <c r="M526" s="13">
        <v>2100</v>
      </c>
      <c r="N526" s="11" t="s">
        <v>367</v>
      </c>
      <c r="O526" s="11" t="s">
        <v>19</v>
      </c>
      <c r="Q526"/>
    </row>
    <row r="527" spans="1:17" ht="15.6" x14ac:dyDescent="0.3">
      <c r="A527" s="15">
        <v>10159</v>
      </c>
      <c r="B527" s="14">
        <v>37904</v>
      </c>
      <c r="C527" s="14" t="s">
        <v>321</v>
      </c>
      <c r="D527" s="15" t="s">
        <v>156</v>
      </c>
      <c r="E527" s="15" t="s">
        <v>87</v>
      </c>
      <c r="F527" s="15" t="s">
        <v>15</v>
      </c>
      <c r="G527" s="15" t="s">
        <v>16</v>
      </c>
      <c r="H527" s="15" t="s">
        <v>32</v>
      </c>
      <c r="I527" s="15" t="s">
        <v>33</v>
      </c>
      <c r="J527" s="15" t="s">
        <v>245</v>
      </c>
      <c r="K527" s="15">
        <v>21</v>
      </c>
      <c r="L527" s="16">
        <v>85</v>
      </c>
      <c r="M527" s="17">
        <v>1785</v>
      </c>
      <c r="N527" s="15" t="s">
        <v>367</v>
      </c>
      <c r="O527" s="15" t="s">
        <v>19</v>
      </c>
      <c r="Q527"/>
    </row>
    <row r="528" spans="1:17" ht="15.6" x14ac:dyDescent="0.3">
      <c r="A528" s="11">
        <v>10159</v>
      </c>
      <c r="B528" s="10">
        <v>37904</v>
      </c>
      <c r="C528" s="10" t="s">
        <v>321</v>
      </c>
      <c r="D528" s="11" t="s">
        <v>156</v>
      </c>
      <c r="E528" s="11" t="s">
        <v>87</v>
      </c>
      <c r="F528" s="11" t="s">
        <v>15</v>
      </c>
      <c r="G528" s="11" t="s">
        <v>16</v>
      </c>
      <c r="H528" s="11" t="s">
        <v>32</v>
      </c>
      <c r="I528" s="11" t="s">
        <v>34</v>
      </c>
      <c r="J528" s="11" t="s">
        <v>246</v>
      </c>
      <c r="K528" s="11">
        <v>25</v>
      </c>
      <c r="L528" s="12">
        <v>80</v>
      </c>
      <c r="M528" s="13">
        <v>2000</v>
      </c>
      <c r="N528" s="11" t="s">
        <v>367</v>
      </c>
      <c r="O528" s="11" t="s">
        <v>19</v>
      </c>
      <c r="Q528"/>
    </row>
    <row r="529" spans="1:17" ht="15.6" x14ac:dyDescent="0.3">
      <c r="A529" s="15">
        <v>10159</v>
      </c>
      <c r="B529" s="14">
        <v>37904</v>
      </c>
      <c r="C529" s="14" t="s">
        <v>321</v>
      </c>
      <c r="D529" s="15" t="s">
        <v>156</v>
      </c>
      <c r="E529" s="15" t="s">
        <v>87</v>
      </c>
      <c r="F529" s="15" t="s">
        <v>15</v>
      </c>
      <c r="G529" s="15" t="s">
        <v>16</v>
      </c>
      <c r="H529" s="15" t="s">
        <v>68</v>
      </c>
      <c r="I529" s="15" t="s">
        <v>69</v>
      </c>
      <c r="J529" s="15" t="s">
        <v>266</v>
      </c>
      <c r="K529" s="15">
        <v>21</v>
      </c>
      <c r="L529" s="16">
        <v>25</v>
      </c>
      <c r="M529" s="17">
        <v>525</v>
      </c>
      <c r="N529" s="15" t="s">
        <v>367</v>
      </c>
      <c r="O529" s="15" t="s">
        <v>19</v>
      </c>
      <c r="Q529"/>
    </row>
    <row r="530" spans="1:17" ht="15.6" x14ac:dyDescent="0.3">
      <c r="A530" s="11">
        <v>10159</v>
      </c>
      <c r="B530" s="10">
        <v>37904</v>
      </c>
      <c r="C530" s="10" t="s">
        <v>321</v>
      </c>
      <c r="D530" s="11" t="s">
        <v>156</v>
      </c>
      <c r="E530" s="11" t="s">
        <v>87</v>
      </c>
      <c r="F530" s="11" t="s">
        <v>15</v>
      </c>
      <c r="G530" s="11" t="s">
        <v>16</v>
      </c>
      <c r="H530" s="11" t="s">
        <v>32</v>
      </c>
      <c r="I530" s="11" t="s">
        <v>33</v>
      </c>
      <c r="J530" s="11" t="s">
        <v>245</v>
      </c>
      <c r="K530" s="11">
        <v>32</v>
      </c>
      <c r="L530" s="12">
        <v>85</v>
      </c>
      <c r="M530" s="13">
        <v>2720</v>
      </c>
      <c r="N530" s="11" t="s">
        <v>367</v>
      </c>
      <c r="O530" s="11" t="s">
        <v>19</v>
      </c>
      <c r="Q530"/>
    </row>
    <row r="531" spans="1:17" ht="15.6" x14ac:dyDescent="0.3">
      <c r="A531" s="15">
        <v>10159</v>
      </c>
      <c r="B531" s="14">
        <v>37904</v>
      </c>
      <c r="C531" s="14" t="s">
        <v>321</v>
      </c>
      <c r="D531" s="15" t="s">
        <v>156</v>
      </c>
      <c r="E531" s="15" t="s">
        <v>87</v>
      </c>
      <c r="F531" s="15" t="s">
        <v>15</v>
      </c>
      <c r="G531" s="15" t="s">
        <v>16</v>
      </c>
      <c r="H531" s="15" t="s">
        <v>68</v>
      </c>
      <c r="I531" s="15" t="s">
        <v>70</v>
      </c>
      <c r="J531" s="15" t="s">
        <v>267</v>
      </c>
      <c r="K531" s="15">
        <v>44</v>
      </c>
      <c r="L531" s="16">
        <v>50</v>
      </c>
      <c r="M531" s="17">
        <v>2200</v>
      </c>
      <c r="N531" s="15" t="s">
        <v>367</v>
      </c>
      <c r="O531" s="15" t="s">
        <v>19</v>
      </c>
      <c r="Q531"/>
    </row>
    <row r="532" spans="1:17" ht="15.6" x14ac:dyDescent="0.3">
      <c r="A532" s="11">
        <v>10158</v>
      </c>
      <c r="B532" s="10">
        <v>37904</v>
      </c>
      <c r="C532" s="10" t="s">
        <v>278</v>
      </c>
      <c r="D532" s="11" t="s">
        <v>29</v>
      </c>
      <c r="E532" s="11" t="s">
        <v>30</v>
      </c>
      <c r="F532" s="11" t="s">
        <v>31</v>
      </c>
      <c r="G532" s="11" t="s">
        <v>25</v>
      </c>
      <c r="H532" s="11" t="s">
        <v>68</v>
      </c>
      <c r="I532" s="11" t="s">
        <v>108</v>
      </c>
      <c r="J532" s="11" t="s">
        <v>271</v>
      </c>
      <c r="K532" s="11">
        <v>22</v>
      </c>
      <c r="L532" s="12">
        <v>45</v>
      </c>
      <c r="M532" s="13">
        <v>990</v>
      </c>
      <c r="N532" s="11" t="s">
        <v>367</v>
      </c>
      <c r="O532" s="11" t="s">
        <v>19</v>
      </c>
      <c r="Q532"/>
    </row>
    <row r="533" spans="1:17" ht="15.6" x14ac:dyDescent="0.3">
      <c r="A533" s="15">
        <v>10159</v>
      </c>
      <c r="B533" s="14">
        <v>37904</v>
      </c>
      <c r="C533" s="14" t="s">
        <v>321</v>
      </c>
      <c r="D533" s="15" t="s">
        <v>156</v>
      </c>
      <c r="E533" s="15" t="s">
        <v>87</v>
      </c>
      <c r="F533" s="15" t="s">
        <v>15</v>
      </c>
      <c r="G533" s="15" t="s">
        <v>16</v>
      </c>
      <c r="H533" s="15" t="s">
        <v>68</v>
      </c>
      <c r="I533" s="15" t="s">
        <v>70</v>
      </c>
      <c r="J533" s="15" t="s">
        <v>267</v>
      </c>
      <c r="K533" s="15">
        <v>27</v>
      </c>
      <c r="L533" s="16">
        <v>50</v>
      </c>
      <c r="M533" s="17">
        <v>1350</v>
      </c>
      <c r="N533" s="15" t="s">
        <v>367</v>
      </c>
      <c r="O533" s="15" t="s">
        <v>19</v>
      </c>
      <c r="Q533"/>
    </row>
    <row r="534" spans="1:17" ht="15.6" x14ac:dyDescent="0.3">
      <c r="A534" s="11">
        <v>10159</v>
      </c>
      <c r="B534" s="10">
        <v>37904</v>
      </c>
      <c r="C534" s="10" t="s">
        <v>321</v>
      </c>
      <c r="D534" s="11" t="s">
        <v>156</v>
      </c>
      <c r="E534" s="11" t="s">
        <v>87</v>
      </c>
      <c r="F534" s="11" t="s">
        <v>15</v>
      </c>
      <c r="G534" s="11" t="s">
        <v>16</v>
      </c>
      <c r="H534" s="11" t="s">
        <v>32</v>
      </c>
      <c r="I534" s="11" t="s">
        <v>46</v>
      </c>
      <c r="J534" s="11" t="s">
        <v>254</v>
      </c>
      <c r="K534" s="11">
        <v>50</v>
      </c>
      <c r="L534" s="12">
        <v>90</v>
      </c>
      <c r="M534" s="13">
        <v>4500</v>
      </c>
      <c r="N534" s="11" t="s">
        <v>368</v>
      </c>
      <c r="O534" s="11" t="s">
        <v>19</v>
      </c>
      <c r="Q534"/>
    </row>
    <row r="535" spans="1:17" ht="15.6" x14ac:dyDescent="0.3">
      <c r="A535" s="15">
        <v>10159</v>
      </c>
      <c r="B535" s="14">
        <v>37904</v>
      </c>
      <c r="C535" s="14" t="s">
        <v>321</v>
      </c>
      <c r="D535" s="15" t="s">
        <v>156</v>
      </c>
      <c r="E535" s="15" t="s">
        <v>87</v>
      </c>
      <c r="F535" s="15" t="s">
        <v>15</v>
      </c>
      <c r="G535" s="15" t="s">
        <v>16</v>
      </c>
      <c r="H535" s="15" t="s">
        <v>32</v>
      </c>
      <c r="I535" s="15" t="s">
        <v>34</v>
      </c>
      <c r="J535" s="15" t="s">
        <v>246</v>
      </c>
      <c r="K535" s="15">
        <v>23</v>
      </c>
      <c r="L535" s="16">
        <v>80</v>
      </c>
      <c r="M535" s="17">
        <v>1840</v>
      </c>
      <c r="N535" s="15" t="s">
        <v>367</v>
      </c>
      <c r="O535" s="15" t="s">
        <v>19</v>
      </c>
      <c r="Q535"/>
    </row>
    <row r="536" spans="1:17" ht="15.6" x14ac:dyDescent="0.3">
      <c r="A536" s="11">
        <v>10159</v>
      </c>
      <c r="B536" s="10">
        <v>37904</v>
      </c>
      <c r="C536" s="10" t="s">
        <v>321</v>
      </c>
      <c r="D536" s="11" t="s">
        <v>156</v>
      </c>
      <c r="E536" s="11" t="s">
        <v>87</v>
      </c>
      <c r="F536" s="11" t="s">
        <v>15</v>
      </c>
      <c r="G536" s="11" t="s">
        <v>16</v>
      </c>
      <c r="H536" s="11" t="s">
        <v>68</v>
      </c>
      <c r="I536" s="11" t="s">
        <v>76</v>
      </c>
      <c r="J536" s="11" t="s">
        <v>269</v>
      </c>
      <c r="K536" s="11">
        <v>35</v>
      </c>
      <c r="L536" s="12">
        <v>30</v>
      </c>
      <c r="M536" s="13">
        <v>1050</v>
      </c>
      <c r="N536" s="11" t="s">
        <v>367</v>
      </c>
      <c r="O536" s="11" t="s">
        <v>19</v>
      </c>
      <c r="Q536"/>
    </row>
    <row r="537" spans="1:17" ht="15.6" x14ac:dyDescent="0.3">
      <c r="A537" s="15">
        <v>10159</v>
      </c>
      <c r="B537" s="14">
        <v>37904</v>
      </c>
      <c r="C537" s="14" t="s">
        <v>321</v>
      </c>
      <c r="D537" s="15" t="s">
        <v>156</v>
      </c>
      <c r="E537" s="15" t="s">
        <v>87</v>
      </c>
      <c r="F537" s="15" t="s">
        <v>15</v>
      </c>
      <c r="G537" s="15" t="s">
        <v>16</v>
      </c>
      <c r="H537" s="15" t="s">
        <v>68</v>
      </c>
      <c r="I537" s="15" t="s">
        <v>69</v>
      </c>
      <c r="J537" s="15" t="s">
        <v>266</v>
      </c>
      <c r="K537" s="15">
        <v>23</v>
      </c>
      <c r="L537" s="16">
        <v>25</v>
      </c>
      <c r="M537" s="17">
        <v>575</v>
      </c>
      <c r="N537" s="15" t="s">
        <v>367</v>
      </c>
      <c r="O537" s="15" t="s">
        <v>19</v>
      </c>
      <c r="Q537"/>
    </row>
    <row r="538" spans="1:17" ht="15.6" x14ac:dyDescent="0.3">
      <c r="A538" s="11">
        <v>10159</v>
      </c>
      <c r="B538" s="10">
        <v>37904</v>
      </c>
      <c r="C538" s="10" t="s">
        <v>321</v>
      </c>
      <c r="D538" s="11" t="s">
        <v>156</v>
      </c>
      <c r="E538" s="11" t="s">
        <v>87</v>
      </c>
      <c r="F538" s="11" t="s">
        <v>15</v>
      </c>
      <c r="G538" s="11" t="s">
        <v>16</v>
      </c>
      <c r="H538" s="11" t="s">
        <v>68</v>
      </c>
      <c r="I538" s="11" t="s">
        <v>70</v>
      </c>
      <c r="J538" s="11" t="s">
        <v>267</v>
      </c>
      <c r="K538" s="11">
        <v>31</v>
      </c>
      <c r="L538" s="12">
        <v>50</v>
      </c>
      <c r="M538" s="13">
        <v>1550</v>
      </c>
      <c r="N538" s="11" t="s">
        <v>367</v>
      </c>
      <c r="O538" s="11" t="s">
        <v>19</v>
      </c>
      <c r="Q538"/>
    </row>
    <row r="539" spans="1:17" ht="15.6" x14ac:dyDescent="0.3">
      <c r="A539" s="15">
        <v>10160</v>
      </c>
      <c r="B539" s="14">
        <v>37905</v>
      </c>
      <c r="C539" s="14" t="s">
        <v>322</v>
      </c>
      <c r="D539" s="15" t="s">
        <v>157</v>
      </c>
      <c r="E539" s="15" t="s">
        <v>158</v>
      </c>
      <c r="F539" s="15" t="s">
        <v>15</v>
      </c>
      <c r="G539" s="15" t="s">
        <v>16</v>
      </c>
      <c r="H539" s="15" t="s">
        <v>32</v>
      </c>
      <c r="I539" s="15" t="s">
        <v>45</v>
      </c>
      <c r="J539" s="15" t="s">
        <v>253</v>
      </c>
      <c r="K539" s="15">
        <v>46</v>
      </c>
      <c r="L539" s="16">
        <v>35</v>
      </c>
      <c r="M539" s="17">
        <v>1610</v>
      </c>
      <c r="N539" s="15" t="s">
        <v>367</v>
      </c>
      <c r="O539" s="15" t="s">
        <v>19</v>
      </c>
      <c r="Q539"/>
    </row>
    <row r="540" spans="1:17" ht="15.6" x14ac:dyDescent="0.3">
      <c r="A540" s="11">
        <v>10160</v>
      </c>
      <c r="B540" s="10">
        <v>37905</v>
      </c>
      <c r="C540" s="10" t="s">
        <v>322</v>
      </c>
      <c r="D540" s="11" t="s">
        <v>157</v>
      </c>
      <c r="E540" s="11" t="s">
        <v>158</v>
      </c>
      <c r="F540" s="11" t="s">
        <v>15</v>
      </c>
      <c r="G540" s="11" t="s">
        <v>16</v>
      </c>
      <c r="H540" s="11" t="s">
        <v>32</v>
      </c>
      <c r="I540" s="11" t="s">
        <v>46</v>
      </c>
      <c r="J540" s="11" t="s">
        <v>254</v>
      </c>
      <c r="K540" s="11">
        <v>50</v>
      </c>
      <c r="L540" s="12">
        <v>90</v>
      </c>
      <c r="M540" s="13">
        <v>4500</v>
      </c>
      <c r="N540" s="11" t="s">
        <v>368</v>
      </c>
      <c r="O540" s="11" t="s">
        <v>19</v>
      </c>
      <c r="Q540"/>
    </row>
    <row r="541" spans="1:17" ht="15.6" x14ac:dyDescent="0.3">
      <c r="A541" s="15">
        <v>10160</v>
      </c>
      <c r="B541" s="14">
        <v>37905</v>
      </c>
      <c r="C541" s="14" t="s">
        <v>322</v>
      </c>
      <c r="D541" s="15" t="s">
        <v>157</v>
      </c>
      <c r="E541" s="15" t="s">
        <v>158</v>
      </c>
      <c r="F541" s="15" t="s">
        <v>15</v>
      </c>
      <c r="G541" s="15" t="s">
        <v>16</v>
      </c>
      <c r="H541" s="15" t="s">
        <v>32</v>
      </c>
      <c r="I541" s="15" t="s">
        <v>46</v>
      </c>
      <c r="J541" s="15" t="s">
        <v>254</v>
      </c>
      <c r="K541" s="15">
        <v>38</v>
      </c>
      <c r="L541" s="16">
        <v>90</v>
      </c>
      <c r="M541" s="17">
        <v>3420</v>
      </c>
      <c r="N541" s="15" t="s">
        <v>367</v>
      </c>
      <c r="O541" s="15" t="s">
        <v>19</v>
      </c>
      <c r="Q541"/>
    </row>
    <row r="542" spans="1:17" ht="15.6" x14ac:dyDescent="0.3">
      <c r="A542" s="11">
        <v>10160</v>
      </c>
      <c r="B542" s="10">
        <v>37905</v>
      </c>
      <c r="C542" s="10" t="s">
        <v>322</v>
      </c>
      <c r="D542" s="11" t="s">
        <v>157</v>
      </c>
      <c r="E542" s="11" t="s">
        <v>158</v>
      </c>
      <c r="F542" s="11" t="s">
        <v>15</v>
      </c>
      <c r="G542" s="11" t="s">
        <v>16</v>
      </c>
      <c r="H542" s="11" t="s">
        <v>32</v>
      </c>
      <c r="I542" s="11" t="s">
        <v>46</v>
      </c>
      <c r="J542" s="11" t="s">
        <v>254</v>
      </c>
      <c r="K542" s="11">
        <v>20</v>
      </c>
      <c r="L542" s="12">
        <v>90</v>
      </c>
      <c r="M542" s="13">
        <v>1800</v>
      </c>
      <c r="N542" s="11" t="s">
        <v>367</v>
      </c>
      <c r="O542" s="11" t="s">
        <v>19</v>
      </c>
      <c r="Q542"/>
    </row>
    <row r="543" spans="1:17" ht="15.6" x14ac:dyDescent="0.3">
      <c r="A543" s="15">
        <v>10160</v>
      </c>
      <c r="B543" s="14">
        <v>37905</v>
      </c>
      <c r="C543" s="14" t="s">
        <v>322</v>
      </c>
      <c r="D543" s="15" t="s">
        <v>157</v>
      </c>
      <c r="E543" s="15" t="s">
        <v>158</v>
      </c>
      <c r="F543" s="15" t="s">
        <v>15</v>
      </c>
      <c r="G543" s="15" t="s">
        <v>16</v>
      </c>
      <c r="H543" s="15" t="s">
        <v>32</v>
      </c>
      <c r="I543" s="15" t="s">
        <v>33</v>
      </c>
      <c r="J543" s="15" t="s">
        <v>245</v>
      </c>
      <c r="K543" s="15">
        <v>42</v>
      </c>
      <c r="L543" s="16">
        <v>85</v>
      </c>
      <c r="M543" s="17">
        <v>3570</v>
      </c>
      <c r="N543" s="15" t="s">
        <v>367</v>
      </c>
      <c r="O543" s="15" t="s">
        <v>19</v>
      </c>
      <c r="Q543"/>
    </row>
    <row r="544" spans="1:17" ht="15.6" x14ac:dyDescent="0.3">
      <c r="A544" s="11">
        <v>10160</v>
      </c>
      <c r="B544" s="10">
        <v>37905</v>
      </c>
      <c r="C544" s="10" t="s">
        <v>322</v>
      </c>
      <c r="D544" s="11" t="s">
        <v>157</v>
      </c>
      <c r="E544" s="11" t="s">
        <v>158</v>
      </c>
      <c r="F544" s="11" t="s">
        <v>15</v>
      </c>
      <c r="G544" s="11" t="s">
        <v>16</v>
      </c>
      <c r="H544" s="11" t="s">
        <v>32</v>
      </c>
      <c r="I544" s="11" t="s">
        <v>44</v>
      </c>
      <c r="J544" s="11" t="s">
        <v>252</v>
      </c>
      <c r="K544" s="11">
        <v>35</v>
      </c>
      <c r="L544" s="12">
        <v>55</v>
      </c>
      <c r="M544" s="13">
        <v>1925</v>
      </c>
      <c r="N544" s="11" t="s">
        <v>367</v>
      </c>
      <c r="O544" s="11" t="s">
        <v>19</v>
      </c>
      <c r="Q544"/>
    </row>
    <row r="545" spans="1:17" ht="15.6" x14ac:dyDescent="0.3">
      <c r="A545" s="15">
        <v>10161</v>
      </c>
      <c r="B545" s="14">
        <v>37911</v>
      </c>
      <c r="C545" s="14" t="s">
        <v>323</v>
      </c>
      <c r="D545" s="15" t="s">
        <v>159</v>
      </c>
      <c r="E545" s="15" t="s">
        <v>160</v>
      </c>
      <c r="F545" s="15" t="s">
        <v>51</v>
      </c>
      <c r="G545" s="15" t="s">
        <v>25</v>
      </c>
      <c r="H545" s="15" t="s">
        <v>32</v>
      </c>
      <c r="I545" s="15" t="s">
        <v>34</v>
      </c>
      <c r="J545" s="15" t="s">
        <v>246</v>
      </c>
      <c r="K545" s="15">
        <v>28</v>
      </c>
      <c r="L545" s="16">
        <v>80</v>
      </c>
      <c r="M545" s="17">
        <v>2240</v>
      </c>
      <c r="N545" s="15" t="s">
        <v>367</v>
      </c>
      <c r="O545" s="15" t="s">
        <v>19</v>
      </c>
      <c r="Q545"/>
    </row>
    <row r="546" spans="1:17" ht="15.6" x14ac:dyDescent="0.3">
      <c r="A546" s="11">
        <v>10161</v>
      </c>
      <c r="B546" s="10">
        <v>37911</v>
      </c>
      <c r="C546" s="10" t="s">
        <v>323</v>
      </c>
      <c r="D546" s="11" t="s">
        <v>159</v>
      </c>
      <c r="E546" s="11" t="s">
        <v>160</v>
      </c>
      <c r="F546" s="11" t="s">
        <v>51</v>
      </c>
      <c r="G546" s="11" t="s">
        <v>25</v>
      </c>
      <c r="H546" s="11" t="s">
        <v>32</v>
      </c>
      <c r="I546" s="11" t="s">
        <v>44</v>
      </c>
      <c r="J546" s="11" t="s">
        <v>252</v>
      </c>
      <c r="K546" s="11">
        <v>43</v>
      </c>
      <c r="L546" s="12">
        <v>55</v>
      </c>
      <c r="M546" s="13">
        <v>2365</v>
      </c>
      <c r="N546" s="11" t="s">
        <v>367</v>
      </c>
      <c r="O546" s="11" t="s">
        <v>19</v>
      </c>
      <c r="Q546"/>
    </row>
    <row r="547" spans="1:17" ht="15.6" x14ac:dyDescent="0.3">
      <c r="A547" s="15">
        <v>10161</v>
      </c>
      <c r="B547" s="14">
        <v>37911</v>
      </c>
      <c r="C547" s="14" t="s">
        <v>323</v>
      </c>
      <c r="D547" s="15" t="s">
        <v>159</v>
      </c>
      <c r="E547" s="15" t="s">
        <v>160</v>
      </c>
      <c r="F547" s="15" t="s">
        <v>51</v>
      </c>
      <c r="G547" s="15" t="s">
        <v>25</v>
      </c>
      <c r="H547" s="15" t="s">
        <v>32</v>
      </c>
      <c r="I547" s="15" t="s">
        <v>46</v>
      </c>
      <c r="J547" s="15" t="s">
        <v>254</v>
      </c>
      <c r="K547" s="15">
        <v>48</v>
      </c>
      <c r="L547" s="16">
        <v>90</v>
      </c>
      <c r="M547" s="17">
        <v>4320</v>
      </c>
      <c r="N547" s="15" t="s">
        <v>367</v>
      </c>
      <c r="O547" s="15" t="s">
        <v>19</v>
      </c>
      <c r="Q547"/>
    </row>
    <row r="548" spans="1:17" ht="15.6" x14ac:dyDescent="0.3">
      <c r="A548" s="11">
        <v>10161</v>
      </c>
      <c r="B548" s="10">
        <v>37911</v>
      </c>
      <c r="C548" s="10" t="s">
        <v>323</v>
      </c>
      <c r="D548" s="11" t="s">
        <v>159</v>
      </c>
      <c r="E548" s="11" t="s">
        <v>160</v>
      </c>
      <c r="F548" s="11" t="s">
        <v>51</v>
      </c>
      <c r="G548" s="11" t="s">
        <v>25</v>
      </c>
      <c r="H548" s="11" t="s">
        <v>32</v>
      </c>
      <c r="I548" s="11" t="s">
        <v>34</v>
      </c>
      <c r="J548" s="11" t="s">
        <v>246</v>
      </c>
      <c r="K548" s="11">
        <v>23</v>
      </c>
      <c r="L548" s="12">
        <v>80</v>
      </c>
      <c r="M548" s="13">
        <v>1840</v>
      </c>
      <c r="N548" s="11" t="s">
        <v>367</v>
      </c>
      <c r="O548" s="11" t="s">
        <v>19</v>
      </c>
      <c r="Q548"/>
    </row>
    <row r="549" spans="1:17" ht="15.6" x14ac:dyDescent="0.3">
      <c r="A549" s="15">
        <v>10161</v>
      </c>
      <c r="B549" s="14">
        <v>37911</v>
      </c>
      <c r="C549" s="14" t="s">
        <v>323</v>
      </c>
      <c r="D549" s="15" t="s">
        <v>159</v>
      </c>
      <c r="E549" s="15" t="s">
        <v>160</v>
      </c>
      <c r="F549" s="15" t="s">
        <v>51</v>
      </c>
      <c r="G549" s="15" t="s">
        <v>25</v>
      </c>
      <c r="H549" s="15" t="s">
        <v>32</v>
      </c>
      <c r="I549" s="15" t="s">
        <v>46</v>
      </c>
      <c r="J549" s="15" t="s">
        <v>254</v>
      </c>
      <c r="K549" s="15">
        <v>36</v>
      </c>
      <c r="L549" s="16">
        <v>90</v>
      </c>
      <c r="M549" s="17">
        <v>3240</v>
      </c>
      <c r="N549" s="15" t="s">
        <v>367</v>
      </c>
      <c r="O549" s="15" t="s">
        <v>19</v>
      </c>
      <c r="Q549"/>
    </row>
    <row r="550" spans="1:17" ht="15.6" x14ac:dyDescent="0.3">
      <c r="A550" s="11">
        <v>10161</v>
      </c>
      <c r="B550" s="10">
        <v>37911</v>
      </c>
      <c r="C550" s="10" t="s">
        <v>323</v>
      </c>
      <c r="D550" s="11" t="s">
        <v>159</v>
      </c>
      <c r="E550" s="11" t="s">
        <v>160</v>
      </c>
      <c r="F550" s="11" t="s">
        <v>51</v>
      </c>
      <c r="G550" s="11" t="s">
        <v>25</v>
      </c>
      <c r="H550" s="11" t="s">
        <v>32</v>
      </c>
      <c r="I550" s="11" t="s">
        <v>46</v>
      </c>
      <c r="J550" s="11" t="s">
        <v>254</v>
      </c>
      <c r="K550" s="11">
        <v>25</v>
      </c>
      <c r="L550" s="12">
        <v>90</v>
      </c>
      <c r="M550" s="13">
        <v>2250</v>
      </c>
      <c r="N550" s="11" t="s">
        <v>367</v>
      </c>
      <c r="O550" s="11" t="s">
        <v>19</v>
      </c>
      <c r="Q550"/>
    </row>
    <row r="551" spans="1:17" ht="15.6" x14ac:dyDescent="0.3">
      <c r="A551" s="15">
        <v>10161</v>
      </c>
      <c r="B551" s="14">
        <v>37911</v>
      </c>
      <c r="C551" s="14" t="s">
        <v>323</v>
      </c>
      <c r="D551" s="15" t="s">
        <v>159</v>
      </c>
      <c r="E551" s="15" t="s">
        <v>160</v>
      </c>
      <c r="F551" s="15" t="s">
        <v>51</v>
      </c>
      <c r="G551" s="15" t="s">
        <v>25</v>
      </c>
      <c r="H551" s="15" t="s">
        <v>32</v>
      </c>
      <c r="I551" s="15" t="s">
        <v>45</v>
      </c>
      <c r="J551" s="15" t="s">
        <v>253</v>
      </c>
      <c r="K551" s="15">
        <v>37</v>
      </c>
      <c r="L551" s="16">
        <v>35</v>
      </c>
      <c r="M551" s="17">
        <v>1295</v>
      </c>
      <c r="N551" s="15" t="s">
        <v>367</v>
      </c>
      <c r="O551" s="15" t="s">
        <v>19</v>
      </c>
      <c r="Q551"/>
    </row>
    <row r="552" spans="1:17" ht="15.6" x14ac:dyDescent="0.3">
      <c r="A552" s="11">
        <v>10161</v>
      </c>
      <c r="B552" s="10">
        <v>37911</v>
      </c>
      <c r="C552" s="10" t="s">
        <v>323</v>
      </c>
      <c r="D552" s="11" t="s">
        <v>159</v>
      </c>
      <c r="E552" s="11" t="s">
        <v>160</v>
      </c>
      <c r="F552" s="11" t="s">
        <v>51</v>
      </c>
      <c r="G552" s="11" t="s">
        <v>25</v>
      </c>
      <c r="H552" s="11" t="s">
        <v>32</v>
      </c>
      <c r="I552" s="11" t="s">
        <v>46</v>
      </c>
      <c r="J552" s="11" t="s">
        <v>254</v>
      </c>
      <c r="K552" s="11">
        <v>23</v>
      </c>
      <c r="L552" s="12">
        <v>90</v>
      </c>
      <c r="M552" s="13">
        <v>2070</v>
      </c>
      <c r="N552" s="11" t="s">
        <v>367</v>
      </c>
      <c r="O552" s="11" t="s">
        <v>19</v>
      </c>
      <c r="Q552"/>
    </row>
    <row r="553" spans="1:17" ht="15.6" x14ac:dyDescent="0.3">
      <c r="A553" s="15">
        <v>10161</v>
      </c>
      <c r="B553" s="14">
        <v>37911</v>
      </c>
      <c r="C553" s="14" t="s">
        <v>323</v>
      </c>
      <c r="D553" s="15" t="s">
        <v>159</v>
      </c>
      <c r="E553" s="15" t="s">
        <v>160</v>
      </c>
      <c r="F553" s="15" t="s">
        <v>51</v>
      </c>
      <c r="G553" s="15" t="s">
        <v>25</v>
      </c>
      <c r="H553" s="15" t="s">
        <v>32</v>
      </c>
      <c r="I553" s="15" t="s">
        <v>34</v>
      </c>
      <c r="J553" s="15" t="s">
        <v>246</v>
      </c>
      <c r="K553" s="15">
        <v>20</v>
      </c>
      <c r="L553" s="16">
        <v>80</v>
      </c>
      <c r="M553" s="17">
        <v>1600</v>
      </c>
      <c r="N553" s="15" t="s">
        <v>367</v>
      </c>
      <c r="O553" s="15" t="s">
        <v>19</v>
      </c>
      <c r="Q553"/>
    </row>
    <row r="554" spans="1:17" ht="15.6" x14ac:dyDescent="0.3">
      <c r="A554" s="11">
        <v>10161</v>
      </c>
      <c r="B554" s="10">
        <v>37911</v>
      </c>
      <c r="C554" s="10" t="s">
        <v>323</v>
      </c>
      <c r="D554" s="11" t="s">
        <v>159</v>
      </c>
      <c r="E554" s="11" t="s">
        <v>160</v>
      </c>
      <c r="F554" s="11" t="s">
        <v>51</v>
      </c>
      <c r="G554" s="11" t="s">
        <v>25</v>
      </c>
      <c r="H554" s="11" t="s">
        <v>32</v>
      </c>
      <c r="I554" s="11" t="s">
        <v>46</v>
      </c>
      <c r="J554" s="11" t="s">
        <v>254</v>
      </c>
      <c r="K554" s="11">
        <v>25</v>
      </c>
      <c r="L554" s="12">
        <v>90</v>
      </c>
      <c r="M554" s="13">
        <v>2250</v>
      </c>
      <c r="N554" s="11" t="s">
        <v>367</v>
      </c>
      <c r="O554" s="11" t="s">
        <v>19</v>
      </c>
      <c r="Q554"/>
    </row>
    <row r="555" spans="1:17" ht="15.6" x14ac:dyDescent="0.3">
      <c r="A555" s="15">
        <v>10161</v>
      </c>
      <c r="B555" s="14">
        <v>37911</v>
      </c>
      <c r="C555" s="14" t="s">
        <v>323</v>
      </c>
      <c r="D555" s="15" t="s">
        <v>159</v>
      </c>
      <c r="E555" s="15" t="s">
        <v>160</v>
      </c>
      <c r="F555" s="15" t="s">
        <v>51</v>
      </c>
      <c r="G555" s="15" t="s">
        <v>25</v>
      </c>
      <c r="H555" s="15" t="s">
        <v>32</v>
      </c>
      <c r="I555" s="15" t="s">
        <v>33</v>
      </c>
      <c r="J555" s="15" t="s">
        <v>245</v>
      </c>
      <c r="K555" s="15">
        <v>20</v>
      </c>
      <c r="L555" s="16">
        <v>85</v>
      </c>
      <c r="M555" s="17">
        <v>1700</v>
      </c>
      <c r="N555" s="15" t="s">
        <v>367</v>
      </c>
      <c r="O555" s="15" t="s">
        <v>19</v>
      </c>
      <c r="Q555"/>
    </row>
    <row r="556" spans="1:17" ht="15.6" x14ac:dyDescent="0.3">
      <c r="A556" s="11">
        <v>10161</v>
      </c>
      <c r="B556" s="10">
        <v>37911</v>
      </c>
      <c r="C556" s="10" t="s">
        <v>323</v>
      </c>
      <c r="D556" s="11" t="s">
        <v>159</v>
      </c>
      <c r="E556" s="11" t="s">
        <v>160</v>
      </c>
      <c r="F556" s="11" t="s">
        <v>51</v>
      </c>
      <c r="G556" s="11" t="s">
        <v>25</v>
      </c>
      <c r="H556" s="11" t="s">
        <v>32</v>
      </c>
      <c r="I556" s="11" t="s">
        <v>45</v>
      </c>
      <c r="J556" s="11" t="s">
        <v>253</v>
      </c>
      <c r="K556" s="11">
        <v>30</v>
      </c>
      <c r="L556" s="12">
        <v>35</v>
      </c>
      <c r="M556" s="13">
        <v>1050</v>
      </c>
      <c r="N556" s="11" t="s">
        <v>367</v>
      </c>
      <c r="O556" s="11" t="s">
        <v>19</v>
      </c>
      <c r="Q556"/>
    </row>
    <row r="557" spans="1:17" ht="15.6" x14ac:dyDescent="0.3">
      <c r="A557" s="15">
        <v>10162</v>
      </c>
      <c r="B557" s="14">
        <v>37912</v>
      </c>
      <c r="C557" s="14" t="s">
        <v>321</v>
      </c>
      <c r="D557" s="15" t="s">
        <v>156</v>
      </c>
      <c r="E557" s="15" t="s">
        <v>87</v>
      </c>
      <c r="F557" s="15" t="s">
        <v>15</v>
      </c>
      <c r="G557" s="15" t="s">
        <v>16</v>
      </c>
      <c r="H557" s="15" t="s">
        <v>17</v>
      </c>
      <c r="I557" s="15" t="s">
        <v>21</v>
      </c>
      <c r="J557" s="15" t="s">
        <v>243</v>
      </c>
      <c r="K557" s="15">
        <v>48</v>
      </c>
      <c r="L557" s="16">
        <v>110</v>
      </c>
      <c r="M557" s="17">
        <v>5280</v>
      </c>
      <c r="N557" s="15" t="s">
        <v>367</v>
      </c>
      <c r="O557" s="15" t="s">
        <v>19</v>
      </c>
      <c r="Q557"/>
    </row>
    <row r="558" spans="1:17" ht="15.6" x14ac:dyDescent="0.3">
      <c r="A558" s="11">
        <v>10162</v>
      </c>
      <c r="B558" s="10">
        <v>37912</v>
      </c>
      <c r="C558" s="10" t="s">
        <v>321</v>
      </c>
      <c r="D558" s="11" t="s">
        <v>156</v>
      </c>
      <c r="E558" s="11" t="s">
        <v>87</v>
      </c>
      <c r="F558" s="11" t="s">
        <v>15</v>
      </c>
      <c r="G558" s="11" t="s">
        <v>16</v>
      </c>
      <c r="H558" s="11" t="s">
        <v>17</v>
      </c>
      <c r="I558" s="11" t="s">
        <v>21</v>
      </c>
      <c r="J558" s="11" t="s">
        <v>243</v>
      </c>
      <c r="K558" s="11">
        <v>45</v>
      </c>
      <c r="L558" s="12">
        <v>110</v>
      </c>
      <c r="M558" s="13">
        <v>4950</v>
      </c>
      <c r="N558" s="11" t="s">
        <v>367</v>
      </c>
      <c r="O558" s="11" t="s">
        <v>19</v>
      </c>
      <c r="Q558"/>
    </row>
    <row r="559" spans="1:17" ht="15.6" x14ac:dyDescent="0.3">
      <c r="A559" s="15">
        <v>10162</v>
      </c>
      <c r="B559" s="14">
        <v>37912</v>
      </c>
      <c r="C559" s="14" t="s">
        <v>321</v>
      </c>
      <c r="D559" s="15" t="s">
        <v>156</v>
      </c>
      <c r="E559" s="15" t="s">
        <v>87</v>
      </c>
      <c r="F559" s="15" t="s">
        <v>15</v>
      </c>
      <c r="G559" s="15" t="s">
        <v>16</v>
      </c>
      <c r="H559" s="15" t="s">
        <v>17</v>
      </c>
      <c r="I559" s="15" t="s">
        <v>26</v>
      </c>
      <c r="J559" s="15" t="s">
        <v>244</v>
      </c>
      <c r="K559" s="15">
        <v>29</v>
      </c>
      <c r="L559" s="16">
        <v>60</v>
      </c>
      <c r="M559" s="17">
        <v>1740</v>
      </c>
      <c r="N559" s="15" t="s">
        <v>367</v>
      </c>
      <c r="O559" s="15" t="s">
        <v>19</v>
      </c>
      <c r="Q559"/>
    </row>
    <row r="560" spans="1:17" ht="15.6" x14ac:dyDescent="0.3">
      <c r="A560" s="11">
        <v>10162</v>
      </c>
      <c r="B560" s="10">
        <v>37912</v>
      </c>
      <c r="C560" s="10" t="s">
        <v>321</v>
      </c>
      <c r="D560" s="11" t="s">
        <v>156</v>
      </c>
      <c r="E560" s="11" t="s">
        <v>87</v>
      </c>
      <c r="F560" s="11" t="s">
        <v>15</v>
      </c>
      <c r="G560" s="11" t="s">
        <v>16</v>
      </c>
      <c r="H560" s="11" t="s">
        <v>17</v>
      </c>
      <c r="I560" s="11" t="s">
        <v>21</v>
      </c>
      <c r="J560" s="11" t="s">
        <v>243</v>
      </c>
      <c r="K560" s="11">
        <v>27</v>
      </c>
      <c r="L560" s="12">
        <v>110</v>
      </c>
      <c r="M560" s="13">
        <v>2970</v>
      </c>
      <c r="N560" s="11" t="s">
        <v>367</v>
      </c>
      <c r="O560" s="11" t="s">
        <v>19</v>
      </c>
      <c r="Q560"/>
    </row>
    <row r="561" spans="1:17" ht="15.6" x14ac:dyDescent="0.3">
      <c r="A561" s="15">
        <v>10162</v>
      </c>
      <c r="B561" s="14">
        <v>37912</v>
      </c>
      <c r="C561" s="14" t="s">
        <v>321</v>
      </c>
      <c r="D561" s="15" t="s">
        <v>156</v>
      </c>
      <c r="E561" s="15" t="s">
        <v>87</v>
      </c>
      <c r="F561" s="15" t="s">
        <v>15</v>
      </c>
      <c r="G561" s="15" t="s">
        <v>16</v>
      </c>
      <c r="H561" s="15" t="s">
        <v>17</v>
      </c>
      <c r="I561" s="15" t="s">
        <v>18</v>
      </c>
      <c r="J561" s="15" t="s">
        <v>241</v>
      </c>
      <c r="K561" s="15">
        <v>38</v>
      </c>
      <c r="L561" s="16">
        <v>30</v>
      </c>
      <c r="M561" s="17">
        <v>1140</v>
      </c>
      <c r="N561" s="15" t="s">
        <v>367</v>
      </c>
      <c r="O561" s="15" t="s">
        <v>19</v>
      </c>
      <c r="Q561"/>
    </row>
    <row r="562" spans="1:17" ht="15.6" x14ac:dyDescent="0.3">
      <c r="A562" s="11">
        <v>10162</v>
      </c>
      <c r="B562" s="10">
        <v>37912</v>
      </c>
      <c r="C562" s="10" t="s">
        <v>321</v>
      </c>
      <c r="D562" s="11" t="s">
        <v>156</v>
      </c>
      <c r="E562" s="11" t="s">
        <v>87</v>
      </c>
      <c r="F562" s="11" t="s">
        <v>15</v>
      </c>
      <c r="G562" s="11" t="s">
        <v>16</v>
      </c>
      <c r="H562" s="11" t="s">
        <v>17</v>
      </c>
      <c r="I562" s="11" t="s">
        <v>20</v>
      </c>
      <c r="J562" s="11" t="s">
        <v>242</v>
      </c>
      <c r="K562" s="11">
        <v>48</v>
      </c>
      <c r="L562" s="12">
        <v>48</v>
      </c>
      <c r="M562" s="13">
        <v>2304</v>
      </c>
      <c r="N562" s="11" t="s">
        <v>367</v>
      </c>
      <c r="O562" s="11" t="s">
        <v>19</v>
      </c>
      <c r="Q562"/>
    </row>
    <row r="563" spans="1:17" ht="15.6" x14ac:dyDescent="0.3">
      <c r="A563" s="15">
        <v>10162</v>
      </c>
      <c r="B563" s="14">
        <v>37912</v>
      </c>
      <c r="C563" s="14" t="s">
        <v>321</v>
      </c>
      <c r="D563" s="15" t="s">
        <v>156</v>
      </c>
      <c r="E563" s="15" t="s">
        <v>87</v>
      </c>
      <c r="F563" s="15" t="s">
        <v>15</v>
      </c>
      <c r="G563" s="15" t="s">
        <v>16</v>
      </c>
      <c r="H563" s="15" t="s">
        <v>17</v>
      </c>
      <c r="I563" s="15" t="s">
        <v>20</v>
      </c>
      <c r="J563" s="15" t="s">
        <v>242</v>
      </c>
      <c r="K563" s="15">
        <v>39</v>
      </c>
      <c r="L563" s="16">
        <v>48</v>
      </c>
      <c r="M563" s="17">
        <v>1872</v>
      </c>
      <c r="N563" s="15" t="s">
        <v>367</v>
      </c>
      <c r="O563" s="15" t="s">
        <v>19</v>
      </c>
      <c r="Q563"/>
    </row>
    <row r="564" spans="1:17" ht="15.6" x14ac:dyDescent="0.3">
      <c r="A564" s="11">
        <v>10162</v>
      </c>
      <c r="B564" s="10">
        <v>37912</v>
      </c>
      <c r="C564" s="10" t="s">
        <v>321</v>
      </c>
      <c r="D564" s="11" t="s">
        <v>156</v>
      </c>
      <c r="E564" s="11" t="s">
        <v>87</v>
      </c>
      <c r="F564" s="11" t="s">
        <v>15</v>
      </c>
      <c r="G564" s="11" t="s">
        <v>16</v>
      </c>
      <c r="H564" s="11" t="s">
        <v>17</v>
      </c>
      <c r="I564" s="11" t="s">
        <v>20</v>
      </c>
      <c r="J564" s="11" t="s">
        <v>242</v>
      </c>
      <c r="K564" s="11">
        <v>37</v>
      </c>
      <c r="L564" s="12">
        <v>48</v>
      </c>
      <c r="M564" s="13">
        <v>1776</v>
      </c>
      <c r="N564" s="11" t="s">
        <v>367</v>
      </c>
      <c r="O564" s="11" t="s">
        <v>19</v>
      </c>
      <c r="Q564"/>
    </row>
    <row r="565" spans="1:17" ht="15.6" x14ac:dyDescent="0.3">
      <c r="A565" s="15">
        <v>10162</v>
      </c>
      <c r="B565" s="14">
        <v>37912</v>
      </c>
      <c r="C565" s="14" t="s">
        <v>321</v>
      </c>
      <c r="D565" s="15" t="s">
        <v>156</v>
      </c>
      <c r="E565" s="15" t="s">
        <v>87</v>
      </c>
      <c r="F565" s="15" t="s">
        <v>15</v>
      </c>
      <c r="G565" s="15" t="s">
        <v>16</v>
      </c>
      <c r="H565" s="15" t="s">
        <v>17</v>
      </c>
      <c r="I565" s="15" t="s">
        <v>20</v>
      </c>
      <c r="J565" s="15" t="s">
        <v>242</v>
      </c>
      <c r="K565" s="15">
        <v>43</v>
      </c>
      <c r="L565" s="16">
        <v>48</v>
      </c>
      <c r="M565" s="17">
        <v>2064</v>
      </c>
      <c r="N565" s="15" t="s">
        <v>367</v>
      </c>
      <c r="O565" s="15" t="s">
        <v>19</v>
      </c>
      <c r="Q565"/>
    </row>
    <row r="566" spans="1:17" ht="15.6" x14ac:dyDescent="0.3">
      <c r="A566" s="11">
        <v>10162</v>
      </c>
      <c r="B566" s="10">
        <v>37912</v>
      </c>
      <c r="C566" s="10" t="s">
        <v>321</v>
      </c>
      <c r="D566" s="11" t="s">
        <v>156</v>
      </c>
      <c r="E566" s="11" t="s">
        <v>87</v>
      </c>
      <c r="F566" s="11" t="s">
        <v>15</v>
      </c>
      <c r="G566" s="11" t="s">
        <v>16</v>
      </c>
      <c r="H566" s="11" t="s">
        <v>17</v>
      </c>
      <c r="I566" s="11" t="s">
        <v>26</v>
      </c>
      <c r="J566" s="11" t="s">
        <v>244</v>
      </c>
      <c r="K566" s="11">
        <v>37</v>
      </c>
      <c r="L566" s="12">
        <v>60</v>
      </c>
      <c r="M566" s="13">
        <v>2220</v>
      </c>
      <c r="N566" s="11" t="s">
        <v>367</v>
      </c>
      <c r="O566" s="11" t="s">
        <v>19</v>
      </c>
      <c r="Q566"/>
    </row>
    <row r="567" spans="1:17" ht="15.6" x14ac:dyDescent="0.3">
      <c r="A567" s="15">
        <v>10163</v>
      </c>
      <c r="B567" s="14">
        <v>37914</v>
      </c>
      <c r="C567" s="14" t="s">
        <v>290</v>
      </c>
      <c r="D567" s="15" t="s">
        <v>93</v>
      </c>
      <c r="E567" s="15" t="s">
        <v>28</v>
      </c>
      <c r="F567" s="15" t="s">
        <v>15</v>
      </c>
      <c r="G567" s="15" t="s">
        <v>16</v>
      </c>
      <c r="H567" s="15" t="s">
        <v>32</v>
      </c>
      <c r="I567" s="15" t="s">
        <v>34</v>
      </c>
      <c r="J567" s="15" t="s">
        <v>246</v>
      </c>
      <c r="K567" s="15">
        <v>21</v>
      </c>
      <c r="L567" s="16">
        <v>80</v>
      </c>
      <c r="M567" s="17">
        <v>1680</v>
      </c>
      <c r="N567" s="15" t="s">
        <v>367</v>
      </c>
      <c r="O567" s="15" t="s">
        <v>19</v>
      </c>
      <c r="Q567"/>
    </row>
    <row r="568" spans="1:17" ht="15.6" x14ac:dyDescent="0.3">
      <c r="A568" s="11">
        <v>10163</v>
      </c>
      <c r="B568" s="10">
        <v>37914</v>
      </c>
      <c r="C568" s="10" t="s">
        <v>290</v>
      </c>
      <c r="D568" s="11" t="s">
        <v>93</v>
      </c>
      <c r="E568" s="11" t="s">
        <v>28</v>
      </c>
      <c r="F568" s="11" t="s">
        <v>15</v>
      </c>
      <c r="G568" s="11" t="s">
        <v>16</v>
      </c>
      <c r="H568" s="11" t="s">
        <v>17</v>
      </c>
      <c r="I568" s="11" t="s">
        <v>82</v>
      </c>
      <c r="J568" s="11" t="s">
        <v>270</v>
      </c>
      <c r="K568" s="11">
        <v>31</v>
      </c>
      <c r="L568" s="12">
        <v>75</v>
      </c>
      <c r="M568" s="13">
        <v>2325</v>
      </c>
      <c r="N568" s="11" t="s">
        <v>367</v>
      </c>
      <c r="O568" s="11" t="s">
        <v>19</v>
      </c>
      <c r="Q568"/>
    </row>
    <row r="569" spans="1:17" ht="15.6" x14ac:dyDescent="0.3">
      <c r="A569" s="15">
        <v>10163</v>
      </c>
      <c r="B569" s="14">
        <v>37914</v>
      </c>
      <c r="C569" s="14" t="s">
        <v>290</v>
      </c>
      <c r="D569" s="15" t="s">
        <v>93</v>
      </c>
      <c r="E569" s="15" t="s">
        <v>28</v>
      </c>
      <c r="F569" s="15" t="s">
        <v>15</v>
      </c>
      <c r="G569" s="15" t="s">
        <v>16</v>
      </c>
      <c r="H569" s="15" t="s">
        <v>17</v>
      </c>
      <c r="I569" s="15" t="s">
        <v>20</v>
      </c>
      <c r="J569" s="15" t="s">
        <v>242</v>
      </c>
      <c r="K569" s="15">
        <v>48</v>
      </c>
      <c r="L569" s="16">
        <v>48</v>
      </c>
      <c r="M569" s="17">
        <v>2304</v>
      </c>
      <c r="N569" s="15" t="s">
        <v>367</v>
      </c>
      <c r="O569" s="15" t="s">
        <v>19</v>
      </c>
      <c r="Q569"/>
    </row>
    <row r="570" spans="1:17" ht="15.6" x14ac:dyDescent="0.3">
      <c r="A570" s="11">
        <v>10163</v>
      </c>
      <c r="B570" s="10">
        <v>37914</v>
      </c>
      <c r="C570" s="10" t="s">
        <v>290</v>
      </c>
      <c r="D570" s="11" t="s">
        <v>93</v>
      </c>
      <c r="E570" s="11" t="s">
        <v>28</v>
      </c>
      <c r="F570" s="11" t="s">
        <v>15</v>
      </c>
      <c r="G570" s="11" t="s">
        <v>16</v>
      </c>
      <c r="H570" s="11" t="s">
        <v>17</v>
      </c>
      <c r="I570" s="11" t="s">
        <v>26</v>
      </c>
      <c r="J570" s="11" t="s">
        <v>244</v>
      </c>
      <c r="K570" s="11">
        <v>40</v>
      </c>
      <c r="L570" s="12">
        <v>60</v>
      </c>
      <c r="M570" s="13">
        <v>2400</v>
      </c>
      <c r="N570" s="11" t="s">
        <v>367</v>
      </c>
      <c r="O570" s="11" t="s">
        <v>19</v>
      </c>
      <c r="Q570"/>
    </row>
    <row r="571" spans="1:17" ht="15.6" x14ac:dyDescent="0.3">
      <c r="A571" s="15">
        <v>10163</v>
      </c>
      <c r="B571" s="14">
        <v>37914</v>
      </c>
      <c r="C571" s="14" t="s">
        <v>290</v>
      </c>
      <c r="D571" s="15" t="s">
        <v>93</v>
      </c>
      <c r="E571" s="15" t="s">
        <v>28</v>
      </c>
      <c r="F571" s="15" t="s">
        <v>15</v>
      </c>
      <c r="G571" s="15" t="s">
        <v>16</v>
      </c>
      <c r="H571" s="15" t="s">
        <v>17</v>
      </c>
      <c r="I571" s="15" t="s">
        <v>20</v>
      </c>
      <c r="J571" s="15" t="s">
        <v>242</v>
      </c>
      <c r="K571" s="15">
        <v>43</v>
      </c>
      <c r="L571" s="16">
        <v>48</v>
      </c>
      <c r="M571" s="17">
        <v>2064</v>
      </c>
      <c r="N571" s="15" t="s">
        <v>367</v>
      </c>
      <c r="O571" s="15" t="s">
        <v>19</v>
      </c>
      <c r="Q571"/>
    </row>
    <row r="572" spans="1:17" ht="15.6" x14ac:dyDescent="0.3">
      <c r="A572" s="11">
        <v>10163</v>
      </c>
      <c r="B572" s="10">
        <v>37914</v>
      </c>
      <c r="C572" s="10" t="s">
        <v>290</v>
      </c>
      <c r="D572" s="11" t="s">
        <v>93</v>
      </c>
      <c r="E572" s="11" t="s">
        <v>28</v>
      </c>
      <c r="F572" s="11" t="s">
        <v>15</v>
      </c>
      <c r="G572" s="11" t="s">
        <v>16</v>
      </c>
      <c r="H572" s="11" t="s">
        <v>17</v>
      </c>
      <c r="I572" s="11" t="s">
        <v>20</v>
      </c>
      <c r="J572" s="11" t="s">
        <v>242</v>
      </c>
      <c r="K572" s="11">
        <v>42</v>
      </c>
      <c r="L572" s="12">
        <v>48</v>
      </c>
      <c r="M572" s="13">
        <v>2016</v>
      </c>
      <c r="N572" s="11" t="s">
        <v>367</v>
      </c>
      <c r="O572" s="11" t="s">
        <v>19</v>
      </c>
      <c r="Q572"/>
    </row>
    <row r="573" spans="1:17" ht="15.6" x14ac:dyDescent="0.3">
      <c r="A573" s="15">
        <v>10166</v>
      </c>
      <c r="B573" s="14">
        <v>37915</v>
      </c>
      <c r="C573" s="14" t="s">
        <v>325</v>
      </c>
      <c r="D573" s="15" t="s">
        <v>163</v>
      </c>
      <c r="E573" s="15" t="s">
        <v>137</v>
      </c>
      <c r="F573" s="15" t="s">
        <v>15</v>
      </c>
      <c r="G573" s="15" t="s">
        <v>16</v>
      </c>
      <c r="H573" s="15" t="s">
        <v>17</v>
      </c>
      <c r="I573" s="15" t="s">
        <v>18</v>
      </c>
      <c r="J573" s="15" t="s">
        <v>241</v>
      </c>
      <c r="K573" s="15">
        <v>43</v>
      </c>
      <c r="L573" s="16">
        <v>30</v>
      </c>
      <c r="M573" s="17">
        <v>1290</v>
      </c>
      <c r="N573" s="15" t="s">
        <v>367</v>
      </c>
      <c r="O573" s="15" t="s">
        <v>19</v>
      </c>
      <c r="Q573"/>
    </row>
    <row r="574" spans="1:17" ht="15.6" x14ac:dyDescent="0.3">
      <c r="A574" s="11">
        <v>10166</v>
      </c>
      <c r="B574" s="10">
        <v>37915</v>
      </c>
      <c r="C574" s="10" t="s">
        <v>325</v>
      </c>
      <c r="D574" s="11" t="s">
        <v>163</v>
      </c>
      <c r="E574" s="11" t="s">
        <v>137</v>
      </c>
      <c r="F574" s="11" t="s">
        <v>15</v>
      </c>
      <c r="G574" s="11" t="s">
        <v>16</v>
      </c>
      <c r="H574" s="11" t="s">
        <v>17</v>
      </c>
      <c r="I574" s="11" t="s">
        <v>20</v>
      </c>
      <c r="J574" s="11" t="s">
        <v>242</v>
      </c>
      <c r="K574" s="11">
        <v>26</v>
      </c>
      <c r="L574" s="12">
        <v>48</v>
      </c>
      <c r="M574" s="13">
        <v>1248</v>
      </c>
      <c r="N574" s="11" t="s">
        <v>367</v>
      </c>
      <c r="O574" s="11" t="s">
        <v>19</v>
      </c>
      <c r="Q574"/>
    </row>
    <row r="575" spans="1:17" ht="15.6" x14ac:dyDescent="0.3">
      <c r="A575" s="15">
        <v>10166</v>
      </c>
      <c r="B575" s="14">
        <v>37915</v>
      </c>
      <c r="C575" s="14" t="s">
        <v>325</v>
      </c>
      <c r="D575" s="15" t="s">
        <v>163</v>
      </c>
      <c r="E575" s="15" t="s">
        <v>137</v>
      </c>
      <c r="F575" s="15" t="s">
        <v>15</v>
      </c>
      <c r="G575" s="15" t="s">
        <v>16</v>
      </c>
      <c r="H575" s="15" t="s">
        <v>54</v>
      </c>
      <c r="I575" s="15" t="s">
        <v>55</v>
      </c>
      <c r="J575" s="15" t="s">
        <v>258</v>
      </c>
      <c r="K575" s="15">
        <v>29</v>
      </c>
      <c r="L575" s="16">
        <v>180</v>
      </c>
      <c r="M575" s="17">
        <v>5220</v>
      </c>
      <c r="N575" s="15" t="s">
        <v>367</v>
      </c>
      <c r="O575" s="15" t="s">
        <v>19</v>
      </c>
      <c r="Q575"/>
    </row>
    <row r="576" spans="1:17" ht="15.6" x14ac:dyDescent="0.3">
      <c r="A576" s="11">
        <v>10165</v>
      </c>
      <c r="B576" s="10">
        <v>37916</v>
      </c>
      <c r="C576" s="10" t="s">
        <v>292</v>
      </c>
      <c r="D576" s="11" t="s">
        <v>97</v>
      </c>
      <c r="E576" s="11" t="s">
        <v>98</v>
      </c>
      <c r="F576" s="11" t="s">
        <v>98</v>
      </c>
      <c r="G576" s="11" t="s">
        <v>74</v>
      </c>
      <c r="H576" s="11" t="s">
        <v>32</v>
      </c>
      <c r="I576" s="11" t="s">
        <v>33</v>
      </c>
      <c r="J576" s="11" t="s">
        <v>245</v>
      </c>
      <c r="K576" s="11">
        <v>44</v>
      </c>
      <c r="L576" s="12">
        <v>85</v>
      </c>
      <c r="M576" s="13">
        <v>3740</v>
      </c>
      <c r="N576" s="11" t="s">
        <v>367</v>
      </c>
      <c r="O576" s="11" t="s">
        <v>19</v>
      </c>
      <c r="Q576"/>
    </row>
    <row r="577" spans="1:17" ht="15.6" x14ac:dyDescent="0.3">
      <c r="A577" s="15">
        <v>10165</v>
      </c>
      <c r="B577" s="14">
        <v>37916</v>
      </c>
      <c r="C577" s="14" t="s">
        <v>292</v>
      </c>
      <c r="D577" s="15" t="s">
        <v>97</v>
      </c>
      <c r="E577" s="15" t="s">
        <v>98</v>
      </c>
      <c r="F577" s="15" t="s">
        <v>98</v>
      </c>
      <c r="G577" s="15" t="s">
        <v>74</v>
      </c>
      <c r="H577" s="15" t="s">
        <v>32</v>
      </c>
      <c r="I577" s="15" t="s">
        <v>46</v>
      </c>
      <c r="J577" s="15" t="s">
        <v>254</v>
      </c>
      <c r="K577" s="15">
        <v>34</v>
      </c>
      <c r="L577" s="16">
        <v>90</v>
      </c>
      <c r="M577" s="17">
        <v>3060</v>
      </c>
      <c r="N577" s="15" t="s">
        <v>367</v>
      </c>
      <c r="O577" s="15" t="s">
        <v>19</v>
      </c>
      <c r="Q577"/>
    </row>
    <row r="578" spans="1:17" ht="15.6" x14ac:dyDescent="0.3">
      <c r="A578" s="11">
        <v>10165</v>
      </c>
      <c r="B578" s="10">
        <v>37916</v>
      </c>
      <c r="C578" s="10" t="s">
        <v>292</v>
      </c>
      <c r="D578" s="11" t="s">
        <v>97</v>
      </c>
      <c r="E578" s="11" t="s">
        <v>98</v>
      </c>
      <c r="F578" s="11" t="s">
        <v>98</v>
      </c>
      <c r="G578" s="11" t="s">
        <v>74</v>
      </c>
      <c r="H578" s="11" t="s">
        <v>32</v>
      </c>
      <c r="I578" s="11" t="s">
        <v>33</v>
      </c>
      <c r="J578" s="11" t="s">
        <v>245</v>
      </c>
      <c r="K578" s="11">
        <v>27</v>
      </c>
      <c r="L578" s="12">
        <v>85</v>
      </c>
      <c r="M578" s="13">
        <v>2295</v>
      </c>
      <c r="N578" s="11" t="s">
        <v>367</v>
      </c>
      <c r="O578" s="11" t="s">
        <v>19</v>
      </c>
      <c r="Q578"/>
    </row>
    <row r="579" spans="1:17" ht="15.6" x14ac:dyDescent="0.3">
      <c r="A579" s="15">
        <v>10165</v>
      </c>
      <c r="B579" s="14">
        <v>37916</v>
      </c>
      <c r="C579" s="14" t="s">
        <v>292</v>
      </c>
      <c r="D579" s="15" t="s">
        <v>97</v>
      </c>
      <c r="E579" s="15" t="s">
        <v>98</v>
      </c>
      <c r="F579" s="15" t="s">
        <v>98</v>
      </c>
      <c r="G579" s="15" t="s">
        <v>74</v>
      </c>
      <c r="H579" s="15" t="s">
        <v>35</v>
      </c>
      <c r="I579" s="15" t="s">
        <v>38</v>
      </c>
      <c r="J579" s="15" t="s">
        <v>249</v>
      </c>
      <c r="K579" s="15">
        <v>48</v>
      </c>
      <c r="L579" s="16">
        <v>20</v>
      </c>
      <c r="M579" s="17">
        <v>960</v>
      </c>
      <c r="N579" s="15" t="s">
        <v>367</v>
      </c>
      <c r="O579" s="15" t="s">
        <v>19</v>
      </c>
      <c r="Q579"/>
    </row>
    <row r="580" spans="1:17" ht="15.6" x14ac:dyDescent="0.3">
      <c r="A580" s="11">
        <v>10165</v>
      </c>
      <c r="B580" s="10">
        <v>37916</v>
      </c>
      <c r="C580" s="10" t="s">
        <v>292</v>
      </c>
      <c r="D580" s="11" t="s">
        <v>97</v>
      </c>
      <c r="E580" s="11" t="s">
        <v>98</v>
      </c>
      <c r="F580" s="11" t="s">
        <v>98</v>
      </c>
      <c r="G580" s="11" t="s">
        <v>74</v>
      </c>
      <c r="H580" s="11" t="s">
        <v>32</v>
      </c>
      <c r="I580" s="11" t="s">
        <v>34</v>
      </c>
      <c r="J580" s="11" t="s">
        <v>246</v>
      </c>
      <c r="K580" s="11">
        <v>29</v>
      </c>
      <c r="L580" s="12">
        <v>80</v>
      </c>
      <c r="M580" s="13">
        <v>2320</v>
      </c>
      <c r="N580" s="11" t="s">
        <v>367</v>
      </c>
      <c r="O580" s="11" t="s">
        <v>19</v>
      </c>
      <c r="Q580"/>
    </row>
    <row r="581" spans="1:17" ht="15.6" x14ac:dyDescent="0.3">
      <c r="A581" s="15">
        <v>10165</v>
      </c>
      <c r="B581" s="14">
        <v>37916</v>
      </c>
      <c r="C581" s="14" t="s">
        <v>292</v>
      </c>
      <c r="D581" s="15" t="s">
        <v>97</v>
      </c>
      <c r="E581" s="15" t="s">
        <v>98</v>
      </c>
      <c r="F581" s="15" t="s">
        <v>98</v>
      </c>
      <c r="G581" s="15" t="s">
        <v>74</v>
      </c>
      <c r="H581" s="15" t="s">
        <v>35</v>
      </c>
      <c r="I581" s="15" t="s">
        <v>39</v>
      </c>
      <c r="J581" s="15" t="s">
        <v>250</v>
      </c>
      <c r="K581" s="15">
        <v>46</v>
      </c>
      <c r="L581" s="16">
        <v>20</v>
      </c>
      <c r="M581" s="17">
        <v>920</v>
      </c>
      <c r="N581" s="15" t="s">
        <v>367</v>
      </c>
      <c r="O581" s="15" t="s">
        <v>19</v>
      </c>
      <c r="Q581"/>
    </row>
    <row r="582" spans="1:17" ht="15.6" x14ac:dyDescent="0.3">
      <c r="A582" s="11">
        <v>10165</v>
      </c>
      <c r="B582" s="10">
        <v>37916</v>
      </c>
      <c r="C582" s="10" t="s">
        <v>292</v>
      </c>
      <c r="D582" s="11" t="s">
        <v>97</v>
      </c>
      <c r="E582" s="11" t="s">
        <v>98</v>
      </c>
      <c r="F582" s="11" t="s">
        <v>98</v>
      </c>
      <c r="G582" s="11" t="s">
        <v>74</v>
      </c>
      <c r="H582" s="11" t="s">
        <v>35</v>
      </c>
      <c r="I582" s="11" t="s">
        <v>39</v>
      </c>
      <c r="J582" s="11" t="s">
        <v>250</v>
      </c>
      <c r="K582" s="11">
        <v>31</v>
      </c>
      <c r="L582" s="12">
        <v>20</v>
      </c>
      <c r="M582" s="13">
        <v>620</v>
      </c>
      <c r="N582" s="11" t="s">
        <v>367</v>
      </c>
      <c r="O582" s="11" t="s">
        <v>19</v>
      </c>
      <c r="Q582"/>
    </row>
    <row r="583" spans="1:17" ht="15.6" x14ac:dyDescent="0.3">
      <c r="A583" s="15">
        <v>10165</v>
      </c>
      <c r="B583" s="14">
        <v>37916</v>
      </c>
      <c r="C583" s="14" t="s">
        <v>292</v>
      </c>
      <c r="D583" s="15" t="s">
        <v>97</v>
      </c>
      <c r="E583" s="15" t="s">
        <v>98</v>
      </c>
      <c r="F583" s="15" t="s">
        <v>98</v>
      </c>
      <c r="G583" s="15" t="s">
        <v>74</v>
      </c>
      <c r="H583" s="15" t="s">
        <v>32</v>
      </c>
      <c r="I583" s="15" t="s">
        <v>33</v>
      </c>
      <c r="J583" s="15" t="s">
        <v>245</v>
      </c>
      <c r="K583" s="15">
        <v>47</v>
      </c>
      <c r="L583" s="16">
        <v>85</v>
      </c>
      <c r="M583" s="17">
        <v>3995</v>
      </c>
      <c r="N583" s="15" t="s">
        <v>367</v>
      </c>
      <c r="O583" s="15" t="s">
        <v>19</v>
      </c>
      <c r="Q583"/>
    </row>
    <row r="584" spans="1:17" ht="15.6" x14ac:dyDescent="0.3">
      <c r="A584" s="11">
        <v>10165</v>
      </c>
      <c r="B584" s="10">
        <v>37916</v>
      </c>
      <c r="C584" s="10" t="s">
        <v>292</v>
      </c>
      <c r="D584" s="11" t="s">
        <v>97</v>
      </c>
      <c r="E584" s="11" t="s">
        <v>98</v>
      </c>
      <c r="F584" s="11" t="s">
        <v>98</v>
      </c>
      <c r="G584" s="11" t="s">
        <v>74</v>
      </c>
      <c r="H584" s="11" t="s">
        <v>47</v>
      </c>
      <c r="I584" s="11" t="s">
        <v>48</v>
      </c>
      <c r="J584" s="11" t="s">
        <v>255</v>
      </c>
      <c r="K584" s="11">
        <v>50</v>
      </c>
      <c r="L584" s="12">
        <v>70</v>
      </c>
      <c r="M584" s="13">
        <v>3500</v>
      </c>
      <c r="N584" s="11" t="s">
        <v>368</v>
      </c>
      <c r="O584" s="11" t="s">
        <v>19</v>
      </c>
      <c r="Q584"/>
    </row>
    <row r="585" spans="1:17" ht="15.6" x14ac:dyDescent="0.3">
      <c r="A585" s="15">
        <v>10165</v>
      </c>
      <c r="B585" s="14">
        <v>37916</v>
      </c>
      <c r="C585" s="14" t="s">
        <v>292</v>
      </c>
      <c r="D585" s="15" t="s">
        <v>97</v>
      </c>
      <c r="E585" s="15" t="s">
        <v>98</v>
      </c>
      <c r="F585" s="15" t="s">
        <v>98</v>
      </c>
      <c r="G585" s="15" t="s">
        <v>74</v>
      </c>
      <c r="H585" s="15" t="s">
        <v>32</v>
      </c>
      <c r="I585" s="15" t="s">
        <v>34</v>
      </c>
      <c r="J585" s="15" t="s">
        <v>246</v>
      </c>
      <c r="K585" s="15">
        <v>28</v>
      </c>
      <c r="L585" s="16">
        <v>80</v>
      </c>
      <c r="M585" s="17">
        <v>2240</v>
      </c>
      <c r="N585" s="15" t="s">
        <v>367</v>
      </c>
      <c r="O585" s="15" t="s">
        <v>19</v>
      </c>
      <c r="Q585"/>
    </row>
    <row r="586" spans="1:17" ht="15.6" x14ac:dyDescent="0.3">
      <c r="A586" s="11">
        <v>10165</v>
      </c>
      <c r="B586" s="10">
        <v>37916</v>
      </c>
      <c r="C586" s="10" t="s">
        <v>292</v>
      </c>
      <c r="D586" s="11" t="s">
        <v>97</v>
      </c>
      <c r="E586" s="11" t="s">
        <v>98</v>
      </c>
      <c r="F586" s="11" t="s">
        <v>98</v>
      </c>
      <c r="G586" s="11" t="s">
        <v>74</v>
      </c>
      <c r="H586" s="11" t="s">
        <v>32</v>
      </c>
      <c r="I586" s="11" t="s">
        <v>34</v>
      </c>
      <c r="J586" s="11" t="s">
        <v>246</v>
      </c>
      <c r="K586" s="11">
        <v>25</v>
      </c>
      <c r="L586" s="12">
        <v>80</v>
      </c>
      <c r="M586" s="13">
        <v>2000</v>
      </c>
      <c r="N586" s="11" t="s">
        <v>367</v>
      </c>
      <c r="O586" s="11" t="s">
        <v>19</v>
      </c>
      <c r="Q586"/>
    </row>
    <row r="587" spans="1:17" ht="15.6" x14ac:dyDescent="0.3">
      <c r="A587" s="15">
        <v>10165</v>
      </c>
      <c r="B587" s="14">
        <v>37916</v>
      </c>
      <c r="C587" s="14" t="s">
        <v>292</v>
      </c>
      <c r="D587" s="15" t="s">
        <v>97</v>
      </c>
      <c r="E587" s="15" t="s">
        <v>98</v>
      </c>
      <c r="F587" s="15" t="s">
        <v>98</v>
      </c>
      <c r="G587" s="15" t="s">
        <v>74</v>
      </c>
      <c r="H587" s="15" t="s">
        <v>35</v>
      </c>
      <c r="I587" s="15" t="s">
        <v>38</v>
      </c>
      <c r="J587" s="15" t="s">
        <v>249</v>
      </c>
      <c r="K587" s="15">
        <v>32</v>
      </c>
      <c r="L587" s="16">
        <v>20</v>
      </c>
      <c r="M587" s="17">
        <v>640</v>
      </c>
      <c r="N587" s="15" t="s">
        <v>367</v>
      </c>
      <c r="O587" s="15" t="s">
        <v>19</v>
      </c>
      <c r="Q587"/>
    </row>
    <row r="588" spans="1:17" ht="15.6" x14ac:dyDescent="0.3">
      <c r="A588" s="11">
        <v>10165</v>
      </c>
      <c r="B588" s="10">
        <v>37916</v>
      </c>
      <c r="C588" s="10" t="s">
        <v>292</v>
      </c>
      <c r="D588" s="11" t="s">
        <v>97</v>
      </c>
      <c r="E588" s="11" t="s">
        <v>98</v>
      </c>
      <c r="F588" s="11" t="s">
        <v>98</v>
      </c>
      <c r="G588" s="11" t="s">
        <v>74</v>
      </c>
      <c r="H588" s="11" t="s">
        <v>32</v>
      </c>
      <c r="I588" s="11" t="s">
        <v>44</v>
      </c>
      <c r="J588" s="11" t="s">
        <v>252</v>
      </c>
      <c r="K588" s="11">
        <v>27</v>
      </c>
      <c r="L588" s="12">
        <v>55</v>
      </c>
      <c r="M588" s="13">
        <v>1485</v>
      </c>
      <c r="N588" s="11" t="s">
        <v>367</v>
      </c>
      <c r="O588" s="11" t="s">
        <v>19</v>
      </c>
      <c r="Q588"/>
    </row>
    <row r="589" spans="1:17" ht="15.6" x14ac:dyDescent="0.3">
      <c r="A589" s="15">
        <v>10165</v>
      </c>
      <c r="B589" s="14">
        <v>37916</v>
      </c>
      <c r="C589" s="14" t="s">
        <v>292</v>
      </c>
      <c r="D589" s="15" t="s">
        <v>97</v>
      </c>
      <c r="E589" s="15" t="s">
        <v>98</v>
      </c>
      <c r="F589" s="15" t="s">
        <v>98</v>
      </c>
      <c r="G589" s="15" t="s">
        <v>74</v>
      </c>
      <c r="H589" s="15" t="s">
        <v>32</v>
      </c>
      <c r="I589" s="15" t="s">
        <v>46</v>
      </c>
      <c r="J589" s="15" t="s">
        <v>254</v>
      </c>
      <c r="K589" s="15">
        <v>24</v>
      </c>
      <c r="L589" s="16">
        <v>90</v>
      </c>
      <c r="M589" s="17">
        <v>2160</v>
      </c>
      <c r="N589" s="15" t="s">
        <v>367</v>
      </c>
      <c r="O589" s="15" t="s">
        <v>19</v>
      </c>
      <c r="Q589"/>
    </row>
    <row r="590" spans="1:17" ht="15.6" x14ac:dyDescent="0.3">
      <c r="A590" s="11">
        <v>10165</v>
      </c>
      <c r="B590" s="10">
        <v>37916</v>
      </c>
      <c r="C590" s="10" t="s">
        <v>292</v>
      </c>
      <c r="D590" s="11" t="s">
        <v>97</v>
      </c>
      <c r="E590" s="11" t="s">
        <v>98</v>
      </c>
      <c r="F590" s="11" t="s">
        <v>98</v>
      </c>
      <c r="G590" s="11" t="s">
        <v>74</v>
      </c>
      <c r="H590" s="11" t="s">
        <v>35</v>
      </c>
      <c r="I590" s="11" t="s">
        <v>36</v>
      </c>
      <c r="J590" s="11" t="s">
        <v>247</v>
      </c>
      <c r="K590" s="11">
        <v>48</v>
      </c>
      <c r="L590" s="12">
        <v>30</v>
      </c>
      <c r="M590" s="13">
        <v>1440</v>
      </c>
      <c r="N590" s="11" t="s">
        <v>367</v>
      </c>
      <c r="O590" s="11" t="s">
        <v>19</v>
      </c>
      <c r="Q590"/>
    </row>
    <row r="591" spans="1:17" ht="15.6" x14ac:dyDescent="0.3">
      <c r="A591" s="15">
        <v>10165</v>
      </c>
      <c r="B591" s="14">
        <v>37916</v>
      </c>
      <c r="C591" s="14" t="s">
        <v>292</v>
      </c>
      <c r="D591" s="15" t="s">
        <v>97</v>
      </c>
      <c r="E591" s="15" t="s">
        <v>98</v>
      </c>
      <c r="F591" s="15" t="s">
        <v>98</v>
      </c>
      <c r="G591" s="15" t="s">
        <v>74</v>
      </c>
      <c r="H591" s="15" t="s">
        <v>47</v>
      </c>
      <c r="I591" s="15" t="s">
        <v>53</v>
      </c>
      <c r="J591" s="15" t="s">
        <v>257</v>
      </c>
      <c r="K591" s="15">
        <v>44</v>
      </c>
      <c r="L591" s="16">
        <v>90</v>
      </c>
      <c r="M591" s="17">
        <v>3960</v>
      </c>
      <c r="N591" s="15" t="s">
        <v>367</v>
      </c>
      <c r="O591" s="15" t="s">
        <v>19</v>
      </c>
      <c r="Q591"/>
    </row>
    <row r="592" spans="1:17" ht="15.6" x14ac:dyDescent="0.3">
      <c r="A592" s="11">
        <v>10165</v>
      </c>
      <c r="B592" s="10">
        <v>37916</v>
      </c>
      <c r="C592" s="10" t="s">
        <v>292</v>
      </c>
      <c r="D592" s="11" t="s">
        <v>97</v>
      </c>
      <c r="E592" s="11" t="s">
        <v>98</v>
      </c>
      <c r="F592" s="11" t="s">
        <v>98</v>
      </c>
      <c r="G592" s="11" t="s">
        <v>74</v>
      </c>
      <c r="H592" s="11" t="s">
        <v>35</v>
      </c>
      <c r="I592" s="11" t="s">
        <v>40</v>
      </c>
      <c r="J592" s="11" t="s">
        <v>251</v>
      </c>
      <c r="K592" s="11">
        <v>48</v>
      </c>
      <c r="L592" s="12">
        <v>25</v>
      </c>
      <c r="M592" s="13">
        <v>1200</v>
      </c>
      <c r="N592" s="11" t="s">
        <v>367</v>
      </c>
      <c r="O592" s="11" t="s">
        <v>19</v>
      </c>
      <c r="Q592"/>
    </row>
    <row r="593" spans="1:17" ht="15.6" x14ac:dyDescent="0.3">
      <c r="A593" s="15">
        <v>10165</v>
      </c>
      <c r="B593" s="14">
        <v>37916</v>
      </c>
      <c r="C593" s="14" t="s">
        <v>292</v>
      </c>
      <c r="D593" s="15" t="s">
        <v>97</v>
      </c>
      <c r="E593" s="15" t="s">
        <v>98</v>
      </c>
      <c r="F593" s="15" t="s">
        <v>98</v>
      </c>
      <c r="G593" s="15" t="s">
        <v>74</v>
      </c>
      <c r="H593" s="15" t="s">
        <v>47</v>
      </c>
      <c r="I593" s="15" t="s">
        <v>48</v>
      </c>
      <c r="J593" s="15" t="s">
        <v>255</v>
      </c>
      <c r="K593" s="15">
        <v>38</v>
      </c>
      <c r="L593" s="16">
        <v>70</v>
      </c>
      <c r="M593" s="17">
        <v>2660</v>
      </c>
      <c r="N593" s="15" t="s">
        <v>367</v>
      </c>
      <c r="O593" s="15" t="s">
        <v>19</v>
      </c>
      <c r="Q593"/>
    </row>
    <row r="594" spans="1:17" ht="15.6" x14ac:dyDescent="0.3">
      <c r="A594" s="11">
        <v>10168</v>
      </c>
      <c r="B594" s="10">
        <v>37922</v>
      </c>
      <c r="C594" s="10" t="s">
        <v>308</v>
      </c>
      <c r="D594" s="11" t="s">
        <v>131</v>
      </c>
      <c r="E594" s="11" t="s">
        <v>132</v>
      </c>
      <c r="F594" s="11" t="s">
        <v>15</v>
      </c>
      <c r="G594" s="11" t="s">
        <v>16</v>
      </c>
      <c r="H594" s="11" t="s">
        <v>68</v>
      </c>
      <c r="I594" s="11" t="s">
        <v>70</v>
      </c>
      <c r="J594" s="11" t="s">
        <v>267</v>
      </c>
      <c r="K594" s="11">
        <v>36</v>
      </c>
      <c r="L594" s="12">
        <v>50</v>
      </c>
      <c r="M594" s="13">
        <v>1800</v>
      </c>
      <c r="N594" s="11" t="s">
        <v>367</v>
      </c>
      <c r="O594" s="11" t="s">
        <v>19</v>
      </c>
      <c r="Q594"/>
    </row>
    <row r="595" spans="1:17" ht="15.6" x14ac:dyDescent="0.3">
      <c r="A595" s="15">
        <v>10168</v>
      </c>
      <c r="B595" s="14">
        <v>37922</v>
      </c>
      <c r="C595" s="14" t="s">
        <v>308</v>
      </c>
      <c r="D595" s="15" t="s">
        <v>131</v>
      </c>
      <c r="E595" s="15" t="s">
        <v>132</v>
      </c>
      <c r="F595" s="15" t="s">
        <v>15</v>
      </c>
      <c r="G595" s="15" t="s">
        <v>16</v>
      </c>
      <c r="H595" s="15" t="s">
        <v>68</v>
      </c>
      <c r="I595" s="15" t="s">
        <v>70</v>
      </c>
      <c r="J595" s="15" t="s">
        <v>267</v>
      </c>
      <c r="K595" s="15">
        <v>27</v>
      </c>
      <c r="L595" s="16">
        <v>50</v>
      </c>
      <c r="M595" s="17">
        <v>1350</v>
      </c>
      <c r="N595" s="15" t="s">
        <v>367</v>
      </c>
      <c r="O595" s="15" t="s">
        <v>19</v>
      </c>
      <c r="Q595"/>
    </row>
    <row r="596" spans="1:17" ht="15.6" x14ac:dyDescent="0.3">
      <c r="A596" s="11">
        <v>10168</v>
      </c>
      <c r="B596" s="10">
        <v>37922</v>
      </c>
      <c r="C596" s="10" t="s">
        <v>308</v>
      </c>
      <c r="D596" s="11" t="s">
        <v>131</v>
      </c>
      <c r="E596" s="11" t="s">
        <v>132</v>
      </c>
      <c r="F596" s="11" t="s">
        <v>15</v>
      </c>
      <c r="G596" s="11" t="s">
        <v>16</v>
      </c>
      <c r="H596" s="11" t="s">
        <v>68</v>
      </c>
      <c r="I596" s="11" t="s">
        <v>69</v>
      </c>
      <c r="J596" s="11" t="s">
        <v>266</v>
      </c>
      <c r="K596" s="11">
        <v>20</v>
      </c>
      <c r="L596" s="12">
        <v>25</v>
      </c>
      <c r="M596" s="13">
        <v>500</v>
      </c>
      <c r="N596" s="11" t="s">
        <v>367</v>
      </c>
      <c r="O596" s="11" t="s">
        <v>19</v>
      </c>
      <c r="Q596"/>
    </row>
    <row r="597" spans="1:17" ht="15.6" x14ac:dyDescent="0.3">
      <c r="A597" s="15">
        <v>10168</v>
      </c>
      <c r="B597" s="14">
        <v>37922</v>
      </c>
      <c r="C597" s="14" t="s">
        <v>308</v>
      </c>
      <c r="D597" s="15" t="s">
        <v>131</v>
      </c>
      <c r="E597" s="15" t="s">
        <v>132</v>
      </c>
      <c r="F597" s="15" t="s">
        <v>15</v>
      </c>
      <c r="G597" s="15" t="s">
        <v>16</v>
      </c>
      <c r="H597" s="15" t="s">
        <v>61</v>
      </c>
      <c r="I597" s="15" t="s">
        <v>62</v>
      </c>
      <c r="J597" s="15" t="s">
        <v>261</v>
      </c>
      <c r="K597" s="15">
        <v>21</v>
      </c>
      <c r="L597" s="16">
        <v>15</v>
      </c>
      <c r="M597" s="17">
        <v>315</v>
      </c>
      <c r="N597" s="15" t="s">
        <v>367</v>
      </c>
      <c r="O597" s="15" t="s">
        <v>19</v>
      </c>
      <c r="Q597"/>
    </row>
    <row r="598" spans="1:17" ht="15.6" x14ac:dyDescent="0.3">
      <c r="A598" s="11">
        <v>10168</v>
      </c>
      <c r="B598" s="10">
        <v>37922</v>
      </c>
      <c r="C598" s="10" t="s">
        <v>308</v>
      </c>
      <c r="D598" s="11" t="s">
        <v>131</v>
      </c>
      <c r="E598" s="11" t="s">
        <v>132</v>
      </c>
      <c r="F598" s="11" t="s">
        <v>15</v>
      </c>
      <c r="G598" s="11" t="s">
        <v>16</v>
      </c>
      <c r="H598" s="11" t="s">
        <v>68</v>
      </c>
      <c r="I598" s="11" t="s">
        <v>69</v>
      </c>
      <c r="J598" s="11" t="s">
        <v>266</v>
      </c>
      <c r="K598" s="11">
        <v>46</v>
      </c>
      <c r="L598" s="12">
        <v>25</v>
      </c>
      <c r="M598" s="13">
        <v>1150</v>
      </c>
      <c r="N598" s="11" t="s">
        <v>367</v>
      </c>
      <c r="O598" s="11" t="s">
        <v>19</v>
      </c>
      <c r="Q598"/>
    </row>
    <row r="599" spans="1:17" ht="15.6" x14ac:dyDescent="0.3">
      <c r="A599" s="15">
        <v>10168</v>
      </c>
      <c r="B599" s="14">
        <v>37922</v>
      </c>
      <c r="C599" s="14" t="s">
        <v>308</v>
      </c>
      <c r="D599" s="15" t="s">
        <v>131</v>
      </c>
      <c r="E599" s="15" t="s">
        <v>132</v>
      </c>
      <c r="F599" s="15" t="s">
        <v>15</v>
      </c>
      <c r="G599" s="15" t="s">
        <v>16</v>
      </c>
      <c r="H599" s="15" t="s">
        <v>68</v>
      </c>
      <c r="I599" s="15" t="s">
        <v>69</v>
      </c>
      <c r="J599" s="15" t="s">
        <v>266</v>
      </c>
      <c r="K599" s="15">
        <v>50</v>
      </c>
      <c r="L599" s="16">
        <v>25</v>
      </c>
      <c r="M599" s="17">
        <v>1250</v>
      </c>
      <c r="N599" s="15" t="s">
        <v>368</v>
      </c>
      <c r="O599" s="15" t="s">
        <v>19</v>
      </c>
      <c r="Q599"/>
    </row>
    <row r="600" spans="1:17" ht="15.6" x14ac:dyDescent="0.3">
      <c r="A600" s="11">
        <v>10168</v>
      </c>
      <c r="B600" s="10">
        <v>37922</v>
      </c>
      <c r="C600" s="10" t="s">
        <v>308</v>
      </c>
      <c r="D600" s="11" t="s">
        <v>131</v>
      </c>
      <c r="E600" s="11" t="s">
        <v>132</v>
      </c>
      <c r="F600" s="11" t="s">
        <v>15</v>
      </c>
      <c r="G600" s="11" t="s">
        <v>16</v>
      </c>
      <c r="H600" s="11" t="s">
        <v>61</v>
      </c>
      <c r="I600" s="11" t="s">
        <v>62</v>
      </c>
      <c r="J600" s="11" t="s">
        <v>261</v>
      </c>
      <c r="K600" s="11">
        <v>49</v>
      </c>
      <c r="L600" s="12">
        <v>15</v>
      </c>
      <c r="M600" s="13">
        <v>735</v>
      </c>
      <c r="N600" s="11" t="s">
        <v>367</v>
      </c>
      <c r="O600" s="11" t="s">
        <v>19</v>
      </c>
      <c r="Q600"/>
    </row>
    <row r="601" spans="1:17" ht="15.6" x14ac:dyDescent="0.3">
      <c r="A601" s="15">
        <v>10168</v>
      </c>
      <c r="B601" s="14">
        <v>37922</v>
      </c>
      <c r="C601" s="14" t="s">
        <v>308</v>
      </c>
      <c r="D601" s="15" t="s">
        <v>131</v>
      </c>
      <c r="E601" s="15" t="s">
        <v>132</v>
      </c>
      <c r="F601" s="15" t="s">
        <v>15</v>
      </c>
      <c r="G601" s="15" t="s">
        <v>16</v>
      </c>
      <c r="H601" s="15" t="s">
        <v>68</v>
      </c>
      <c r="I601" s="15" t="s">
        <v>70</v>
      </c>
      <c r="J601" s="15" t="s">
        <v>267</v>
      </c>
      <c r="K601" s="15">
        <v>29</v>
      </c>
      <c r="L601" s="16">
        <v>50</v>
      </c>
      <c r="M601" s="17">
        <v>1450</v>
      </c>
      <c r="N601" s="15" t="s">
        <v>367</v>
      </c>
      <c r="O601" s="15" t="s">
        <v>19</v>
      </c>
      <c r="Q601"/>
    </row>
    <row r="602" spans="1:17" ht="15.6" x14ac:dyDescent="0.3">
      <c r="A602" s="11">
        <v>10168</v>
      </c>
      <c r="B602" s="10">
        <v>37922</v>
      </c>
      <c r="C602" s="10" t="s">
        <v>308</v>
      </c>
      <c r="D602" s="11" t="s">
        <v>131</v>
      </c>
      <c r="E602" s="11" t="s">
        <v>132</v>
      </c>
      <c r="F602" s="11" t="s">
        <v>15</v>
      </c>
      <c r="G602" s="11" t="s">
        <v>16</v>
      </c>
      <c r="H602" s="11" t="s">
        <v>61</v>
      </c>
      <c r="I602" s="11" t="s">
        <v>64</v>
      </c>
      <c r="J602" s="11" t="s">
        <v>263</v>
      </c>
      <c r="K602" s="11">
        <v>27</v>
      </c>
      <c r="L602" s="12">
        <v>35</v>
      </c>
      <c r="M602" s="13">
        <v>945</v>
      </c>
      <c r="N602" s="11" t="s">
        <v>367</v>
      </c>
      <c r="O602" s="11" t="s">
        <v>19</v>
      </c>
      <c r="Q602"/>
    </row>
    <row r="603" spans="1:17" ht="15.6" x14ac:dyDescent="0.3">
      <c r="A603" s="15">
        <v>10168</v>
      </c>
      <c r="B603" s="14">
        <v>37922</v>
      </c>
      <c r="C603" s="14" t="s">
        <v>308</v>
      </c>
      <c r="D603" s="15" t="s">
        <v>131</v>
      </c>
      <c r="E603" s="15" t="s">
        <v>132</v>
      </c>
      <c r="F603" s="15" t="s">
        <v>15</v>
      </c>
      <c r="G603" s="15" t="s">
        <v>16</v>
      </c>
      <c r="H603" s="15" t="s">
        <v>61</v>
      </c>
      <c r="I603" s="15" t="s">
        <v>64</v>
      </c>
      <c r="J603" s="15" t="s">
        <v>263</v>
      </c>
      <c r="K603" s="15">
        <v>48</v>
      </c>
      <c r="L603" s="16">
        <v>35</v>
      </c>
      <c r="M603" s="17">
        <v>1680</v>
      </c>
      <c r="N603" s="15" t="s">
        <v>367</v>
      </c>
      <c r="O603" s="15" t="s">
        <v>19</v>
      </c>
      <c r="Q603"/>
    </row>
    <row r="604" spans="1:17" ht="15.6" x14ac:dyDescent="0.3">
      <c r="A604" s="11">
        <v>10168</v>
      </c>
      <c r="B604" s="10">
        <v>37922</v>
      </c>
      <c r="C604" s="10" t="s">
        <v>308</v>
      </c>
      <c r="D604" s="11" t="s">
        <v>131</v>
      </c>
      <c r="E604" s="11" t="s">
        <v>132</v>
      </c>
      <c r="F604" s="11" t="s">
        <v>15</v>
      </c>
      <c r="G604" s="11" t="s">
        <v>16</v>
      </c>
      <c r="H604" s="11" t="s">
        <v>68</v>
      </c>
      <c r="I604" s="11" t="s">
        <v>69</v>
      </c>
      <c r="J604" s="11" t="s">
        <v>266</v>
      </c>
      <c r="K604" s="11">
        <v>28</v>
      </c>
      <c r="L604" s="12">
        <v>25</v>
      </c>
      <c r="M604" s="13">
        <v>700</v>
      </c>
      <c r="N604" s="11" t="s">
        <v>367</v>
      </c>
      <c r="O604" s="11" t="s">
        <v>19</v>
      </c>
      <c r="Q604"/>
    </row>
    <row r="605" spans="1:17" ht="15.6" x14ac:dyDescent="0.3">
      <c r="A605" s="15">
        <v>10168</v>
      </c>
      <c r="B605" s="14">
        <v>37922</v>
      </c>
      <c r="C605" s="14" t="s">
        <v>308</v>
      </c>
      <c r="D605" s="15" t="s">
        <v>131</v>
      </c>
      <c r="E605" s="15" t="s">
        <v>132</v>
      </c>
      <c r="F605" s="15" t="s">
        <v>15</v>
      </c>
      <c r="G605" s="15" t="s">
        <v>16</v>
      </c>
      <c r="H605" s="15" t="s">
        <v>17</v>
      </c>
      <c r="I605" s="15" t="s">
        <v>52</v>
      </c>
      <c r="J605" s="15" t="s">
        <v>256</v>
      </c>
      <c r="K605" s="15">
        <v>31</v>
      </c>
      <c r="L605" s="16">
        <v>45</v>
      </c>
      <c r="M605" s="17">
        <v>1395</v>
      </c>
      <c r="N605" s="15" t="s">
        <v>367</v>
      </c>
      <c r="O605" s="15" t="s">
        <v>19</v>
      </c>
      <c r="Q605"/>
    </row>
    <row r="606" spans="1:17" ht="15.6" x14ac:dyDescent="0.3">
      <c r="A606" s="11">
        <v>10168</v>
      </c>
      <c r="B606" s="10">
        <v>37922</v>
      </c>
      <c r="C606" s="10" t="s">
        <v>308</v>
      </c>
      <c r="D606" s="11" t="s">
        <v>131</v>
      </c>
      <c r="E606" s="11" t="s">
        <v>132</v>
      </c>
      <c r="F606" s="11" t="s">
        <v>15</v>
      </c>
      <c r="G606" s="11" t="s">
        <v>16</v>
      </c>
      <c r="H606" s="11" t="s">
        <v>17</v>
      </c>
      <c r="I606" s="11" t="s">
        <v>82</v>
      </c>
      <c r="J606" s="11" t="s">
        <v>270</v>
      </c>
      <c r="K606" s="11">
        <v>48</v>
      </c>
      <c r="L606" s="12">
        <v>75</v>
      </c>
      <c r="M606" s="13">
        <v>3600</v>
      </c>
      <c r="N606" s="11" t="s">
        <v>367</v>
      </c>
      <c r="O606" s="11" t="s">
        <v>19</v>
      </c>
      <c r="Q606"/>
    </row>
    <row r="607" spans="1:17" ht="15.6" x14ac:dyDescent="0.3">
      <c r="A607" s="15">
        <v>10168</v>
      </c>
      <c r="B607" s="14">
        <v>37922</v>
      </c>
      <c r="C607" s="14" t="s">
        <v>308</v>
      </c>
      <c r="D607" s="15" t="s">
        <v>131</v>
      </c>
      <c r="E607" s="15" t="s">
        <v>132</v>
      </c>
      <c r="F607" s="15" t="s">
        <v>15</v>
      </c>
      <c r="G607" s="15" t="s">
        <v>16</v>
      </c>
      <c r="H607" s="15" t="s">
        <v>61</v>
      </c>
      <c r="I607" s="15" t="s">
        <v>62</v>
      </c>
      <c r="J607" s="15" t="s">
        <v>261</v>
      </c>
      <c r="K607" s="15">
        <v>28</v>
      </c>
      <c r="L607" s="16">
        <v>15</v>
      </c>
      <c r="M607" s="17">
        <v>420</v>
      </c>
      <c r="N607" s="15" t="s">
        <v>367</v>
      </c>
      <c r="O607" s="15" t="s">
        <v>19</v>
      </c>
      <c r="Q607"/>
    </row>
    <row r="608" spans="1:17" ht="15.6" x14ac:dyDescent="0.3">
      <c r="A608" s="11">
        <v>10168</v>
      </c>
      <c r="B608" s="10">
        <v>37922</v>
      </c>
      <c r="C608" s="10" t="s">
        <v>308</v>
      </c>
      <c r="D608" s="11" t="s">
        <v>131</v>
      </c>
      <c r="E608" s="11" t="s">
        <v>132</v>
      </c>
      <c r="F608" s="11" t="s">
        <v>15</v>
      </c>
      <c r="G608" s="11" t="s">
        <v>16</v>
      </c>
      <c r="H608" s="11" t="s">
        <v>61</v>
      </c>
      <c r="I608" s="11" t="s">
        <v>66</v>
      </c>
      <c r="J608" s="11" t="s">
        <v>265</v>
      </c>
      <c r="K608" s="11">
        <v>31</v>
      </c>
      <c r="L608" s="12">
        <v>35</v>
      </c>
      <c r="M608" s="13">
        <v>1085</v>
      </c>
      <c r="N608" s="11" t="s">
        <v>367</v>
      </c>
      <c r="O608" s="11" t="s">
        <v>19</v>
      </c>
      <c r="Q608"/>
    </row>
    <row r="609" spans="1:17" ht="15.6" x14ac:dyDescent="0.3">
      <c r="A609" s="15">
        <v>10168</v>
      </c>
      <c r="B609" s="14">
        <v>37922</v>
      </c>
      <c r="C609" s="14" t="s">
        <v>308</v>
      </c>
      <c r="D609" s="15" t="s">
        <v>131</v>
      </c>
      <c r="E609" s="15" t="s">
        <v>132</v>
      </c>
      <c r="F609" s="15" t="s">
        <v>15</v>
      </c>
      <c r="G609" s="15" t="s">
        <v>16</v>
      </c>
      <c r="H609" s="15" t="s">
        <v>61</v>
      </c>
      <c r="I609" s="15" t="s">
        <v>65</v>
      </c>
      <c r="J609" s="15" t="s">
        <v>264</v>
      </c>
      <c r="K609" s="15">
        <v>36</v>
      </c>
      <c r="L609" s="16">
        <v>30</v>
      </c>
      <c r="M609" s="17">
        <v>1080</v>
      </c>
      <c r="N609" s="15" t="s">
        <v>367</v>
      </c>
      <c r="O609" s="15" t="s">
        <v>19</v>
      </c>
      <c r="Q609"/>
    </row>
    <row r="610" spans="1:17" ht="15.6" x14ac:dyDescent="0.3">
      <c r="A610" s="11">
        <v>10168</v>
      </c>
      <c r="B610" s="10">
        <v>37922</v>
      </c>
      <c r="C610" s="10" t="s">
        <v>308</v>
      </c>
      <c r="D610" s="11" t="s">
        <v>131</v>
      </c>
      <c r="E610" s="11" t="s">
        <v>132</v>
      </c>
      <c r="F610" s="11" t="s">
        <v>15</v>
      </c>
      <c r="G610" s="11" t="s">
        <v>16</v>
      </c>
      <c r="H610" s="11" t="s">
        <v>61</v>
      </c>
      <c r="I610" s="11" t="s">
        <v>63</v>
      </c>
      <c r="J610" s="11" t="s">
        <v>262</v>
      </c>
      <c r="K610" s="11">
        <v>48</v>
      </c>
      <c r="L610" s="12">
        <v>40</v>
      </c>
      <c r="M610" s="13">
        <v>1920</v>
      </c>
      <c r="N610" s="11" t="s">
        <v>367</v>
      </c>
      <c r="O610" s="11" t="s">
        <v>19</v>
      </c>
      <c r="Q610"/>
    </row>
    <row r="611" spans="1:17" ht="15.6" x14ac:dyDescent="0.3">
      <c r="A611" s="15">
        <v>10168</v>
      </c>
      <c r="B611" s="14">
        <v>37922</v>
      </c>
      <c r="C611" s="14" t="s">
        <v>308</v>
      </c>
      <c r="D611" s="15" t="s">
        <v>131</v>
      </c>
      <c r="E611" s="15" t="s">
        <v>132</v>
      </c>
      <c r="F611" s="15" t="s">
        <v>15</v>
      </c>
      <c r="G611" s="15" t="s">
        <v>16</v>
      </c>
      <c r="H611" s="15" t="s">
        <v>61</v>
      </c>
      <c r="I611" s="15" t="s">
        <v>62</v>
      </c>
      <c r="J611" s="15" t="s">
        <v>261</v>
      </c>
      <c r="K611" s="15">
        <v>39</v>
      </c>
      <c r="L611" s="16">
        <v>15</v>
      </c>
      <c r="M611" s="17">
        <v>585</v>
      </c>
      <c r="N611" s="15" t="s">
        <v>367</v>
      </c>
      <c r="O611" s="15" t="s">
        <v>19</v>
      </c>
      <c r="Q611"/>
    </row>
    <row r="612" spans="1:17" ht="15.6" x14ac:dyDescent="0.3">
      <c r="A612" s="11">
        <v>10169</v>
      </c>
      <c r="B612" s="10">
        <v>37929</v>
      </c>
      <c r="C612" s="10" t="s">
        <v>313</v>
      </c>
      <c r="D612" s="11" t="s">
        <v>141</v>
      </c>
      <c r="E612" s="11" t="s">
        <v>142</v>
      </c>
      <c r="F612" s="11" t="s">
        <v>106</v>
      </c>
      <c r="G612" s="11" t="s">
        <v>107</v>
      </c>
      <c r="H612" s="11" t="s">
        <v>32</v>
      </c>
      <c r="I612" s="11" t="s">
        <v>45</v>
      </c>
      <c r="J612" s="11" t="s">
        <v>253</v>
      </c>
      <c r="K612" s="11">
        <v>30</v>
      </c>
      <c r="L612" s="12">
        <v>35</v>
      </c>
      <c r="M612" s="13">
        <v>1050</v>
      </c>
      <c r="N612" s="11" t="s">
        <v>367</v>
      </c>
      <c r="O612" s="11" t="s">
        <v>19</v>
      </c>
      <c r="Q612"/>
    </row>
    <row r="613" spans="1:17" ht="15.6" x14ac:dyDescent="0.3">
      <c r="A613" s="15">
        <v>10169</v>
      </c>
      <c r="B613" s="14">
        <v>37929</v>
      </c>
      <c r="C613" s="14" t="s">
        <v>313</v>
      </c>
      <c r="D613" s="15" t="s">
        <v>141</v>
      </c>
      <c r="E613" s="15" t="s">
        <v>142</v>
      </c>
      <c r="F613" s="15" t="s">
        <v>106</v>
      </c>
      <c r="G613" s="15" t="s">
        <v>107</v>
      </c>
      <c r="H613" s="15" t="s">
        <v>68</v>
      </c>
      <c r="I613" s="15" t="s">
        <v>76</v>
      </c>
      <c r="J613" s="15" t="s">
        <v>269</v>
      </c>
      <c r="K613" s="15">
        <v>35</v>
      </c>
      <c r="L613" s="16">
        <v>30</v>
      </c>
      <c r="M613" s="17">
        <v>1050</v>
      </c>
      <c r="N613" s="15" t="s">
        <v>367</v>
      </c>
      <c r="O613" s="15" t="s">
        <v>19</v>
      </c>
      <c r="Q613"/>
    </row>
    <row r="614" spans="1:17" ht="15.6" x14ac:dyDescent="0.3">
      <c r="A614" s="11">
        <v>10170</v>
      </c>
      <c r="B614" s="10">
        <v>37929</v>
      </c>
      <c r="C614" s="10" t="s">
        <v>324</v>
      </c>
      <c r="D614" s="11" t="s">
        <v>161</v>
      </c>
      <c r="E614" s="11" t="s">
        <v>162</v>
      </c>
      <c r="F614" s="11" t="s">
        <v>103</v>
      </c>
      <c r="G614" s="11" t="s">
        <v>25</v>
      </c>
      <c r="H614" s="11" t="s">
        <v>32</v>
      </c>
      <c r="I614" s="11" t="s">
        <v>33</v>
      </c>
      <c r="J614" s="11" t="s">
        <v>245</v>
      </c>
      <c r="K614" s="11">
        <v>47</v>
      </c>
      <c r="L614" s="12">
        <v>85</v>
      </c>
      <c r="M614" s="13">
        <v>3995</v>
      </c>
      <c r="N614" s="11" t="s">
        <v>367</v>
      </c>
      <c r="O614" s="11" t="s">
        <v>19</v>
      </c>
      <c r="Q614"/>
    </row>
    <row r="615" spans="1:17" ht="15.6" x14ac:dyDescent="0.3">
      <c r="A615" s="15">
        <v>10169</v>
      </c>
      <c r="B615" s="14">
        <v>37929</v>
      </c>
      <c r="C615" s="14" t="s">
        <v>313</v>
      </c>
      <c r="D615" s="15" t="s">
        <v>141</v>
      </c>
      <c r="E615" s="15" t="s">
        <v>142</v>
      </c>
      <c r="F615" s="15" t="s">
        <v>106</v>
      </c>
      <c r="G615" s="15" t="s">
        <v>107</v>
      </c>
      <c r="H615" s="15" t="s">
        <v>32</v>
      </c>
      <c r="I615" s="15" t="s">
        <v>45</v>
      </c>
      <c r="J615" s="15" t="s">
        <v>253</v>
      </c>
      <c r="K615" s="15">
        <v>36</v>
      </c>
      <c r="L615" s="16">
        <v>35</v>
      </c>
      <c r="M615" s="17">
        <v>1260</v>
      </c>
      <c r="N615" s="15" t="s">
        <v>367</v>
      </c>
      <c r="O615" s="15" t="s">
        <v>19</v>
      </c>
      <c r="Q615"/>
    </row>
    <row r="616" spans="1:17" ht="15.6" x14ac:dyDescent="0.3">
      <c r="A616" s="11">
        <v>10170</v>
      </c>
      <c r="B616" s="10">
        <v>37929</v>
      </c>
      <c r="C616" s="10" t="s">
        <v>324</v>
      </c>
      <c r="D616" s="11" t="s">
        <v>161</v>
      </c>
      <c r="E616" s="11" t="s">
        <v>162</v>
      </c>
      <c r="F616" s="11" t="s">
        <v>103</v>
      </c>
      <c r="G616" s="11" t="s">
        <v>25</v>
      </c>
      <c r="H616" s="11" t="s">
        <v>32</v>
      </c>
      <c r="I616" s="11" t="s">
        <v>34</v>
      </c>
      <c r="J616" s="11" t="s">
        <v>246</v>
      </c>
      <c r="K616" s="11">
        <v>41</v>
      </c>
      <c r="L616" s="12">
        <v>80</v>
      </c>
      <c r="M616" s="13">
        <v>3280</v>
      </c>
      <c r="N616" s="11" t="s">
        <v>367</v>
      </c>
      <c r="O616" s="11" t="s">
        <v>19</v>
      </c>
      <c r="Q616"/>
    </row>
    <row r="617" spans="1:17" ht="15.6" x14ac:dyDescent="0.3">
      <c r="A617" s="15">
        <v>10170</v>
      </c>
      <c r="B617" s="14">
        <v>37929</v>
      </c>
      <c r="C617" s="14" t="s">
        <v>324</v>
      </c>
      <c r="D617" s="15" t="s">
        <v>161</v>
      </c>
      <c r="E617" s="15" t="s">
        <v>162</v>
      </c>
      <c r="F617" s="15" t="s">
        <v>103</v>
      </c>
      <c r="G617" s="15" t="s">
        <v>25</v>
      </c>
      <c r="H617" s="15" t="s">
        <v>32</v>
      </c>
      <c r="I617" s="15" t="s">
        <v>34</v>
      </c>
      <c r="J617" s="15" t="s">
        <v>246</v>
      </c>
      <c r="K617" s="15">
        <v>20</v>
      </c>
      <c r="L617" s="16">
        <v>80</v>
      </c>
      <c r="M617" s="17">
        <v>1600</v>
      </c>
      <c r="N617" s="15" t="s">
        <v>367</v>
      </c>
      <c r="O617" s="15" t="s">
        <v>19</v>
      </c>
      <c r="Q617"/>
    </row>
    <row r="618" spans="1:17" ht="15.6" x14ac:dyDescent="0.3">
      <c r="A618" s="11">
        <v>10169</v>
      </c>
      <c r="B618" s="10">
        <v>37929</v>
      </c>
      <c r="C618" s="10" t="s">
        <v>313</v>
      </c>
      <c r="D618" s="11" t="s">
        <v>141</v>
      </c>
      <c r="E618" s="11" t="s">
        <v>142</v>
      </c>
      <c r="F618" s="11" t="s">
        <v>106</v>
      </c>
      <c r="G618" s="11" t="s">
        <v>107</v>
      </c>
      <c r="H618" s="11" t="s">
        <v>32</v>
      </c>
      <c r="I618" s="11" t="s">
        <v>44</v>
      </c>
      <c r="J618" s="11" t="s">
        <v>252</v>
      </c>
      <c r="K618" s="11">
        <v>32</v>
      </c>
      <c r="L618" s="12">
        <v>55</v>
      </c>
      <c r="M618" s="13">
        <v>1760</v>
      </c>
      <c r="N618" s="11" t="s">
        <v>367</v>
      </c>
      <c r="O618" s="11" t="s">
        <v>19</v>
      </c>
      <c r="Q618"/>
    </row>
    <row r="619" spans="1:17" ht="15.6" x14ac:dyDescent="0.3">
      <c r="A619" s="15">
        <v>10169</v>
      </c>
      <c r="B619" s="14">
        <v>37929</v>
      </c>
      <c r="C619" s="14" t="s">
        <v>313</v>
      </c>
      <c r="D619" s="15" t="s">
        <v>141</v>
      </c>
      <c r="E619" s="15" t="s">
        <v>142</v>
      </c>
      <c r="F619" s="15" t="s">
        <v>106</v>
      </c>
      <c r="G619" s="15" t="s">
        <v>107</v>
      </c>
      <c r="H619" s="15" t="s">
        <v>32</v>
      </c>
      <c r="I619" s="15" t="s">
        <v>34</v>
      </c>
      <c r="J619" s="15" t="s">
        <v>246</v>
      </c>
      <c r="K619" s="15">
        <v>36</v>
      </c>
      <c r="L619" s="16">
        <v>80</v>
      </c>
      <c r="M619" s="17">
        <v>2880</v>
      </c>
      <c r="N619" s="15" t="s">
        <v>367</v>
      </c>
      <c r="O619" s="15" t="s">
        <v>19</v>
      </c>
      <c r="Q619"/>
    </row>
    <row r="620" spans="1:17" ht="15.6" x14ac:dyDescent="0.3">
      <c r="A620" s="11">
        <v>10169</v>
      </c>
      <c r="B620" s="10">
        <v>37929</v>
      </c>
      <c r="C620" s="10" t="s">
        <v>313</v>
      </c>
      <c r="D620" s="11" t="s">
        <v>141</v>
      </c>
      <c r="E620" s="11" t="s">
        <v>142</v>
      </c>
      <c r="F620" s="11" t="s">
        <v>106</v>
      </c>
      <c r="G620" s="11" t="s">
        <v>107</v>
      </c>
      <c r="H620" s="11" t="s">
        <v>68</v>
      </c>
      <c r="I620" s="11" t="s">
        <v>76</v>
      </c>
      <c r="J620" s="11" t="s">
        <v>269</v>
      </c>
      <c r="K620" s="11">
        <v>38</v>
      </c>
      <c r="L620" s="12">
        <v>30</v>
      </c>
      <c r="M620" s="13">
        <v>1140</v>
      </c>
      <c r="N620" s="11" t="s">
        <v>367</v>
      </c>
      <c r="O620" s="11" t="s">
        <v>19</v>
      </c>
      <c r="Q620"/>
    </row>
    <row r="621" spans="1:17" ht="15.6" x14ac:dyDescent="0.3">
      <c r="A621" s="15">
        <v>10169</v>
      </c>
      <c r="B621" s="14">
        <v>37929</v>
      </c>
      <c r="C621" s="14" t="s">
        <v>313</v>
      </c>
      <c r="D621" s="15" t="s">
        <v>141</v>
      </c>
      <c r="E621" s="15" t="s">
        <v>142</v>
      </c>
      <c r="F621" s="15" t="s">
        <v>106</v>
      </c>
      <c r="G621" s="15" t="s">
        <v>107</v>
      </c>
      <c r="H621" s="15" t="s">
        <v>32</v>
      </c>
      <c r="I621" s="15" t="s">
        <v>45</v>
      </c>
      <c r="J621" s="15" t="s">
        <v>253</v>
      </c>
      <c r="K621" s="15">
        <v>33</v>
      </c>
      <c r="L621" s="16">
        <v>35</v>
      </c>
      <c r="M621" s="17">
        <v>1155</v>
      </c>
      <c r="N621" s="15" t="s">
        <v>367</v>
      </c>
      <c r="O621" s="15" t="s">
        <v>19</v>
      </c>
      <c r="Q621"/>
    </row>
    <row r="622" spans="1:17" ht="15.6" x14ac:dyDescent="0.3">
      <c r="A622" s="11">
        <v>10169</v>
      </c>
      <c r="B622" s="10">
        <v>37929</v>
      </c>
      <c r="C622" s="10" t="s">
        <v>313</v>
      </c>
      <c r="D622" s="11" t="s">
        <v>141</v>
      </c>
      <c r="E622" s="11" t="s">
        <v>142</v>
      </c>
      <c r="F622" s="11" t="s">
        <v>106</v>
      </c>
      <c r="G622" s="11" t="s">
        <v>107</v>
      </c>
      <c r="H622" s="11" t="s">
        <v>68</v>
      </c>
      <c r="I622" s="11" t="s">
        <v>108</v>
      </c>
      <c r="J622" s="11" t="s">
        <v>271</v>
      </c>
      <c r="K622" s="11">
        <v>38</v>
      </c>
      <c r="L622" s="12">
        <v>45</v>
      </c>
      <c r="M622" s="13">
        <v>1710</v>
      </c>
      <c r="N622" s="11" t="s">
        <v>367</v>
      </c>
      <c r="O622" s="11" t="s">
        <v>19</v>
      </c>
      <c r="Q622"/>
    </row>
    <row r="623" spans="1:17" ht="15.6" x14ac:dyDescent="0.3">
      <c r="A623" s="15">
        <v>10169</v>
      </c>
      <c r="B623" s="14">
        <v>37929</v>
      </c>
      <c r="C623" s="14" t="s">
        <v>313</v>
      </c>
      <c r="D623" s="15" t="s">
        <v>141</v>
      </c>
      <c r="E623" s="15" t="s">
        <v>142</v>
      </c>
      <c r="F623" s="15" t="s">
        <v>106</v>
      </c>
      <c r="G623" s="15" t="s">
        <v>107</v>
      </c>
      <c r="H623" s="15" t="s">
        <v>32</v>
      </c>
      <c r="I623" s="15" t="s">
        <v>34</v>
      </c>
      <c r="J623" s="15" t="s">
        <v>246</v>
      </c>
      <c r="K623" s="15">
        <v>34</v>
      </c>
      <c r="L623" s="16">
        <v>80</v>
      </c>
      <c r="M623" s="17">
        <v>2720</v>
      </c>
      <c r="N623" s="15" t="s">
        <v>367</v>
      </c>
      <c r="O623" s="15" t="s">
        <v>19</v>
      </c>
      <c r="Q623"/>
    </row>
    <row r="624" spans="1:17" ht="15.6" x14ac:dyDescent="0.3">
      <c r="A624" s="11">
        <v>10170</v>
      </c>
      <c r="B624" s="10">
        <v>37929</v>
      </c>
      <c r="C624" s="10" t="s">
        <v>324</v>
      </c>
      <c r="D624" s="11" t="s">
        <v>161</v>
      </c>
      <c r="E624" s="11" t="s">
        <v>162</v>
      </c>
      <c r="F624" s="11" t="s">
        <v>103</v>
      </c>
      <c r="G624" s="11" t="s">
        <v>25</v>
      </c>
      <c r="H624" s="11" t="s">
        <v>32</v>
      </c>
      <c r="I624" s="11" t="s">
        <v>44</v>
      </c>
      <c r="J624" s="11" t="s">
        <v>252</v>
      </c>
      <c r="K624" s="11">
        <v>34</v>
      </c>
      <c r="L624" s="12">
        <v>55</v>
      </c>
      <c r="M624" s="13">
        <v>1870</v>
      </c>
      <c r="N624" s="11" t="s">
        <v>367</v>
      </c>
      <c r="O624" s="11" t="s">
        <v>19</v>
      </c>
      <c r="Q624"/>
    </row>
    <row r="625" spans="1:17" ht="15.6" x14ac:dyDescent="0.3">
      <c r="A625" s="15">
        <v>10169</v>
      </c>
      <c r="B625" s="14">
        <v>37929</v>
      </c>
      <c r="C625" s="14" t="s">
        <v>313</v>
      </c>
      <c r="D625" s="15" t="s">
        <v>141</v>
      </c>
      <c r="E625" s="15" t="s">
        <v>142</v>
      </c>
      <c r="F625" s="15" t="s">
        <v>106</v>
      </c>
      <c r="G625" s="15" t="s">
        <v>107</v>
      </c>
      <c r="H625" s="15" t="s">
        <v>32</v>
      </c>
      <c r="I625" s="15" t="s">
        <v>45</v>
      </c>
      <c r="J625" s="15" t="s">
        <v>253</v>
      </c>
      <c r="K625" s="15">
        <v>24</v>
      </c>
      <c r="L625" s="16">
        <v>35</v>
      </c>
      <c r="M625" s="17">
        <v>840</v>
      </c>
      <c r="N625" s="15" t="s">
        <v>367</v>
      </c>
      <c r="O625" s="15" t="s">
        <v>19</v>
      </c>
      <c r="Q625"/>
    </row>
    <row r="626" spans="1:17" ht="15.6" x14ac:dyDescent="0.3">
      <c r="A626" s="11">
        <v>10169</v>
      </c>
      <c r="B626" s="10">
        <v>37929</v>
      </c>
      <c r="C626" s="10" t="s">
        <v>313</v>
      </c>
      <c r="D626" s="11" t="s">
        <v>141</v>
      </c>
      <c r="E626" s="11" t="s">
        <v>142</v>
      </c>
      <c r="F626" s="11" t="s">
        <v>106</v>
      </c>
      <c r="G626" s="11" t="s">
        <v>107</v>
      </c>
      <c r="H626" s="11" t="s">
        <v>68</v>
      </c>
      <c r="I626" s="11" t="s">
        <v>75</v>
      </c>
      <c r="J626" s="11" t="s">
        <v>268</v>
      </c>
      <c r="K626" s="11">
        <v>26</v>
      </c>
      <c r="L626" s="12">
        <v>35</v>
      </c>
      <c r="M626" s="13">
        <v>910</v>
      </c>
      <c r="N626" s="11" t="s">
        <v>367</v>
      </c>
      <c r="O626" s="11" t="s">
        <v>19</v>
      </c>
      <c r="Q626"/>
    </row>
    <row r="627" spans="1:17" ht="15.6" x14ac:dyDescent="0.3">
      <c r="A627" s="15">
        <v>10169</v>
      </c>
      <c r="B627" s="14">
        <v>37929</v>
      </c>
      <c r="C627" s="14" t="s">
        <v>313</v>
      </c>
      <c r="D627" s="15" t="s">
        <v>141</v>
      </c>
      <c r="E627" s="15" t="s">
        <v>142</v>
      </c>
      <c r="F627" s="15" t="s">
        <v>106</v>
      </c>
      <c r="G627" s="15" t="s">
        <v>107</v>
      </c>
      <c r="H627" s="15" t="s">
        <v>68</v>
      </c>
      <c r="I627" s="15" t="s">
        <v>70</v>
      </c>
      <c r="J627" s="15" t="s">
        <v>267</v>
      </c>
      <c r="K627" s="15">
        <v>34</v>
      </c>
      <c r="L627" s="16">
        <v>50</v>
      </c>
      <c r="M627" s="17">
        <v>1700</v>
      </c>
      <c r="N627" s="15" t="s">
        <v>367</v>
      </c>
      <c r="O627" s="15" t="s">
        <v>19</v>
      </c>
      <c r="Q627"/>
    </row>
    <row r="628" spans="1:17" ht="15.6" x14ac:dyDescent="0.3">
      <c r="A628" s="11">
        <v>10169</v>
      </c>
      <c r="B628" s="10">
        <v>37929</v>
      </c>
      <c r="C628" s="10" t="s">
        <v>313</v>
      </c>
      <c r="D628" s="11" t="s">
        <v>141</v>
      </c>
      <c r="E628" s="11" t="s">
        <v>142</v>
      </c>
      <c r="F628" s="11" t="s">
        <v>106</v>
      </c>
      <c r="G628" s="11" t="s">
        <v>107</v>
      </c>
      <c r="H628" s="11" t="s">
        <v>68</v>
      </c>
      <c r="I628" s="11" t="s">
        <v>75</v>
      </c>
      <c r="J628" s="11" t="s">
        <v>268</v>
      </c>
      <c r="K628" s="11">
        <v>48</v>
      </c>
      <c r="L628" s="12">
        <v>35</v>
      </c>
      <c r="M628" s="13">
        <v>1680</v>
      </c>
      <c r="N628" s="11" t="s">
        <v>367</v>
      </c>
      <c r="O628" s="11" t="s">
        <v>19</v>
      </c>
      <c r="Q628"/>
    </row>
    <row r="629" spans="1:17" ht="15.6" x14ac:dyDescent="0.3">
      <c r="A629" s="15">
        <v>10171</v>
      </c>
      <c r="B629" s="14">
        <v>37930</v>
      </c>
      <c r="C629" s="14" t="s">
        <v>327</v>
      </c>
      <c r="D629" s="15" t="s">
        <v>167</v>
      </c>
      <c r="E629" s="15" t="s">
        <v>168</v>
      </c>
      <c r="F629" s="15" t="s">
        <v>169</v>
      </c>
      <c r="G629" s="15" t="s">
        <v>16</v>
      </c>
      <c r="H629" s="15" t="s">
        <v>32</v>
      </c>
      <c r="I629" s="15" t="s">
        <v>33</v>
      </c>
      <c r="J629" s="15" t="s">
        <v>245</v>
      </c>
      <c r="K629" s="15">
        <v>35</v>
      </c>
      <c r="L629" s="16">
        <v>85</v>
      </c>
      <c r="M629" s="17">
        <v>2975</v>
      </c>
      <c r="N629" s="15" t="s">
        <v>367</v>
      </c>
      <c r="O629" s="15" t="s">
        <v>19</v>
      </c>
      <c r="Q629"/>
    </row>
    <row r="630" spans="1:17" ht="15.6" x14ac:dyDescent="0.3">
      <c r="A630" s="11">
        <v>10173</v>
      </c>
      <c r="B630" s="10">
        <v>37930</v>
      </c>
      <c r="C630" s="10" t="s">
        <v>281</v>
      </c>
      <c r="D630" s="11" t="s">
        <v>58</v>
      </c>
      <c r="E630" s="11" t="s">
        <v>59</v>
      </c>
      <c r="F630" s="11" t="s">
        <v>60</v>
      </c>
      <c r="G630" s="11" t="s">
        <v>25</v>
      </c>
      <c r="H630" s="11" t="s">
        <v>17</v>
      </c>
      <c r="I630" s="11" t="s">
        <v>82</v>
      </c>
      <c r="J630" s="11" t="s">
        <v>270</v>
      </c>
      <c r="K630" s="11">
        <v>43</v>
      </c>
      <c r="L630" s="12">
        <v>75</v>
      </c>
      <c r="M630" s="13">
        <v>3225</v>
      </c>
      <c r="N630" s="11" t="s">
        <v>367</v>
      </c>
      <c r="O630" s="11" t="s">
        <v>19</v>
      </c>
      <c r="Q630"/>
    </row>
    <row r="631" spans="1:17" ht="15.6" x14ac:dyDescent="0.3">
      <c r="A631" s="15">
        <v>10173</v>
      </c>
      <c r="B631" s="14">
        <v>37930</v>
      </c>
      <c r="C631" s="14" t="s">
        <v>281</v>
      </c>
      <c r="D631" s="15" t="s">
        <v>58</v>
      </c>
      <c r="E631" s="15" t="s">
        <v>59</v>
      </c>
      <c r="F631" s="15" t="s">
        <v>60</v>
      </c>
      <c r="G631" s="15" t="s">
        <v>25</v>
      </c>
      <c r="H631" s="15" t="s">
        <v>17</v>
      </c>
      <c r="I631" s="15" t="s">
        <v>20</v>
      </c>
      <c r="J631" s="15" t="s">
        <v>242</v>
      </c>
      <c r="K631" s="15">
        <v>48</v>
      </c>
      <c r="L631" s="16">
        <v>48</v>
      </c>
      <c r="M631" s="17">
        <v>2304</v>
      </c>
      <c r="N631" s="15" t="s">
        <v>367</v>
      </c>
      <c r="O631" s="15" t="s">
        <v>19</v>
      </c>
      <c r="Q631"/>
    </row>
    <row r="632" spans="1:17" ht="15.6" x14ac:dyDescent="0.3">
      <c r="A632" s="11">
        <v>10172</v>
      </c>
      <c r="B632" s="10">
        <v>37930</v>
      </c>
      <c r="C632" s="10" t="s">
        <v>328</v>
      </c>
      <c r="D632" s="11" t="s">
        <v>170</v>
      </c>
      <c r="E632" s="11" t="s">
        <v>171</v>
      </c>
      <c r="F632" s="11" t="s">
        <v>15</v>
      </c>
      <c r="G632" s="11" t="s">
        <v>16</v>
      </c>
      <c r="H632" s="11" t="s">
        <v>32</v>
      </c>
      <c r="I632" s="11" t="s">
        <v>34</v>
      </c>
      <c r="J632" s="11" t="s">
        <v>246</v>
      </c>
      <c r="K632" s="11">
        <v>42</v>
      </c>
      <c r="L632" s="12">
        <v>80</v>
      </c>
      <c r="M632" s="13">
        <v>3360</v>
      </c>
      <c r="N632" s="11" t="s">
        <v>367</v>
      </c>
      <c r="O632" s="11" t="s">
        <v>19</v>
      </c>
      <c r="Q632"/>
    </row>
    <row r="633" spans="1:17" ht="15.6" x14ac:dyDescent="0.3">
      <c r="A633" s="15">
        <v>10173</v>
      </c>
      <c r="B633" s="14">
        <v>37930</v>
      </c>
      <c r="C633" s="14" t="s">
        <v>281</v>
      </c>
      <c r="D633" s="15" t="s">
        <v>58</v>
      </c>
      <c r="E633" s="15" t="s">
        <v>59</v>
      </c>
      <c r="F633" s="15" t="s">
        <v>60</v>
      </c>
      <c r="G633" s="15" t="s">
        <v>25</v>
      </c>
      <c r="H633" s="15" t="s">
        <v>17</v>
      </c>
      <c r="I633" s="15" t="s">
        <v>20</v>
      </c>
      <c r="J633" s="15" t="s">
        <v>242</v>
      </c>
      <c r="K633" s="15">
        <v>24</v>
      </c>
      <c r="L633" s="16">
        <v>48</v>
      </c>
      <c r="M633" s="17">
        <v>1152</v>
      </c>
      <c r="N633" s="15" t="s">
        <v>367</v>
      </c>
      <c r="O633" s="15" t="s">
        <v>19</v>
      </c>
      <c r="Q633"/>
    </row>
    <row r="634" spans="1:17" ht="15.6" x14ac:dyDescent="0.3">
      <c r="A634" s="11">
        <v>10171</v>
      </c>
      <c r="B634" s="10">
        <v>37930</v>
      </c>
      <c r="C634" s="10" t="s">
        <v>327</v>
      </c>
      <c r="D634" s="11" t="s">
        <v>167</v>
      </c>
      <c r="E634" s="11" t="s">
        <v>168</v>
      </c>
      <c r="F634" s="11" t="s">
        <v>169</v>
      </c>
      <c r="G634" s="11" t="s">
        <v>16</v>
      </c>
      <c r="H634" s="11" t="s">
        <v>32</v>
      </c>
      <c r="I634" s="11" t="s">
        <v>44</v>
      </c>
      <c r="J634" s="11" t="s">
        <v>252</v>
      </c>
      <c r="K634" s="11">
        <v>35</v>
      </c>
      <c r="L634" s="12">
        <v>55</v>
      </c>
      <c r="M634" s="13">
        <v>1925</v>
      </c>
      <c r="N634" s="11" t="s">
        <v>367</v>
      </c>
      <c r="O634" s="11" t="s">
        <v>19</v>
      </c>
      <c r="Q634"/>
    </row>
    <row r="635" spans="1:17" ht="15.6" x14ac:dyDescent="0.3">
      <c r="A635" s="15">
        <v>10173</v>
      </c>
      <c r="B635" s="14">
        <v>37930</v>
      </c>
      <c r="C635" s="14" t="s">
        <v>281</v>
      </c>
      <c r="D635" s="15" t="s">
        <v>58</v>
      </c>
      <c r="E635" s="15" t="s">
        <v>59</v>
      </c>
      <c r="F635" s="15" t="s">
        <v>60</v>
      </c>
      <c r="G635" s="15" t="s">
        <v>25</v>
      </c>
      <c r="H635" s="15" t="s">
        <v>17</v>
      </c>
      <c r="I635" s="15" t="s">
        <v>82</v>
      </c>
      <c r="J635" s="15" t="s">
        <v>270</v>
      </c>
      <c r="K635" s="15">
        <v>26</v>
      </c>
      <c r="L635" s="16">
        <v>75</v>
      </c>
      <c r="M635" s="17">
        <v>1950</v>
      </c>
      <c r="N635" s="15" t="s">
        <v>367</v>
      </c>
      <c r="O635" s="15" t="s">
        <v>19</v>
      </c>
      <c r="Q635"/>
    </row>
    <row r="636" spans="1:17" ht="15.6" x14ac:dyDescent="0.3">
      <c r="A636" s="11">
        <v>10173</v>
      </c>
      <c r="B636" s="10">
        <v>37930</v>
      </c>
      <c r="C636" s="10" t="s">
        <v>281</v>
      </c>
      <c r="D636" s="11" t="s">
        <v>58</v>
      </c>
      <c r="E636" s="11" t="s">
        <v>59</v>
      </c>
      <c r="F636" s="11" t="s">
        <v>60</v>
      </c>
      <c r="G636" s="11" t="s">
        <v>25</v>
      </c>
      <c r="H636" s="11" t="s">
        <v>17</v>
      </c>
      <c r="I636" s="11" t="s">
        <v>20</v>
      </c>
      <c r="J636" s="11" t="s">
        <v>242</v>
      </c>
      <c r="K636" s="11">
        <v>31</v>
      </c>
      <c r="L636" s="12">
        <v>48</v>
      </c>
      <c r="M636" s="13">
        <v>1488</v>
      </c>
      <c r="N636" s="11" t="s">
        <v>367</v>
      </c>
      <c r="O636" s="11" t="s">
        <v>19</v>
      </c>
      <c r="Q636"/>
    </row>
    <row r="637" spans="1:17" ht="15.6" x14ac:dyDescent="0.3">
      <c r="A637" s="15">
        <v>10173</v>
      </c>
      <c r="B637" s="14">
        <v>37930</v>
      </c>
      <c r="C637" s="14" t="s">
        <v>281</v>
      </c>
      <c r="D637" s="15" t="s">
        <v>58</v>
      </c>
      <c r="E637" s="15" t="s">
        <v>59</v>
      </c>
      <c r="F637" s="15" t="s">
        <v>60</v>
      </c>
      <c r="G637" s="15" t="s">
        <v>25</v>
      </c>
      <c r="H637" s="15" t="s">
        <v>17</v>
      </c>
      <c r="I637" s="15" t="s">
        <v>20</v>
      </c>
      <c r="J637" s="15" t="s">
        <v>242</v>
      </c>
      <c r="K637" s="15">
        <v>22</v>
      </c>
      <c r="L637" s="16">
        <v>48</v>
      </c>
      <c r="M637" s="17">
        <v>1056</v>
      </c>
      <c r="N637" s="15" t="s">
        <v>367</v>
      </c>
      <c r="O637" s="15" t="s">
        <v>19</v>
      </c>
      <c r="Q637"/>
    </row>
    <row r="638" spans="1:17" ht="15.6" x14ac:dyDescent="0.3">
      <c r="A638" s="11">
        <v>10172</v>
      </c>
      <c r="B638" s="10">
        <v>37930</v>
      </c>
      <c r="C638" s="10" t="s">
        <v>328</v>
      </c>
      <c r="D638" s="11" t="s">
        <v>170</v>
      </c>
      <c r="E638" s="11" t="s">
        <v>171</v>
      </c>
      <c r="F638" s="11" t="s">
        <v>15</v>
      </c>
      <c r="G638" s="11" t="s">
        <v>16</v>
      </c>
      <c r="H638" s="11" t="s">
        <v>32</v>
      </c>
      <c r="I638" s="11" t="s">
        <v>33</v>
      </c>
      <c r="J638" s="11" t="s">
        <v>245</v>
      </c>
      <c r="K638" s="11">
        <v>39</v>
      </c>
      <c r="L638" s="12">
        <v>85</v>
      </c>
      <c r="M638" s="13">
        <v>3315</v>
      </c>
      <c r="N638" s="11" t="s">
        <v>367</v>
      </c>
      <c r="O638" s="11" t="s">
        <v>19</v>
      </c>
      <c r="Q638"/>
    </row>
    <row r="639" spans="1:17" ht="15.6" x14ac:dyDescent="0.3">
      <c r="A639" s="15">
        <v>10173</v>
      </c>
      <c r="B639" s="14">
        <v>37930</v>
      </c>
      <c r="C639" s="14" t="s">
        <v>281</v>
      </c>
      <c r="D639" s="15" t="s">
        <v>58</v>
      </c>
      <c r="E639" s="15" t="s">
        <v>59</v>
      </c>
      <c r="F639" s="15" t="s">
        <v>60</v>
      </c>
      <c r="G639" s="15" t="s">
        <v>25</v>
      </c>
      <c r="H639" s="15" t="s">
        <v>17</v>
      </c>
      <c r="I639" s="15" t="s">
        <v>82</v>
      </c>
      <c r="J639" s="15" t="s">
        <v>270</v>
      </c>
      <c r="K639" s="15">
        <v>28</v>
      </c>
      <c r="L639" s="16">
        <v>75</v>
      </c>
      <c r="M639" s="17">
        <v>2100</v>
      </c>
      <c r="N639" s="15" t="s">
        <v>367</v>
      </c>
      <c r="O639" s="15" t="s">
        <v>19</v>
      </c>
      <c r="Q639"/>
    </row>
    <row r="640" spans="1:17" ht="15.6" x14ac:dyDescent="0.3">
      <c r="A640" s="11">
        <v>10173</v>
      </c>
      <c r="B640" s="10">
        <v>37930</v>
      </c>
      <c r="C640" s="10" t="s">
        <v>281</v>
      </c>
      <c r="D640" s="11" t="s">
        <v>58</v>
      </c>
      <c r="E640" s="11" t="s">
        <v>59</v>
      </c>
      <c r="F640" s="11" t="s">
        <v>60</v>
      </c>
      <c r="G640" s="11" t="s">
        <v>25</v>
      </c>
      <c r="H640" s="11" t="s">
        <v>17</v>
      </c>
      <c r="I640" s="11" t="s">
        <v>20</v>
      </c>
      <c r="J640" s="11" t="s">
        <v>242</v>
      </c>
      <c r="K640" s="11">
        <v>31</v>
      </c>
      <c r="L640" s="12">
        <v>48</v>
      </c>
      <c r="M640" s="13">
        <v>1488</v>
      </c>
      <c r="N640" s="11" t="s">
        <v>367</v>
      </c>
      <c r="O640" s="11" t="s">
        <v>19</v>
      </c>
      <c r="Q640"/>
    </row>
    <row r="641" spans="1:17" ht="15.6" x14ac:dyDescent="0.3">
      <c r="A641" s="15">
        <v>10171</v>
      </c>
      <c r="B641" s="14">
        <v>37930</v>
      </c>
      <c r="C641" s="14" t="s">
        <v>327</v>
      </c>
      <c r="D641" s="15" t="s">
        <v>167</v>
      </c>
      <c r="E641" s="15" t="s">
        <v>168</v>
      </c>
      <c r="F641" s="15" t="s">
        <v>169</v>
      </c>
      <c r="G641" s="15" t="s">
        <v>16</v>
      </c>
      <c r="H641" s="15" t="s">
        <v>32</v>
      </c>
      <c r="I641" s="15" t="s">
        <v>45</v>
      </c>
      <c r="J641" s="15" t="s">
        <v>253</v>
      </c>
      <c r="K641" s="15">
        <v>39</v>
      </c>
      <c r="L641" s="16">
        <v>35</v>
      </c>
      <c r="M641" s="17">
        <v>1365</v>
      </c>
      <c r="N641" s="15" t="s">
        <v>367</v>
      </c>
      <c r="O641" s="15" t="s">
        <v>19</v>
      </c>
      <c r="Q641"/>
    </row>
    <row r="642" spans="1:17" ht="15.6" x14ac:dyDescent="0.3">
      <c r="A642" s="11">
        <v>10173</v>
      </c>
      <c r="B642" s="10">
        <v>37930</v>
      </c>
      <c r="C642" s="10" t="s">
        <v>281</v>
      </c>
      <c r="D642" s="11" t="s">
        <v>58</v>
      </c>
      <c r="E642" s="11" t="s">
        <v>59</v>
      </c>
      <c r="F642" s="11" t="s">
        <v>60</v>
      </c>
      <c r="G642" s="11" t="s">
        <v>25</v>
      </c>
      <c r="H642" s="11" t="s">
        <v>17</v>
      </c>
      <c r="I642" s="11" t="s">
        <v>20</v>
      </c>
      <c r="J642" s="11" t="s">
        <v>242</v>
      </c>
      <c r="K642" s="11">
        <v>29</v>
      </c>
      <c r="L642" s="12">
        <v>48</v>
      </c>
      <c r="M642" s="13">
        <v>1392</v>
      </c>
      <c r="N642" s="11" t="s">
        <v>367</v>
      </c>
      <c r="O642" s="11" t="s">
        <v>19</v>
      </c>
      <c r="Q642"/>
    </row>
    <row r="643" spans="1:17" ht="15.6" x14ac:dyDescent="0.3">
      <c r="A643" s="15">
        <v>10172</v>
      </c>
      <c r="B643" s="14">
        <v>37930</v>
      </c>
      <c r="C643" s="14" t="s">
        <v>328</v>
      </c>
      <c r="D643" s="15" t="s">
        <v>170</v>
      </c>
      <c r="E643" s="15" t="s">
        <v>171</v>
      </c>
      <c r="F643" s="15" t="s">
        <v>15</v>
      </c>
      <c r="G643" s="15" t="s">
        <v>16</v>
      </c>
      <c r="H643" s="15" t="s">
        <v>32</v>
      </c>
      <c r="I643" s="15" t="s">
        <v>34</v>
      </c>
      <c r="J643" s="15" t="s">
        <v>246</v>
      </c>
      <c r="K643" s="15">
        <v>48</v>
      </c>
      <c r="L643" s="16">
        <v>80</v>
      </c>
      <c r="M643" s="17">
        <v>3840</v>
      </c>
      <c r="N643" s="15" t="s">
        <v>367</v>
      </c>
      <c r="O643" s="15" t="s">
        <v>19</v>
      </c>
      <c r="Q643"/>
    </row>
    <row r="644" spans="1:17" ht="15.6" x14ac:dyDescent="0.3">
      <c r="A644" s="11">
        <v>10173</v>
      </c>
      <c r="B644" s="10">
        <v>37930</v>
      </c>
      <c r="C644" s="10" t="s">
        <v>281</v>
      </c>
      <c r="D644" s="11" t="s">
        <v>58</v>
      </c>
      <c r="E644" s="11" t="s">
        <v>59</v>
      </c>
      <c r="F644" s="11" t="s">
        <v>60</v>
      </c>
      <c r="G644" s="11" t="s">
        <v>25</v>
      </c>
      <c r="H644" s="11" t="s">
        <v>17</v>
      </c>
      <c r="I644" s="11" t="s">
        <v>20</v>
      </c>
      <c r="J644" s="11" t="s">
        <v>242</v>
      </c>
      <c r="K644" s="11">
        <v>21</v>
      </c>
      <c r="L644" s="12">
        <v>48</v>
      </c>
      <c r="M644" s="13">
        <v>1008</v>
      </c>
      <c r="N644" s="11" t="s">
        <v>367</v>
      </c>
      <c r="O644" s="11" t="s">
        <v>19</v>
      </c>
      <c r="Q644"/>
    </row>
    <row r="645" spans="1:17" ht="15.6" x14ac:dyDescent="0.3">
      <c r="A645" s="15">
        <v>10173</v>
      </c>
      <c r="B645" s="14">
        <v>37930</v>
      </c>
      <c r="C645" s="14" t="s">
        <v>281</v>
      </c>
      <c r="D645" s="15" t="s">
        <v>58</v>
      </c>
      <c r="E645" s="15" t="s">
        <v>59</v>
      </c>
      <c r="F645" s="15" t="s">
        <v>60</v>
      </c>
      <c r="G645" s="15" t="s">
        <v>25</v>
      </c>
      <c r="H645" s="15" t="s">
        <v>32</v>
      </c>
      <c r="I645" s="15" t="s">
        <v>33</v>
      </c>
      <c r="J645" s="15" t="s">
        <v>245</v>
      </c>
      <c r="K645" s="15">
        <v>39</v>
      </c>
      <c r="L645" s="16">
        <v>85</v>
      </c>
      <c r="M645" s="17">
        <v>3315</v>
      </c>
      <c r="N645" s="15" t="s">
        <v>367</v>
      </c>
      <c r="O645" s="15" t="s">
        <v>19</v>
      </c>
      <c r="Q645"/>
    </row>
    <row r="646" spans="1:17" ht="15.6" x14ac:dyDescent="0.3">
      <c r="A646" s="11">
        <v>10172</v>
      </c>
      <c r="B646" s="10">
        <v>37930</v>
      </c>
      <c r="C646" s="10" t="s">
        <v>328</v>
      </c>
      <c r="D646" s="11" t="s">
        <v>170</v>
      </c>
      <c r="E646" s="11" t="s">
        <v>171</v>
      </c>
      <c r="F646" s="11" t="s">
        <v>15</v>
      </c>
      <c r="G646" s="11" t="s">
        <v>16</v>
      </c>
      <c r="H646" s="11" t="s">
        <v>32</v>
      </c>
      <c r="I646" s="11" t="s">
        <v>33</v>
      </c>
      <c r="J646" s="11" t="s">
        <v>245</v>
      </c>
      <c r="K646" s="11">
        <v>32</v>
      </c>
      <c r="L646" s="12">
        <v>85</v>
      </c>
      <c r="M646" s="13">
        <v>2720</v>
      </c>
      <c r="N646" s="11" t="s">
        <v>367</v>
      </c>
      <c r="O646" s="11" t="s">
        <v>19</v>
      </c>
      <c r="Q646"/>
    </row>
    <row r="647" spans="1:17" ht="15.6" x14ac:dyDescent="0.3">
      <c r="A647" s="15">
        <v>10172</v>
      </c>
      <c r="B647" s="14">
        <v>37930</v>
      </c>
      <c r="C647" s="14" t="s">
        <v>328</v>
      </c>
      <c r="D647" s="15" t="s">
        <v>170</v>
      </c>
      <c r="E647" s="15" t="s">
        <v>171</v>
      </c>
      <c r="F647" s="15" t="s">
        <v>15</v>
      </c>
      <c r="G647" s="15" t="s">
        <v>16</v>
      </c>
      <c r="H647" s="15" t="s">
        <v>32</v>
      </c>
      <c r="I647" s="15" t="s">
        <v>44</v>
      </c>
      <c r="J647" s="15" t="s">
        <v>252</v>
      </c>
      <c r="K647" s="15">
        <v>34</v>
      </c>
      <c r="L647" s="16">
        <v>55</v>
      </c>
      <c r="M647" s="17">
        <v>1870</v>
      </c>
      <c r="N647" s="15" t="s">
        <v>367</v>
      </c>
      <c r="O647" s="15" t="s">
        <v>19</v>
      </c>
      <c r="Q647"/>
    </row>
    <row r="648" spans="1:17" ht="15.6" x14ac:dyDescent="0.3">
      <c r="A648" s="11">
        <v>10173</v>
      </c>
      <c r="B648" s="10">
        <v>37930</v>
      </c>
      <c r="C648" s="10" t="s">
        <v>281</v>
      </c>
      <c r="D648" s="11" t="s">
        <v>58</v>
      </c>
      <c r="E648" s="11" t="s">
        <v>59</v>
      </c>
      <c r="F648" s="11" t="s">
        <v>60</v>
      </c>
      <c r="G648" s="11" t="s">
        <v>25</v>
      </c>
      <c r="H648" s="11" t="s">
        <v>17</v>
      </c>
      <c r="I648" s="11" t="s">
        <v>18</v>
      </c>
      <c r="J648" s="11" t="s">
        <v>241</v>
      </c>
      <c r="K648" s="11">
        <v>31</v>
      </c>
      <c r="L648" s="12">
        <v>30</v>
      </c>
      <c r="M648" s="13">
        <v>930</v>
      </c>
      <c r="N648" s="11" t="s">
        <v>367</v>
      </c>
      <c r="O648" s="11" t="s">
        <v>19</v>
      </c>
      <c r="Q648"/>
    </row>
    <row r="649" spans="1:17" ht="15.6" x14ac:dyDescent="0.3">
      <c r="A649" s="15">
        <v>10173</v>
      </c>
      <c r="B649" s="14">
        <v>37930</v>
      </c>
      <c r="C649" s="14" t="s">
        <v>281</v>
      </c>
      <c r="D649" s="15" t="s">
        <v>58</v>
      </c>
      <c r="E649" s="15" t="s">
        <v>59</v>
      </c>
      <c r="F649" s="15" t="s">
        <v>60</v>
      </c>
      <c r="G649" s="15" t="s">
        <v>25</v>
      </c>
      <c r="H649" s="15" t="s">
        <v>17</v>
      </c>
      <c r="I649" s="15" t="s">
        <v>20</v>
      </c>
      <c r="J649" s="15" t="s">
        <v>242</v>
      </c>
      <c r="K649" s="15">
        <v>27</v>
      </c>
      <c r="L649" s="16">
        <v>48</v>
      </c>
      <c r="M649" s="17">
        <v>1296</v>
      </c>
      <c r="N649" s="15" t="s">
        <v>367</v>
      </c>
      <c r="O649" s="15" t="s">
        <v>19</v>
      </c>
      <c r="Q649"/>
    </row>
    <row r="650" spans="1:17" ht="15.6" x14ac:dyDescent="0.3">
      <c r="A650" s="11">
        <v>10172</v>
      </c>
      <c r="B650" s="10">
        <v>37930</v>
      </c>
      <c r="C650" s="10" t="s">
        <v>328</v>
      </c>
      <c r="D650" s="11" t="s">
        <v>170</v>
      </c>
      <c r="E650" s="11" t="s">
        <v>171</v>
      </c>
      <c r="F650" s="11" t="s">
        <v>15</v>
      </c>
      <c r="G650" s="11" t="s">
        <v>16</v>
      </c>
      <c r="H650" s="11" t="s">
        <v>32</v>
      </c>
      <c r="I650" s="11" t="s">
        <v>34</v>
      </c>
      <c r="J650" s="11" t="s">
        <v>246</v>
      </c>
      <c r="K650" s="11">
        <v>22</v>
      </c>
      <c r="L650" s="12">
        <v>80</v>
      </c>
      <c r="M650" s="13">
        <v>1760</v>
      </c>
      <c r="N650" s="11" t="s">
        <v>367</v>
      </c>
      <c r="O650" s="11" t="s">
        <v>19</v>
      </c>
      <c r="Q650"/>
    </row>
    <row r="651" spans="1:17" ht="15.6" x14ac:dyDescent="0.3">
      <c r="A651" s="15">
        <v>10173</v>
      </c>
      <c r="B651" s="14">
        <v>37930</v>
      </c>
      <c r="C651" s="14" t="s">
        <v>281</v>
      </c>
      <c r="D651" s="15" t="s">
        <v>58</v>
      </c>
      <c r="E651" s="15" t="s">
        <v>59</v>
      </c>
      <c r="F651" s="15" t="s">
        <v>60</v>
      </c>
      <c r="G651" s="15" t="s">
        <v>25</v>
      </c>
      <c r="H651" s="15" t="s">
        <v>32</v>
      </c>
      <c r="I651" s="15" t="s">
        <v>33</v>
      </c>
      <c r="J651" s="15" t="s">
        <v>245</v>
      </c>
      <c r="K651" s="15">
        <v>23</v>
      </c>
      <c r="L651" s="16">
        <v>85</v>
      </c>
      <c r="M651" s="17">
        <v>1955</v>
      </c>
      <c r="N651" s="15" t="s">
        <v>367</v>
      </c>
      <c r="O651" s="15" t="s">
        <v>19</v>
      </c>
      <c r="Q651"/>
    </row>
    <row r="652" spans="1:17" ht="15.6" x14ac:dyDescent="0.3">
      <c r="A652" s="11">
        <v>10171</v>
      </c>
      <c r="B652" s="10">
        <v>37930</v>
      </c>
      <c r="C652" s="10" t="s">
        <v>327</v>
      </c>
      <c r="D652" s="11" t="s">
        <v>167</v>
      </c>
      <c r="E652" s="11" t="s">
        <v>168</v>
      </c>
      <c r="F652" s="11" t="s">
        <v>169</v>
      </c>
      <c r="G652" s="11" t="s">
        <v>16</v>
      </c>
      <c r="H652" s="11" t="s">
        <v>32</v>
      </c>
      <c r="I652" s="11" t="s">
        <v>46</v>
      </c>
      <c r="J652" s="11" t="s">
        <v>254</v>
      </c>
      <c r="K652" s="11">
        <v>36</v>
      </c>
      <c r="L652" s="12">
        <v>90</v>
      </c>
      <c r="M652" s="13">
        <v>3240</v>
      </c>
      <c r="N652" s="11" t="s">
        <v>367</v>
      </c>
      <c r="O652" s="11" t="s">
        <v>19</v>
      </c>
      <c r="Q652"/>
    </row>
    <row r="653" spans="1:17" ht="15.6" x14ac:dyDescent="0.3">
      <c r="A653" s="15">
        <v>10172</v>
      </c>
      <c r="B653" s="14">
        <v>37930</v>
      </c>
      <c r="C653" s="14" t="s">
        <v>328</v>
      </c>
      <c r="D653" s="15" t="s">
        <v>170</v>
      </c>
      <c r="E653" s="15" t="s">
        <v>171</v>
      </c>
      <c r="F653" s="15" t="s">
        <v>15</v>
      </c>
      <c r="G653" s="15" t="s">
        <v>16</v>
      </c>
      <c r="H653" s="15" t="s">
        <v>32</v>
      </c>
      <c r="I653" s="15" t="s">
        <v>33</v>
      </c>
      <c r="J653" s="15" t="s">
        <v>245</v>
      </c>
      <c r="K653" s="15">
        <v>24</v>
      </c>
      <c r="L653" s="16">
        <v>85</v>
      </c>
      <c r="M653" s="17">
        <v>2040</v>
      </c>
      <c r="N653" s="15" t="s">
        <v>367</v>
      </c>
      <c r="O653" s="15" t="s">
        <v>19</v>
      </c>
      <c r="Q653"/>
    </row>
    <row r="654" spans="1:17" ht="15.6" x14ac:dyDescent="0.3">
      <c r="A654" s="11">
        <v>10172</v>
      </c>
      <c r="B654" s="10">
        <v>37930</v>
      </c>
      <c r="C654" s="10" t="s">
        <v>328</v>
      </c>
      <c r="D654" s="11" t="s">
        <v>170</v>
      </c>
      <c r="E654" s="11" t="s">
        <v>171</v>
      </c>
      <c r="F654" s="11" t="s">
        <v>15</v>
      </c>
      <c r="G654" s="11" t="s">
        <v>16</v>
      </c>
      <c r="H654" s="11" t="s">
        <v>32</v>
      </c>
      <c r="I654" s="11" t="s">
        <v>33</v>
      </c>
      <c r="J654" s="11" t="s">
        <v>245</v>
      </c>
      <c r="K654" s="11">
        <v>22</v>
      </c>
      <c r="L654" s="12">
        <v>85</v>
      </c>
      <c r="M654" s="13">
        <v>1870</v>
      </c>
      <c r="N654" s="11" t="s">
        <v>367</v>
      </c>
      <c r="O654" s="11" t="s">
        <v>19</v>
      </c>
      <c r="Q654"/>
    </row>
    <row r="655" spans="1:17" ht="15.6" x14ac:dyDescent="0.3">
      <c r="A655" s="15">
        <v>10173</v>
      </c>
      <c r="B655" s="14">
        <v>37930</v>
      </c>
      <c r="C655" s="14" t="s">
        <v>281</v>
      </c>
      <c r="D655" s="15" t="s">
        <v>58</v>
      </c>
      <c r="E655" s="15" t="s">
        <v>59</v>
      </c>
      <c r="F655" s="15" t="s">
        <v>60</v>
      </c>
      <c r="G655" s="15" t="s">
        <v>25</v>
      </c>
      <c r="H655" s="15" t="s">
        <v>17</v>
      </c>
      <c r="I655" s="15" t="s">
        <v>21</v>
      </c>
      <c r="J655" s="15" t="s">
        <v>243</v>
      </c>
      <c r="K655" s="15">
        <v>35</v>
      </c>
      <c r="L655" s="16">
        <v>110</v>
      </c>
      <c r="M655" s="17">
        <v>3850</v>
      </c>
      <c r="N655" s="15" t="s">
        <v>367</v>
      </c>
      <c r="O655" s="15" t="s">
        <v>19</v>
      </c>
      <c r="Q655"/>
    </row>
    <row r="656" spans="1:17" ht="15.6" x14ac:dyDescent="0.3">
      <c r="A656" s="11">
        <v>10173</v>
      </c>
      <c r="B656" s="10">
        <v>37930</v>
      </c>
      <c r="C656" s="10" t="s">
        <v>281</v>
      </c>
      <c r="D656" s="11" t="s">
        <v>58</v>
      </c>
      <c r="E656" s="11" t="s">
        <v>59</v>
      </c>
      <c r="F656" s="11" t="s">
        <v>60</v>
      </c>
      <c r="G656" s="11" t="s">
        <v>25</v>
      </c>
      <c r="H656" s="11" t="s">
        <v>17</v>
      </c>
      <c r="I656" s="11" t="s">
        <v>20</v>
      </c>
      <c r="J656" s="11" t="s">
        <v>242</v>
      </c>
      <c r="K656" s="11">
        <v>22</v>
      </c>
      <c r="L656" s="12">
        <v>48</v>
      </c>
      <c r="M656" s="13">
        <v>1056</v>
      </c>
      <c r="N656" s="11" t="s">
        <v>367</v>
      </c>
      <c r="O656" s="11" t="s">
        <v>19</v>
      </c>
      <c r="Q656"/>
    </row>
    <row r="657" spans="1:17" ht="15.6" x14ac:dyDescent="0.3">
      <c r="A657" s="15">
        <v>10174</v>
      </c>
      <c r="B657" s="14">
        <v>37931</v>
      </c>
      <c r="C657" s="14" t="s">
        <v>316</v>
      </c>
      <c r="D657" s="15" t="s">
        <v>147</v>
      </c>
      <c r="E657" s="15" t="s">
        <v>148</v>
      </c>
      <c r="F657" s="15" t="s">
        <v>106</v>
      </c>
      <c r="G657" s="15" t="s">
        <v>107</v>
      </c>
      <c r="H657" s="15" t="s">
        <v>32</v>
      </c>
      <c r="I657" s="15" t="s">
        <v>44</v>
      </c>
      <c r="J657" s="15" t="s">
        <v>252</v>
      </c>
      <c r="K657" s="15">
        <v>34</v>
      </c>
      <c r="L657" s="16">
        <v>55</v>
      </c>
      <c r="M657" s="17">
        <v>1870</v>
      </c>
      <c r="N657" s="15" t="s">
        <v>367</v>
      </c>
      <c r="O657" s="15" t="s">
        <v>19</v>
      </c>
      <c r="Q657"/>
    </row>
    <row r="658" spans="1:17" ht="15.6" x14ac:dyDescent="0.3">
      <c r="A658" s="11">
        <v>10175</v>
      </c>
      <c r="B658" s="10">
        <v>37931</v>
      </c>
      <c r="C658" s="10" t="s">
        <v>302</v>
      </c>
      <c r="D658" s="11" t="s">
        <v>120</v>
      </c>
      <c r="E658" s="11" t="s">
        <v>121</v>
      </c>
      <c r="F658" s="11" t="s">
        <v>81</v>
      </c>
      <c r="G658" s="11" t="s">
        <v>25</v>
      </c>
      <c r="H658" s="11" t="s">
        <v>32</v>
      </c>
      <c r="I658" s="11" t="s">
        <v>34</v>
      </c>
      <c r="J658" s="11" t="s">
        <v>246</v>
      </c>
      <c r="K658" s="11">
        <v>33</v>
      </c>
      <c r="L658" s="12">
        <v>80</v>
      </c>
      <c r="M658" s="13">
        <v>2640</v>
      </c>
      <c r="N658" s="11" t="s">
        <v>367</v>
      </c>
      <c r="O658" s="11" t="s">
        <v>19</v>
      </c>
      <c r="Q658"/>
    </row>
    <row r="659" spans="1:17" ht="15.6" x14ac:dyDescent="0.3">
      <c r="A659" s="15">
        <v>10176</v>
      </c>
      <c r="B659" s="14">
        <v>37931</v>
      </c>
      <c r="C659" s="14" t="s">
        <v>329</v>
      </c>
      <c r="D659" s="15" t="s">
        <v>172</v>
      </c>
      <c r="E659" s="15" t="s">
        <v>173</v>
      </c>
      <c r="F659" s="15" t="s">
        <v>60</v>
      </c>
      <c r="G659" s="15" t="s">
        <v>25</v>
      </c>
      <c r="H659" s="15" t="s">
        <v>32</v>
      </c>
      <c r="I659" s="15" t="s">
        <v>46</v>
      </c>
      <c r="J659" s="15" t="s">
        <v>254</v>
      </c>
      <c r="K659" s="15">
        <v>33</v>
      </c>
      <c r="L659" s="16">
        <v>90</v>
      </c>
      <c r="M659" s="17">
        <v>2970</v>
      </c>
      <c r="N659" s="15" t="s">
        <v>367</v>
      </c>
      <c r="O659" s="15" t="s">
        <v>19</v>
      </c>
      <c r="Q659"/>
    </row>
    <row r="660" spans="1:17" ht="15.6" x14ac:dyDescent="0.3">
      <c r="A660" s="11">
        <v>10174</v>
      </c>
      <c r="B660" s="10">
        <v>37931</v>
      </c>
      <c r="C660" s="10" t="s">
        <v>316</v>
      </c>
      <c r="D660" s="11" t="s">
        <v>147</v>
      </c>
      <c r="E660" s="11" t="s">
        <v>148</v>
      </c>
      <c r="F660" s="11" t="s">
        <v>106</v>
      </c>
      <c r="G660" s="11" t="s">
        <v>107</v>
      </c>
      <c r="H660" s="11" t="s">
        <v>35</v>
      </c>
      <c r="I660" s="11" t="s">
        <v>38</v>
      </c>
      <c r="J660" s="11" t="s">
        <v>249</v>
      </c>
      <c r="K660" s="11">
        <v>43</v>
      </c>
      <c r="L660" s="12">
        <v>20</v>
      </c>
      <c r="M660" s="13">
        <v>860</v>
      </c>
      <c r="N660" s="11" t="s">
        <v>367</v>
      </c>
      <c r="O660" s="11" t="s">
        <v>19</v>
      </c>
      <c r="Q660"/>
    </row>
    <row r="661" spans="1:17" ht="15.6" x14ac:dyDescent="0.3">
      <c r="A661" s="15">
        <v>10176</v>
      </c>
      <c r="B661" s="14">
        <v>37931</v>
      </c>
      <c r="C661" s="14" t="s">
        <v>329</v>
      </c>
      <c r="D661" s="15" t="s">
        <v>172</v>
      </c>
      <c r="E661" s="15" t="s">
        <v>173</v>
      </c>
      <c r="F661" s="15" t="s">
        <v>60</v>
      </c>
      <c r="G661" s="15" t="s">
        <v>25</v>
      </c>
      <c r="H661" s="15" t="s">
        <v>32</v>
      </c>
      <c r="I661" s="15" t="s">
        <v>34</v>
      </c>
      <c r="J661" s="15" t="s">
        <v>246</v>
      </c>
      <c r="K661" s="15">
        <v>47</v>
      </c>
      <c r="L661" s="16">
        <v>80</v>
      </c>
      <c r="M661" s="17">
        <v>3760</v>
      </c>
      <c r="N661" s="15" t="s">
        <v>367</v>
      </c>
      <c r="O661" s="15" t="s">
        <v>19</v>
      </c>
      <c r="Q661"/>
    </row>
    <row r="662" spans="1:17" ht="15.6" x14ac:dyDescent="0.3">
      <c r="A662" s="11">
        <v>10176</v>
      </c>
      <c r="B662" s="10">
        <v>37931</v>
      </c>
      <c r="C662" s="10" t="s">
        <v>329</v>
      </c>
      <c r="D662" s="11" t="s">
        <v>172</v>
      </c>
      <c r="E662" s="11" t="s">
        <v>173</v>
      </c>
      <c r="F662" s="11" t="s">
        <v>60</v>
      </c>
      <c r="G662" s="11" t="s">
        <v>25</v>
      </c>
      <c r="H662" s="11" t="s">
        <v>32</v>
      </c>
      <c r="I662" s="11" t="s">
        <v>33</v>
      </c>
      <c r="J662" s="11" t="s">
        <v>245</v>
      </c>
      <c r="K662" s="11">
        <v>50</v>
      </c>
      <c r="L662" s="12">
        <v>85</v>
      </c>
      <c r="M662" s="13">
        <v>4250</v>
      </c>
      <c r="N662" s="11" t="s">
        <v>368</v>
      </c>
      <c r="O662" s="11" t="s">
        <v>19</v>
      </c>
      <c r="Q662"/>
    </row>
    <row r="663" spans="1:17" ht="15.6" x14ac:dyDescent="0.3">
      <c r="A663" s="15">
        <v>10175</v>
      </c>
      <c r="B663" s="14">
        <v>37931</v>
      </c>
      <c r="C663" s="14" t="s">
        <v>302</v>
      </c>
      <c r="D663" s="15" t="s">
        <v>120</v>
      </c>
      <c r="E663" s="15" t="s">
        <v>121</v>
      </c>
      <c r="F663" s="15" t="s">
        <v>81</v>
      </c>
      <c r="G663" s="15" t="s">
        <v>25</v>
      </c>
      <c r="H663" s="15" t="s">
        <v>35</v>
      </c>
      <c r="I663" s="15" t="s">
        <v>40</v>
      </c>
      <c r="J663" s="15" t="s">
        <v>251</v>
      </c>
      <c r="K663" s="15">
        <v>26</v>
      </c>
      <c r="L663" s="16">
        <v>25</v>
      </c>
      <c r="M663" s="17">
        <v>650</v>
      </c>
      <c r="N663" s="15" t="s">
        <v>367</v>
      </c>
      <c r="O663" s="15" t="s">
        <v>19</v>
      </c>
      <c r="Q663"/>
    </row>
    <row r="664" spans="1:17" ht="15.6" x14ac:dyDescent="0.3">
      <c r="A664" s="11">
        <v>10174</v>
      </c>
      <c r="B664" s="10">
        <v>37931</v>
      </c>
      <c r="C664" s="10" t="s">
        <v>316</v>
      </c>
      <c r="D664" s="11" t="s">
        <v>147</v>
      </c>
      <c r="E664" s="11" t="s">
        <v>148</v>
      </c>
      <c r="F664" s="11" t="s">
        <v>106</v>
      </c>
      <c r="G664" s="11" t="s">
        <v>107</v>
      </c>
      <c r="H664" s="11" t="s">
        <v>35</v>
      </c>
      <c r="I664" s="11" t="s">
        <v>38</v>
      </c>
      <c r="J664" s="11" t="s">
        <v>249</v>
      </c>
      <c r="K664" s="11">
        <v>48</v>
      </c>
      <c r="L664" s="12">
        <v>20</v>
      </c>
      <c r="M664" s="13">
        <v>960</v>
      </c>
      <c r="N664" s="11" t="s">
        <v>367</v>
      </c>
      <c r="O664" s="11" t="s">
        <v>19</v>
      </c>
      <c r="Q664"/>
    </row>
    <row r="665" spans="1:17" ht="15.6" x14ac:dyDescent="0.3">
      <c r="A665" s="15">
        <v>10176</v>
      </c>
      <c r="B665" s="14">
        <v>37931</v>
      </c>
      <c r="C665" s="14" t="s">
        <v>329</v>
      </c>
      <c r="D665" s="15" t="s">
        <v>172</v>
      </c>
      <c r="E665" s="15" t="s">
        <v>173</v>
      </c>
      <c r="F665" s="15" t="s">
        <v>60</v>
      </c>
      <c r="G665" s="15" t="s">
        <v>25</v>
      </c>
      <c r="H665" s="15" t="s">
        <v>32</v>
      </c>
      <c r="I665" s="15" t="s">
        <v>46</v>
      </c>
      <c r="J665" s="15" t="s">
        <v>254</v>
      </c>
      <c r="K665" s="15">
        <v>20</v>
      </c>
      <c r="L665" s="16">
        <v>90</v>
      </c>
      <c r="M665" s="17">
        <v>1800</v>
      </c>
      <c r="N665" s="15" t="s">
        <v>367</v>
      </c>
      <c r="O665" s="15" t="s">
        <v>19</v>
      </c>
      <c r="Q665"/>
    </row>
    <row r="666" spans="1:17" ht="15.6" x14ac:dyDescent="0.3">
      <c r="A666" s="11">
        <v>10175</v>
      </c>
      <c r="B666" s="10">
        <v>37931</v>
      </c>
      <c r="C666" s="10" t="s">
        <v>302</v>
      </c>
      <c r="D666" s="11" t="s">
        <v>120</v>
      </c>
      <c r="E666" s="11" t="s">
        <v>121</v>
      </c>
      <c r="F666" s="11" t="s">
        <v>81</v>
      </c>
      <c r="G666" s="11" t="s">
        <v>25</v>
      </c>
      <c r="H666" s="11" t="s">
        <v>35</v>
      </c>
      <c r="I666" s="11" t="s">
        <v>37</v>
      </c>
      <c r="J666" s="11" t="s">
        <v>248</v>
      </c>
      <c r="K666" s="11">
        <v>48</v>
      </c>
      <c r="L666" s="12">
        <v>30</v>
      </c>
      <c r="M666" s="13">
        <v>1440</v>
      </c>
      <c r="N666" s="11" t="s">
        <v>367</v>
      </c>
      <c r="O666" s="11" t="s">
        <v>19</v>
      </c>
      <c r="Q666"/>
    </row>
    <row r="667" spans="1:17" ht="15.6" x14ac:dyDescent="0.3">
      <c r="A667" s="15">
        <v>10175</v>
      </c>
      <c r="B667" s="14">
        <v>37931</v>
      </c>
      <c r="C667" s="14" t="s">
        <v>302</v>
      </c>
      <c r="D667" s="15" t="s">
        <v>120</v>
      </c>
      <c r="E667" s="15" t="s">
        <v>121</v>
      </c>
      <c r="F667" s="15" t="s">
        <v>81</v>
      </c>
      <c r="G667" s="15" t="s">
        <v>25</v>
      </c>
      <c r="H667" s="15" t="s">
        <v>35</v>
      </c>
      <c r="I667" s="15" t="s">
        <v>36</v>
      </c>
      <c r="J667" s="15" t="s">
        <v>247</v>
      </c>
      <c r="K667" s="15">
        <v>41</v>
      </c>
      <c r="L667" s="16">
        <v>30</v>
      </c>
      <c r="M667" s="17">
        <v>1230</v>
      </c>
      <c r="N667" s="15" t="s">
        <v>367</v>
      </c>
      <c r="O667" s="15" t="s">
        <v>19</v>
      </c>
      <c r="Q667"/>
    </row>
    <row r="668" spans="1:17" ht="15.6" x14ac:dyDescent="0.3">
      <c r="A668" s="11">
        <v>10174</v>
      </c>
      <c r="B668" s="10">
        <v>37931</v>
      </c>
      <c r="C668" s="10" t="s">
        <v>316</v>
      </c>
      <c r="D668" s="11" t="s">
        <v>147</v>
      </c>
      <c r="E668" s="11" t="s">
        <v>148</v>
      </c>
      <c r="F668" s="11" t="s">
        <v>106</v>
      </c>
      <c r="G668" s="11" t="s">
        <v>107</v>
      </c>
      <c r="H668" s="11" t="s">
        <v>17</v>
      </c>
      <c r="I668" s="11" t="s">
        <v>21</v>
      </c>
      <c r="J668" s="11" t="s">
        <v>243</v>
      </c>
      <c r="K668" s="11">
        <v>46</v>
      </c>
      <c r="L668" s="12">
        <v>110</v>
      </c>
      <c r="M668" s="13">
        <v>5060</v>
      </c>
      <c r="N668" s="11" t="s">
        <v>367</v>
      </c>
      <c r="O668" s="11" t="s">
        <v>19</v>
      </c>
      <c r="Q668"/>
    </row>
    <row r="669" spans="1:17" ht="15.6" x14ac:dyDescent="0.3">
      <c r="A669" s="15">
        <v>10175</v>
      </c>
      <c r="B669" s="14">
        <v>37931</v>
      </c>
      <c r="C669" s="14" t="s">
        <v>302</v>
      </c>
      <c r="D669" s="15" t="s">
        <v>120</v>
      </c>
      <c r="E669" s="15" t="s">
        <v>121</v>
      </c>
      <c r="F669" s="15" t="s">
        <v>81</v>
      </c>
      <c r="G669" s="15" t="s">
        <v>25</v>
      </c>
      <c r="H669" s="15" t="s">
        <v>32</v>
      </c>
      <c r="I669" s="15" t="s">
        <v>34</v>
      </c>
      <c r="J669" s="15" t="s">
        <v>246</v>
      </c>
      <c r="K669" s="15">
        <v>29</v>
      </c>
      <c r="L669" s="16">
        <v>80</v>
      </c>
      <c r="M669" s="17">
        <v>2320</v>
      </c>
      <c r="N669" s="15" t="s">
        <v>367</v>
      </c>
      <c r="O669" s="15" t="s">
        <v>19</v>
      </c>
      <c r="Q669"/>
    </row>
    <row r="670" spans="1:17" ht="15.6" x14ac:dyDescent="0.3">
      <c r="A670" s="11">
        <v>10176</v>
      </c>
      <c r="B670" s="10">
        <v>37931</v>
      </c>
      <c r="C670" s="10" t="s">
        <v>329</v>
      </c>
      <c r="D670" s="11" t="s">
        <v>172</v>
      </c>
      <c r="E670" s="11" t="s">
        <v>173</v>
      </c>
      <c r="F670" s="11" t="s">
        <v>60</v>
      </c>
      <c r="G670" s="11" t="s">
        <v>25</v>
      </c>
      <c r="H670" s="11" t="s">
        <v>32</v>
      </c>
      <c r="I670" s="11" t="s">
        <v>45</v>
      </c>
      <c r="J670" s="11" t="s">
        <v>253</v>
      </c>
      <c r="K670" s="11">
        <v>36</v>
      </c>
      <c r="L670" s="12">
        <v>35</v>
      </c>
      <c r="M670" s="13">
        <v>1260</v>
      </c>
      <c r="N670" s="11" t="s">
        <v>367</v>
      </c>
      <c r="O670" s="11" t="s">
        <v>19</v>
      </c>
      <c r="Q670"/>
    </row>
    <row r="671" spans="1:17" ht="15.6" x14ac:dyDescent="0.3">
      <c r="A671" s="15">
        <v>10175</v>
      </c>
      <c r="B671" s="14">
        <v>37931</v>
      </c>
      <c r="C671" s="14" t="s">
        <v>302</v>
      </c>
      <c r="D671" s="15" t="s">
        <v>120</v>
      </c>
      <c r="E671" s="15" t="s">
        <v>121</v>
      </c>
      <c r="F671" s="15" t="s">
        <v>81</v>
      </c>
      <c r="G671" s="15" t="s">
        <v>25</v>
      </c>
      <c r="H671" s="15" t="s">
        <v>35</v>
      </c>
      <c r="I671" s="15" t="s">
        <v>37</v>
      </c>
      <c r="J671" s="15" t="s">
        <v>248</v>
      </c>
      <c r="K671" s="15">
        <v>47</v>
      </c>
      <c r="L671" s="16">
        <v>30</v>
      </c>
      <c r="M671" s="17">
        <v>1410</v>
      </c>
      <c r="N671" s="15" t="s">
        <v>367</v>
      </c>
      <c r="O671" s="15" t="s">
        <v>19</v>
      </c>
      <c r="Q671"/>
    </row>
    <row r="672" spans="1:17" ht="15.6" x14ac:dyDescent="0.3">
      <c r="A672" s="11">
        <v>10174</v>
      </c>
      <c r="B672" s="10">
        <v>37931</v>
      </c>
      <c r="C672" s="10" t="s">
        <v>316</v>
      </c>
      <c r="D672" s="11" t="s">
        <v>147</v>
      </c>
      <c r="E672" s="11" t="s">
        <v>148</v>
      </c>
      <c r="F672" s="11" t="s">
        <v>106</v>
      </c>
      <c r="G672" s="11" t="s">
        <v>107</v>
      </c>
      <c r="H672" s="11" t="s">
        <v>17</v>
      </c>
      <c r="I672" s="11" t="s">
        <v>82</v>
      </c>
      <c r="J672" s="11" t="s">
        <v>270</v>
      </c>
      <c r="K672" s="11">
        <v>49</v>
      </c>
      <c r="L672" s="12">
        <v>75</v>
      </c>
      <c r="M672" s="13">
        <v>3675</v>
      </c>
      <c r="N672" s="11" t="s">
        <v>367</v>
      </c>
      <c r="O672" s="11" t="s">
        <v>19</v>
      </c>
      <c r="Q672"/>
    </row>
    <row r="673" spans="1:17" ht="15.6" x14ac:dyDescent="0.3">
      <c r="A673" s="15">
        <v>10176</v>
      </c>
      <c r="B673" s="14">
        <v>37931</v>
      </c>
      <c r="C673" s="14" t="s">
        <v>329</v>
      </c>
      <c r="D673" s="15" t="s">
        <v>172</v>
      </c>
      <c r="E673" s="15" t="s">
        <v>173</v>
      </c>
      <c r="F673" s="15" t="s">
        <v>60</v>
      </c>
      <c r="G673" s="15" t="s">
        <v>25</v>
      </c>
      <c r="H673" s="15" t="s">
        <v>32</v>
      </c>
      <c r="I673" s="15" t="s">
        <v>46</v>
      </c>
      <c r="J673" s="15" t="s">
        <v>254</v>
      </c>
      <c r="K673" s="15">
        <v>27</v>
      </c>
      <c r="L673" s="16">
        <v>90</v>
      </c>
      <c r="M673" s="17">
        <v>2430</v>
      </c>
      <c r="N673" s="15" t="s">
        <v>367</v>
      </c>
      <c r="O673" s="15" t="s">
        <v>19</v>
      </c>
      <c r="Q673"/>
    </row>
    <row r="674" spans="1:17" ht="15.6" x14ac:dyDescent="0.3">
      <c r="A674" s="11">
        <v>10175</v>
      </c>
      <c r="B674" s="10">
        <v>37931</v>
      </c>
      <c r="C674" s="10" t="s">
        <v>302</v>
      </c>
      <c r="D674" s="11" t="s">
        <v>120</v>
      </c>
      <c r="E674" s="11" t="s">
        <v>121</v>
      </c>
      <c r="F674" s="11" t="s">
        <v>81</v>
      </c>
      <c r="G674" s="11" t="s">
        <v>25</v>
      </c>
      <c r="H674" s="11" t="s">
        <v>35</v>
      </c>
      <c r="I674" s="11" t="s">
        <v>39</v>
      </c>
      <c r="J674" s="11" t="s">
        <v>250</v>
      </c>
      <c r="K674" s="11">
        <v>28</v>
      </c>
      <c r="L674" s="12">
        <v>20</v>
      </c>
      <c r="M674" s="13">
        <v>560</v>
      </c>
      <c r="N674" s="11" t="s">
        <v>367</v>
      </c>
      <c r="O674" s="11" t="s">
        <v>19</v>
      </c>
      <c r="Q674"/>
    </row>
    <row r="675" spans="1:17" ht="15.6" x14ac:dyDescent="0.3">
      <c r="A675" s="15">
        <v>10175</v>
      </c>
      <c r="B675" s="14">
        <v>37931</v>
      </c>
      <c r="C675" s="14" t="s">
        <v>302</v>
      </c>
      <c r="D675" s="15" t="s">
        <v>120</v>
      </c>
      <c r="E675" s="15" t="s">
        <v>121</v>
      </c>
      <c r="F675" s="15" t="s">
        <v>81</v>
      </c>
      <c r="G675" s="15" t="s">
        <v>25</v>
      </c>
      <c r="H675" s="15" t="s">
        <v>32</v>
      </c>
      <c r="I675" s="15" t="s">
        <v>34</v>
      </c>
      <c r="J675" s="15" t="s">
        <v>246</v>
      </c>
      <c r="K675" s="15">
        <v>37</v>
      </c>
      <c r="L675" s="16">
        <v>80</v>
      </c>
      <c r="M675" s="17">
        <v>2960</v>
      </c>
      <c r="N675" s="15" t="s">
        <v>367</v>
      </c>
      <c r="O675" s="15" t="s">
        <v>19</v>
      </c>
      <c r="Q675"/>
    </row>
    <row r="676" spans="1:17" ht="15.6" x14ac:dyDescent="0.3">
      <c r="A676" s="11">
        <v>10176</v>
      </c>
      <c r="B676" s="10">
        <v>37931</v>
      </c>
      <c r="C676" s="10" t="s">
        <v>329</v>
      </c>
      <c r="D676" s="11" t="s">
        <v>172</v>
      </c>
      <c r="E676" s="11" t="s">
        <v>173</v>
      </c>
      <c r="F676" s="11" t="s">
        <v>60</v>
      </c>
      <c r="G676" s="11" t="s">
        <v>25</v>
      </c>
      <c r="H676" s="11" t="s">
        <v>32</v>
      </c>
      <c r="I676" s="11" t="s">
        <v>44</v>
      </c>
      <c r="J676" s="11" t="s">
        <v>252</v>
      </c>
      <c r="K676" s="11">
        <v>29</v>
      </c>
      <c r="L676" s="12">
        <v>55</v>
      </c>
      <c r="M676" s="13">
        <v>1595</v>
      </c>
      <c r="N676" s="11" t="s">
        <v>367</v>
      </c>
      <c r="O676" s="11" t="s">
        <v>19</v>
      </c>
      <c r="Q676"/>
    </row>
    <row r="677" spans="1:17" ht="15.6" x14ac:dyDescent="0.3">
      <c r="A677" s="15">
        <v>10175</v>
      </c>
      <c r="B677" s="14">
        <v>37931</v>
      </c>
      <c r="C677" s="14" t="s">
        <v>302</v>
      </c>
      <c r="D677" s="15" t="s">
        <v>120</v>
      </c>
      <c r="E677" s="15" t="s">
        <v>121</v>
      </c>
      <c r="F677" s="15" t="s">
        <v>81</v>
      </c>
      <c r="G677" s="15" t="s">
        <v>25</v>
      </c>
      <c r="H677" s="15" t="s">
        <v>35</v>
      </c>
      <c r="I677" s="15" t="s">
        <v>39</v>
      </c>
      <c r="J677" s="15" t="s">
        <v>250</v>
      </c>
      <c r="K677" s="15">
        <v>22</v>
      </c>
      <c r="L677" s="16">
        <v>20</v>
      </c>
      <c r="M677" s="17">
        <v>440</v>
      </c>
      <c r="N677" s="15" t="s">
        <v>367</v>
      </c>
      <c r="O677" s="15" t="s">
        <v>19</v>
      </c>
      <c r="Q677"/>
    </row>
    <row r="678" spans="1:17" ht="15.6" x14ac:dyDescent="0.3">
      <c r="A678" s="11">
        <v>10175</v>
      </c>
      <c r="B678" s="10">
        <v>37931</v>
      </c>
      <c r="C678" s="10" t="s">
        <v>302</v>
      </c>
      <c r="D678" s="11" t="s">
        <v>120</v>
      </c>
      <c r="E678" s="11" t="s">
        <v>121</v>
      </c>
      <c r="F678" s="11" t="s">
        <v>81</v>
      </c>
      <c r="G678" s="11" t="s">
        <v>25</v>
      </c>
      <c r="H678" s="11" t="s">
        <v>35</v>
      </c>
      <c r="I678" s="11" t="s">
        <v>37</v>
      </c>
      <c r="J678" s="11" t="s">
        <v>248</v>
      </c>
      <c r="K678" s="11">
        <v>50</v>
      </c>
      <c r="L678" s="12">
        <v>30</v>
      </c>
      <c r="M678" s="13">
        <v>1500</v>
      </c>
      <c r="N678" s="11" t="s">
        <v>368</v>
      </c>
      <c r="O678" s="11" t="s">
        <v>19</v>
      </c>
      <c r="Q678"/>
    </row>
    <row r="679" spans="1:17" ht="15.6" x14ac:dyDescent="0.3">
      <c r="A679" s="15">
        <v>10176</v>
      </c>
      <c r="B679" s="14">
        <v>37931</v>
      </c>
      <c r="C679" s="14" t="s">
        <v>329</v>
      </c>
      <c r="D679" s="15" t="s">
        <v>172</v>
      </c>
      <c r="E679" s="15" t="s">
        <v>173</v>
      </c>
      <c r="F679" s="15" t="s">
        <v>60</v>
      </c>
      <c r="G679" s="15" t="s">
        <v>25</v>
      </c>
      <c r="H679" s="15" t="s">
        <v>47</v>
      </c>
      <c r="I679" s="15" t="s">
        <v>53</v>
      </c>
      <c r="J679" s="15" t="s">
        <v>257</v>
      </c>
      <c r="K679" s="15">
        <v>22</v>
      </c>
      <c r="L679" s="16">
        <v>90</v>
      </c>
      <c r="M679" s="17">
        <v>1980</v>
      </c>
      <c r="N679" s="15" t="s">
        <v>367</v>
      </c>
      <c r="O679" s="15" t="s">
        <v>19</v>
      </c>
      <c r="Q679"/>
    </row>
    <row r="680" spans="1:17" ht="15.6" x14ac:dyDescent="0.3">
      <c r="A680" s="11">
        <v>10175</v>
      </c>
      <c r="B680" s="10">
        <v>37931</v>
      </c>
      <c r="C680" s="10" t="s">
        <v>302</v>
      </c>
      <c r="D680" s="11" t="s">
        <v>120</v>
      </c>
      <c r="E680" s="11" t="s">
        <v>121</v>
      </c>
      <c r="F680" s="11" t="s">
        <v>81</v>
      </c>
      <c r="G680" s="11" t="s">
        <v>25</v>
      </c>
      <c r="H680" s="11" t="s">
        <v>35</v>
      </c>
      <c r="I680" s="11" t="s">
        <v>37</v>
      </c>
      <c r="J680" s="11" t="s">
        <v>248</v>
      </c>
      <c r="K680" s="11">
        <v>29</v>
      </c>
      <c r="L680" s="12">
        <v>30</v>
      </c>
      <c r="M680" s="13">
        <v>870</v>
      </c>
      <c r="N680" s="11" t="s">
        <v>367</v>
      </c>
      <c r="O680" s="11" t="s">
        <v>19</v>
      </c>
      <c r="Q680"/>
    </row>
    <row r="681" spans="1:17" ht="15.6" x14ac:dyDescent="0.3">
      <c r="A681" s="15">
        <v>10176</v>
      </c>
      <c r="B681" s="14">
        <v>37931</v>
      </c>
      <c r="C681" s="14" t="s">
        <v>329</v>
      </c>
      <c r="D681" s="15" t="s">
        <v>172</v>
      </c>
      <c r="E681" s="15" t="s">
        <v>173</v>
      </c>
      <c r="F681" s="15" t="s">
        <v>60</v>
      </c>
      <c r="G681" s="15" t="s">
        <v>25</v>
      </c>
      <c r="H681" s="15" t="s">
        <v>35</v>
      </c>
      <c r="I681" s="15" t="s">
        <v>39</v>
      </c>
      <c r="J681" s="15" t="s">
        <v>250</v>
      </c>
      <c r="K681" s="15">
        <v>23</v>
      </c>
      <c r="L681" s="16">
        <v>20</v>
      </c>
      <c r="M681" s="17">
        <v>460</v>
      </c>
      <c r="N681" s="15" t="s">
        <v>367</v>
      </c>
      <c r="O681" s="15" t="s">
        <v>19</v>
      </c>
      <c r="Q681"/>
    </row>
    <row r="682" spans="1:17" ht="15.6" x14ac:dyDescent="0.3">
      <c r="A682" s="11">
        <v>10176</v>
      </c>
      <c r="B682" s="10">
        <v>37931</v>
      </c>
      <c r="C682" s="10" t="s">
        <v>329</v>
      </c>
      <c r="D682" s="11" t="s">
        <v>172</v>
      </c>
      <c r="E682" s="11" t="s">
        <v>173</v>
      </c>
      <c r="F682" s="11" t="s">
        <v>60</v>
      </c>
      <c r="G682" s="11" t="s">
        <v>25</v>
      </c>
      <c r="H682" s="11" t="s">
        <v>47</v>
      </c>
      <c r="I682" s="11" t="s">
        <v>48</v>
      </c>
      <c r="J682" s="11" t="s">
        <v>255</v>
      </c>
      <c r="K682" s="11">
        <v>38</v>
      </c>
      <c r="L682" s="12">
        <v>70</v>
      </c>
      <c r="M682" s="13">
        <v>2660</v>
      </c>
      <c r="N682" s="11" t="s">
        <v>367</v>
      </c>
      <c r="O682" s="11" t="s">
        <v>19</v>
      </c>
      <c r="Q682"/>
    </row>
    <row r="683" spans="1:17" ht="15.6" x14ac:dyDescent="0.3">
      <c r="A683" s="15">
        <v>10175</v>
      </c>
      <c r="B683" s="14">
        <v>37931</v>
      </c>
      <c r="C683" s="14" t="s">
        <v>302</v>
      </c>
      <c r="D683" s="15" t="s">
        <v>120</v>
      </c>
      <c r="E683" s="15" t="s">
        <v>121</v>
      </c>
      <c r="F683" s="15" t="s">
        <v>81</v>
      </c>
      <c r="G683" s="15" t="s">
        <v>25</v>
      </c>
      <c r="H683" s="15" t="s">
        <v>32</v>
      </c>
      <c r="I683" s="15" t="s">
        <v>34</v>
      </c>
      <c r="J683" s="15" t="s">
        <v>246</v>
      </c>
      <c r="K683" s="15">
        <v>42</v>
      </c>
      <c r="L683" s="16">
        <v>80</v>
      </c>
      <c r="M683" s="17">
        <v>3360</v>
      </c>
      <c r="N683" s="15" t="s">
        <v>367</v>
      </c>
      <c r="O683" s="15" t="s">
        <v>19</v>
      </c>
      <c r="Q683"/>
    </row>
    <row r="684" spans="1:17" ht="15.6" x14ac:dyDescent="0.3">
      <c r="A684" s="11">
        <v>10177</v>
      </c>
      <c r="B684" s="10">
        <v>37932</v>
      </c>
      <c r="C684" s="10" t="s">
        <v>330</v>
      </c>
      <c r="D684" s="11" t="s">
        <v>174</v>
      </c>
      <c r="E684" s="11" t="s">
        <v>42</v>
      </c>
      <c r="F684" s="11" t="s">
        <v>43</v>
      </c>
      <c r="G684" s="11" t="s">
        <v>25</v>
      </c>
      <c r="H684" s="11" t="s">
        <v>17</v>
      </c>
      <c r="I684" s="11" t="s">
        <v>20</v>
      </c>
      <c r="J684" s="11" t="s">
        <v>242</v>
      </c>
      <c r="K684" s="11">
        <v>23</v>
      </c>
      <c r="L684" s="12">
        <v>48</v>
      </c>
      <c r="M684" s="13">
        <v>1104</v>
      </c>
      <c r="N684" s="11" t="s">
        <v>367</v>
      </c>
      <c r="O684" s="11" t="s">
        <v>19</v>
      </c>
      <c r="Q684"/>
    </row>
    <row r="685" spans="1:17" ht="15.6" x14ac:dyDescent="0.3">
      <c r="A685" s="15">
        <v>10177</v>
      </c>
      <c r="B685" s="14">
        <v>37932</v>
      </c>
      <c r="C685" s="14" t="s">
        <v>330</v>
      </c>
      <c r="D685" s="15" t="s">
        <v>174</v>
      </c>
      <c r="E685" s="15" t="s">
        <v>42</v>
      </c>
      <c r="F685" s="15" t="s">
        <v>43</v>
      </c>
      <c r="G685" s="15" t="s">
        <v>25</v>
      </c>
      <c r="H685" s="15" t="s">
        <v>47</v>
      </c>
      <c r="I685" s="15" t="s">
        <v>48</v>
      </c>
      <c r="J685" s="15" t="s">
        <v>255</v>
      </c>
      <c r="K685" s="15">
        <v>29</v>
      </c>
      <c r="L685" s="16">
        <v>70</v>
      </c>
      <c r="M685" s="17">
        <v>2030</v>
      </c>
      <c r="N685" s="15" t="s">
        <v>367</v>
      </c>
      <c r="O685" s="15" t="s">
        <v>19</v>
      </c>
      <c r="Q685"/>
    </row>
    <row r="686" spans="1:17" ht="15.6" x14ac:dyDescent="0.3">
      <c r="A686" s="11">
        <v>10177</v>
      </c>
      <c r="B686" s="10">
        <v>37932</v>
      </c>
      <c r="C686" s="10" t="s">
        <v>330</v>
      </c>
      <c r="D686" s="11" t="s">
        <v>174</v>
      </c>
      <c r="E686" s="11" t="s">
        <v>42</v>
      </c>
      <c r="F686" s="11" t="s">
        <v>43</v>
      </c>
      <c r="G686" s="11" t="s">
        <v>25</v>
      </c>
      <c r="H686" s="11" t="s">
        <v>17</v>
      </c>
      <c r="I686" s="11" t="s">
        <v>20</v>
      </c>
      <c r="J686" s="11" t="s">
        <v>242</v>
      </c>
      <c r="K686" s="11">
        <v>35</v>
      </c>
      <c r="L686" s="12">
        <v>48</v>
      </c>
      <c r="M686" s="13">
        <v>1680</v>
      </c>
      <c r="N686" s="11" t="s">
        <v>367</v>
      </c>
      <c r="O686" s="11" t="s">
        <v>19</v>
      </c>
      <c r="Q686"/>
    </row>
    <row r="687" spans="1:17" ht="15.6" x14ac:dyDescent="0.3">
      <c r="A687" s="15">
        <v>10177</v>
      </c>
      <c r="B687" s="14">
        <v>37932</v>
      </c>
      <c r="C687" s="14" t="s">
        <v>330</v>
      </c>
      <c r="D687" s="15" t="s">
        <v>174</v>
      </c>
      <c r="E687" s="15" t="s">
        <v>42</v>
      </c>
      <c r="F687" s="15" t="s">
        <v>43</v>
      </c>
      <c r="G687" s="15" t="s">
        <v>25</v>
      </c>
      <c r="H687" s="15" t="s">
        <v>54</v>
      </c>
      <c r="I687" s="15" t="s">
        <v>56</v>
      </c>
      <c r="J687" s="15" t="s">
        <v>259</v>
      </c>
      <c r="K687" s="15">
        <v>50</v>
      </c>
      <c r="L687" s="16">
        <v>250</v>
      </c>
      <c r="M687" s="17">
        <v>12500</v>
      </c>
      <c r="N687" s="15" t="s">
        <v>368</v>
      </c>
      <c r="O687" s="15" t="s">
        <v>19</v>
      </c>
      <c r="Q687"/>
    </row>
    <row r="688" spans="1:17" ht="15.6" x14ac:dyDescent="0.3">
      <c r="A688" s="11">
        <v>10177</v>
      </c>
      <c r="B688" s="10">
        <v>37932</v>
      </c>
      <c r="C688" s="10" t="s">
        <v>330</v>
      </c>
      <c r="D688" s="11" t="s">
        <v>174</v>
      </c>
      <c r="E688" s="11" t="s">
        <v>42</v>
      </c>
      <c r="F688" s="11" t="s">
        <v>43</v>
      </c>
      <c r="G688" s="11" t="s">
        <v>25</v>
      </c>
      <c r="H688" s="11" t="s">
        <v>17</v>
      </c>
      <c r="I688" s="11" t="s">
        <v>20</v>
      </c>
      <c r="J688" s="11" t="s">
        <v>242</v>
      </c>
      <c r="K688" s="11">
        <v>45</v>
      </c>
      <c r="L688" s="12">
        <v>48</v>
      </c>
      <c r="M688" s="13">
        <v>2160</v>
      </c>
      <c r="N688" s="11" t="s">
        <v>367</v>
      </c>
      <c r="O688" s="11" t="s">
        <v>19</v>
      </c>
      <c r="Q688"/>
    </row>
    <row r="689" spans="1:17" ht="15.6" x14ac:dyDescent="0.3">
      <c r="A689" s="15">
        <v>10177</v>
      </c>
      <c r="B689" s="14">
        <v>37932</v>
      </c>
      <c r="C689" s="14" t="s">
        <v>330</v>
      </c>
      <c r="D689" s="15" t="s">
        <v>174</v>
      </c>
      <c r="E689" s="15" t="s">
        <v>42</v>
      </c>
      <c r="F689" s="15" t="s">
        <v>43</v>
      </c>
      <c r="G689" s="15" t="s">
        <v>25</v>
      </c>
      <c r="H689" s="15" t="s">
        <v>54</v>
      </c>
      <c r="I689" s="15" t="s">
        <v>55</v>
      </c>
      <c r="J689" s="15" t="s">
        <v>258</v>
      </c>
      <c r="K689" s="15">
        <v>24</v>
      </c>
      <c r="L689" s="16">
        <v>180</v>
      </c>
      <c r="M689" s="17">
        <v>4320</v>
      </c>
      <c r="N689" s="15" t="s">
        <v>367</v>
      </c>
      <c r="O689" s="15" t="s">
        <v>19</v>
      </c>
      <c r="Q689"/>
    </row>
    <row r="690" spans="1:17" ht="15.6" x14ac:dyDescent="0.3">
      <c r="A690" s="11">
        <v>10177</v>
      </c>
      <c r="B690" s="10">
        <v>37932</v>
      </c>
      <c r="C690" s="10" t="s">
        <v>330</v>
      </c>
      <c r="D690" s="11" t="s">
        <v>174</v>
      </c>
      <c r="E690" s="11" t="s">
        <v>42</v>
      </c>
      <c r="F690" s="11" t="s">
        <v>43</v>
      </c>
      <c r="G690" s="11" t="s">
        <v>25</v>
      </c>
      <c r="H690" s="11" t="s">
        <v>54</v>
      </c>
      <c r="I690" s="11" t="s">
        <v>57</v>
      </c>
      <c r="J690" s="11" t="s">
        <v>260</v>
      </c>
      <c r="K690" s="11">
        <v>31</v>
      </c>
      <c r="L690" s="12">
        <v>220</v>
      </c>
      <c r="M690" s="13">
        <v>6820</v>
      </c>
      <c r="N690" s="11" t="s">
        <v>367</v>
      </c>
      <c r="O690" s="11" t="s">
        <v>19</v>
      </c>
      <c r="Q690"/>
    </row>
    <row r="691" spans="1:17" ht="15.6" x14ac:dyDescent="0.3">
      <c r="A691" s="15">
        <v>10177</v>
      </c>
      <c r="B691" s="14">
        <v>37932</v>
      </c>
      <c r="C691" s="14" t="s">
        <v>330</v>
      </c>
      <c r="D691" s="15" t="s">
        <v>174</v>
      </c>
      <c r="E691" s="15" t="s">
        <v>42</v>
      </c>
      <c r="F691" s="15" t="s">
        <v>43</v>
      </c>
      <c r="G691" s="15" t="s">
        <v>25</v>
      </c>
      <c r="H691" s="15" t="s">
        <v>54</v>
      </c>
      <c r="I691" s="15" t="s">
        <v>57</v>
      </c>
      <c r="J691" s="15" t="s">
        <v>260</v>
      </c>
      <c r="K691" s="15">
        <v>32</v>
      </c>
      <c r="L691" s="16">
        <v>220</v>
      </c>
      <c r="M691" s="17">
        <v>7040</v>
      </c>
      <c r="N691" s="15" t="s">
        <v>367</v>
      </c>
      <c r="O691" s="15" t="s">
        <v>19</v>
      </c>
      <c r="Q691"/>
    </row>
    <row r="692" spans="1:17" ht="15.6" x14ac:dyDescent="0.3">
      <c r="A692" s="11">
        <v>10177</v>
      </c>
      <c r="B692" s="10">
        <v>37932</v>
      </c>
      <c r="C692" s="10" t="s">
        <v>330</v>
      </c>
      <c r="D692" s="11" t="s">
        <v>174</v>
      </c>
      <c r="E692" s="11" t="s">
        <v>42</v>
      </c>
      <c r="F692" s="11" t="s">
        <v>43</v>
      </c>
      <c r="G692" s="11" t="s">
        <v>25</v>
      </c>
      <c r="H692" s="11" t="s">
        <v>54</v>
      </c>
      <c r="I692" s="11" t="s">
        <v>166</v>
      </c>
      <c r="J692" s="11" t="s">
        <v>273</v>
      </c>
      <c r="K692" s="11">
        <v>44</v>
      </c>
      <c r="L692" s="12">
        <v>160</v>
      </c>
      <c r="M692" s="13">
        <v>7040</v>
      </c>
      <c r="N692" s="11" t="s">
        <v>367</v>
      </c>
      <c r="O692" s="11" t="s">
        <v>19</v>
      </c>
      <c r="Q692"/>
    </row>
    <row r="693" spans="1:17" ht="15.6" x14ac:dyDescent="0.3">
      <c r="A693" s="15">
        <v>10177</v>
      </c>
      <c r="B693" s="14">
        <v>37932</v>
      </c>
      <c r="C693" s="14" t="s">
        <v>330</v>
      </c>
      <c r="D693" s="15" t="s">
        <v>174</v>
      </c>
      <c r="E693" s="15" t="s">
        <v>42</v>
      </c>
      <c r="F693" s="15" t="s">
        <v>43</v>
      </c>
      <c r="G693" s="15" t="s">
        <v>25</v>
      </c>
      <c r="H693" s="15" t="s">
        <v>54</v>
      </c>
      <c r="I693" s="15" t="s">
        <v>166</v>
      </c>
      <c r="J693" s="15" t="s">
        <v>273</v>
      </c>
      <c r="K693" s="15">
        <v>24</v>
      </c>
      <c r="L693" s="16">
        <v>160</v>
      </c>
      <c r="M693" s="17">
        <v>3840</v>
      </c>
      <c r="N693" s="15" t="s">
        <v>367</v>
      </c>
      <c r="O693" s="15" t="s">
        <v>19</v>
      </c>
      <c r="Q693"/>
    </row>
    <row r="694" spans="1:17" ht="15.6" x14ac:dyDescent="0.3">
      <c r="A694" s="11">
        <v>10177</v>
      </c>
      <c r="B694" s="10">
        <v>37932</v>
      </c>
      <c r="C694" s="10" t="s">
        <v>330</v>
      </c>
      <c r="D694" s="11" t="s">
        <v>174</v>
      </c>
      <c r="E694" s="11" t="s">
        <v>42</v>
      </c>
      <c r="F694" s="11" t="s">
        <v>43</v>
      </c>
      <c r="G694" s="11" t="s">
        <v>25</v>
      </c>
      <c r="H694" s="11" t="s">
        <v>54</v>
      </c>
      <c r="I694" s="11" t="s">
        <v>55</v>
      </c>
      <c r="J694" s="11" t="s">
        <v>258</v>
      </c>
      <c r="K694" s="11">
        <v>40</v>
      </c>
      <c r="L694" s="12">
        <v>180</v>
      </c>
      <c r="M694" s="13">
        <v>7200</v>
      </c>
      <c r="N694" s="11" t="s">
        <v>367</v>
      </c>
      <c r="O694" s="11" t="s">
        <v>19</v>
      </c>
      <c r="Q694"/>
    </row>
    <row r="695" spans="1:17" ht="15.6" x14ac:dyDescent="0.3">
      <c r="A695" s="15">
        <v>10178</v>
      </c>
      <c r="B695" s="14">
        <v>37933</v>
      </c>
      <c r="C695" s="14" t="s">
        <v>306</v>
      </c>
      <c r="D695" s="15" t="s">
        <v>127</v>
      </c>
      <c r="E695" s="15" t="s">
        <v>128</v>
      </c>
      <c r="F695" s="15" t="s">
        <v>92</v>
      </c>
      <c r="G695" s="15" t="s">
        <v>25</v>
      </c>
      <c r="H695" s="15" t="s">
        <v>32</v>
      </c>
      <c r="I695" s="15" t="s">
        <v>46</v>
      </c>
      <c r="J695" s="15" t="s">
        <v>254</v>
      </c>
      <c r="K695" s="15">
        <v>24</v>
      </c>
      <c r="L695" s="16">
        <v>90</v>
      </c>
      <c r="M695" s="17">
        <v>2160</v>
      </c>
      <c r="N695" s="15" t="s">
        <v>367</v>
      </c>
      <c r="O695" s="15" t="s">
        <v>19</v>
      </c>
      <c r="Q695"/>
    </row>
    <row r="696" spans="1:17" ht="15.6" x14ac:dyDescent="0.3">
      <c r="A696" s="11">
        <v>10178</v>
      </c>
      <c r="B696" s="10">
        <v>37933</v>
      </c>
      <c r="C696" s="10" t="s">
        <v>306</v>
      </c>
      <c r="D696" s="11" t="s">
        <v>127</v>
      </c>
      <c r="E696" s="11" t="s">
        <v>128</v>
      </c>
      <c r="F696" s="11" t="s">
        <v>92</v>
      </c>
      <c r="G696" s="11" t="s">
        <v>25</v>
      </c>
      <c r="H696" s="11" t="s">
        <v>61</v>
      </c>
      <c r="I696" s="11" t="s">
        <v>62</v>
      </c>
      <c r="J696" s="11" t="s">
        <v>261</v>
      </c>
      <c r="K696" s="11">
        <v>42</v>
      </c>
      <c r="L696" s="12">
        <v>15</v>
      </c>
      <c r="M696" s="13">
        <v>630</v>
      </c>
      <c r="N696" s="11" t="s">
        <v>367</v>
      </c>
      <c r="O696" s="11" t="s">
        <v>19</v>
      </c>
      <c r="Q696"/>
    </row>
    <row r="697" spans="1:17" ht="15.6" x14ac:dyDescent="0.3">
      <c r="A697" s="15">
        <v>10178</v>
      </c>
      <c r="B697" s="14">
        <v>37933</v>
      </c>
      <c r="C697" s="14" t="s">
        <v>306</v>
      </c>
      <c r="D697" s="15" t="s">
        <v>127</v>
      </c>
      <c r="E697" s="15" t="s">
        <v>128</v>
      </c>
      <c r="F697" s="15" t="s">
        <v>92</v>
      </c>
      <c r="G697" s="15" t="s">
        <v>25</v>
      </c>
      <c r="H697" s="15" t="s">
        <v>54</v>
      </c>
      <c r="I697" s="15" t="s">
        <v>55</v>
      </c>
      <c r="J697" s="15" t="s">
        <v>258</v>
      </c>
      <c r="K697" s="15">
        <v>41</v>
      </c>
      <c r="L697" s="16">
        <v>180</v>
      </c>
      <c r="M697" s="17">
        <v>7380</v>
      </c>
      <c r="N697" s="15" t="s">
        <v>367</v>
      </c>
      <c r="O697" s="15" t="s">
        <v>19</v>
      </c>
      <c r="Q697"/>
    </row>
    <row r="698" spans="1:17" ht="15.6" x14ac:dyDescent="0.3">
      <c r="A698" s="11">
        <v>10178</v>
      </c>
      <c r="B698" s="10">
        <v>37933</v>
      </c>
      <c r="C698" s="10" t="s">
        <v>306</v>
      </c>
      <c r="D698" s="11" t="s">
        <v>127</v>
      </c>
      <c r="E698" s="11" t="s">
        <v>128</v>
      </c>
      <c r="F698" s="11" t="s">
        <v>92</v>
      </c>
      <c r="G698" s="11" t="s">
        <v>25</v>
      </c>
      <c r="H698" s="11" t="s">
        <v>17</v>
      </c>
      <c r="I698" s="11" t="s">
        <v>20</v>
      </c>
      <c r="J698" s="11" t="s">
        <v>242</v>
      </c>
      <c r="K698" s="11">
        <v>48</v>
      </c>
      <c r="L698" s="12">
        <v>48</v>
      </c>
      <c r="M698" s="13">
        <v>2304</v>
      </c>
      <c r="N698" s="11" t="s">
        <v>367</v>
      </c>
      <c r="O698" s="11" t="s">
        <v>19</v>
      </c>
      <c r="Q698"/>
    </row>
    <row r="699" spans="1:17" ht="15.6" x14ac:dyDescent="0.3">
      <c r="A699" s="15">
        <v>10178</v>
      </c>
      <c r="B699" s="14">
        <v>37933</v>
      </c>
      <c r="C699" s="14" t="s">
        <v>306</v>
      </c>
      <c r="D699" s="15" t="s">
        <v>127</v>
      </c>
      <c r="E699" s="15" t="s">
        <v>128</v>
      </c>
      <c r="F699" s="15" t="s">
        <v>92</v>
      </c>
      <c r="G699" s="15" t="s">
        <v>25</v>
      </c>
      <c r="H699" s="15" t="s">
        <v>61</v>
      </c>
      <c r="I699" s="15" t="s">
        <v>66</v>
      </c>
      <c r="J699" s="15" t="s">
        <v>265</v>
      </c>
      <c r="K699" s="15">
        <v>34</v>
      </c>
      <c r="L699" s="16">
        <v>35</v>
      </c>
      <c r="M699" s="17">
        <v>1190</v>
      </c>
      <c r="N699" s="15" t="s">
        <v>367</v>
      </c>
      <c r="O699" s="15" t="s">
        <v>19</v>
      </c>
      <c r="Q699"/>
    </row>
    <row r="700" spans="1:17" ht="15.6" x14ac:dyDescent="0.3">
      <c r="A700" s="11">
        <v>10178</v>
      </c>
      <c r="B700" s="10">
        <v>37933</v>
      </c>
      <c r="C700" s="10" t="s">
        <v>306</v>
      </c>
      <c r="D700" s="11" t="s">
        <v>127</v>
      </c>
      <c r="E700" s="11" t="s">
        <v>128</v>
      </c>
      <c r="F700" s="11" t="s">
        <v>92</v>
      </c>
      <c r="G700" s="11" t="s">
        <v>25</v>
      </c>
      <c r="H700" s="11" t="s">
        <v>17</v>
      </c>
      <c r="I700" s="11" t="s">
        <v>26</v>
      </c>
      <c r="J700" s="11" t="s">
        <v>244</v>
      </c>
      <c r="K700" s="11">
        <v>27</v>
      </c>
      <c r="L700" s="12">
        <v>60</v>
      </c>
      <c r="M700" s="13">
        <v>1620</v>
      </c>
      <c r="N700" s="11" t="s">
        <v>367</v>
      </c>
      <c r="O700" s="11" t="s">
        <v>19</v>
      </c>
      <c r="Q700"/>
    </row>
    <row r="701" spans="1:17" ht="15.6" x14ac:dyDescent="0.3">
      <c r="A701" s="15">
        <v>10178</v>
      </c>
      <c r="B701" s="14">
        <v>37933</v>
      </c>
      <c r="C701" s="14" t="s">
        <v>306</v>
      </c>
      <c r="D701" s="15" t="s">
        <v>127</v>
      </c>
      <c r="E701" s="15" t="s">
        <v>128</v>
      </c>
      <c r="F701" s="15" t="s">
        <v>92</v>
      </c>
      <c r="G701" s="15" t="s">
        <v>25</v>
      </c>
      <c r="H701" s="15" t="s">
        <v>17</v>
      </c>
      <c r="I701" s="15" t="s">
        <v>20</v>
      </c>
      <c r="J701" s="15" t="s">
        <v>242</v>
      </c>
      <c r="K701" s="15">
        <v>21</v>
      </c>
      <c r="L701" s="16">
        <v>48</v>
      </c>
      <c r="M701" s="17">
        <v>1008</v>
      </c>
      <c r="N701" s="15" t="s">
        <v>367</v>
      </c>
      <c r="O701" s="15" t="s">
        <v>19</v>
      </c>
      <c r="Q701"/>
    </row>
    <row r="702" spans="1:17" ht="15.6" x14ac:dyDescent="0.3">
      <c r="A702" s="11">
        <v>10178</v>
      </c>
      <c r="B702" s="10">
        <v>37933</v>
      </c>
      <c r="C702" s="10" t="s">
        <v>306</v>
      </c>
      <c r="D702" s="11" t="s">
        <v>127</v>
      </c>
      <c r="E702" s="11" t="s">
        <v>128</v>
      </c>
      <c r="F702" s="11" t="s">
        <v>92</v>
      </c>
      <c r="G702" s="11" t="s">
        <v>25</v>
      </c>
      <c r="H702" s="11" t="s">
        <v>61</v>
      </c>
      <c r="I702" s="11" t="s">
        <v>65</v>
      </c>
      <c r="J702" s="11" t="s">
        <v>264</v>
      </c>
      <c r="K702" s="11">
        <v>30</v>
      </c>
      <c r="L702" s="12">
        <v>30</v>
      </c>
      <c r="M702" s="13">
        <v>900</v>
      </c>
      <c r="N702" s="11" t="s">
        <v>367</v>
      </c>
      <c r="O702" s="11" t="s">
        <v>19</v>
      </c>
      <c r="Q702"/>
    </row>
    <row r="703" spans="1:17" ht="15.6" x14ac:dyDescent="0.3">
      <c r="A703" s="15">
        <v>10178</v>
      </c>
      <c r="B703" s="14">
        <v>37933</v>
      </c>
      <c r="C703" s="14" t="s">
        <v>306</v>
      </c>
      <c r="D703" s="15" t="s">
        <v>127</v>
      </c>
      <c r="E703" s="15" t="s">
        <v>128</v>
      </c>
      <c r="F703" s="15" t="s">
        <v>92</v>
      </c>
      <c r="G703" s="15" t="s">
        <v>25</v>
      </c>
      <c r="H703" s="15" t="s">
        <v>54</v>
      </c>
      <c r="I703" s="15" t="s">
        <v>57</v>
      </c>
      <c r="J703" s="15" t="s">
        <v>260</v>
      </c>
      <c r="K703" s="15">
        <v>34</v>
      </c>
      <c r="L703" s="16">
        <v>220</v>
      </c>
      <c r="M703" s="17">
        <v>7480</v>
      </c>
      <c r="N703" s="15" t="s">
        <v>367</v>
      </c>
      <c r="O703" s="15" t="s">
        <v>19</v>
      </c>
      <c r="Q703"/>
    </row>
    <row r="704" spans="1:17" ht="15.6" x14ac:dyDescent="0.3">
      <c r="A704" s="11">
        <v>10178</v>
      </c>
      <c r="B704" s="10">
        <v>37933</v>
      </c>
      <c r="C704" s="10" t="s">
        <v>306</v>
      </c>
      <c r="D704" s="11" t="s">
        <v>127</v>
      </c>
      <c r="E704" s="11" t="s">
        <v>128</v>
      </c>
      <c r="F704" s="11" t="s">
        <v>92</v>
      </c>
      <c r="G704" s="11" t="s">
        <v>25</v>
      </c>
      <c r="H704" s="11" t="s">
        <v>61</v>
      </c>
      <c r="I704" s="11" t="s">
        <v>62</v>
      </c>
      <c r="J704" s="11" t="s">
        <v>261</v>
      </c>
      <c r="K704" s="11">
        <v>22</v>
      </c>
      <c r="L704" s="12">
        <v>15</v>
      </c>
      <c r="M704" s="13">
        <v>330</v>
      </c>
      <c r="N704" s="11" t="s">
        <v>367</v>
      </c>
      <c r="O704" s="11" t="s">
        <v>19</v>
      </c>
      <c r="Q704"/>
    </row>
    <row r="705" spans="1:17" ht="15.6" x14ac:dyDescent="0.3">
      <c r="A705" s="15">
        <v>10178</v>
      </c>
      <c r="B705" s="14">
        <v>37933</v>
      </c>
      <c r="C705" s="14" t="s">
        <v>306</v>
      </c>
      <c r="D705" s="15" t="s">
        <v>127</v>
      </c>
      <c r="E705" s="15" t="s">
        <v>128</v>
      </c>
      <c r="F705" s="15" t="s">
        <v>92</v>
      </c>
      <c r="G705" s="15" t="s">
        <v>25</v>
      </c>
      <c r="H705" s="15" t="s">
        <v>61</v>
      </c>
      <c r="I705" s="15" t="s">
        <v>62</v>
      </c>
      <c r="J705" s="15" t="s">
        <v>261</v>
      </c>
      <c r="K705" s="15">
        <v>45</v>
      </c>
      <c r="L705" s="16">
        <v>15</v>
      </c>
      <c r="M705" s="17">
        <v>675</v>
      </c>
      <c r="N705" s="15" t="s">
        <v>367</v>
      </c>
      <c r="O705" s="15" t="s">
        <v>19</v>
      </c>
      <c r="Q705"/>
    </row>
    <row r="706" spans="1:17" ht="15.6" x14ac:dyDescent="0.3">
      <c r="A706" s="11">
        <v>10178</v>
      </c>
      <c r="B706" s="10">
        <v>37933</v>
      </c>
      <c r="C706" s="10" t="s">
        <v>306</v>
      </c>
      <c r="D706" s="11" t="s">
        <v>127</v>
      </c>
      <c r="E706" s="11" t="s">
        <v>128</v>
      </c>
      <c r="F706" s="11" t="s">
        <v>92</v>
      </c>
      <c r="G706" s="11" t="s">
        <v>25</v>
      </c>
      <c r="H706" s="11" t="s">
        <v>61</v>
      </c>
      <c r="I706" s="11" t="s">
        <v>66</v>
      </c>
      <c r="J706" s="11" t="s">
        <v>265</v>
      </c>
      <c r="K706" s="11">
        <v>45</v>
      </c>
      <c r="L706" s="12">
        <v>35</v>
      </c>
      <c r="M706" s="13">
        <v>1575</v>
      </c>
      <c r="N706" s="11" t="s">
        <v>367</v>
      </c>
      <c r="O706" s="11" t="s">
        <v>19</v>
      </c>
      <c r="Q706"/>
    </row>
    <row r="707" spans="1:17" ht="15.6" x14ac:dyDescent="0.3">
      <c r="A707" s="15">
        <v>10180</v>
      </c>
      <c r="B707" s="14">
        <v>37936</v>
      </c>
      <c r="C707" s="14" t="s">
        <v>331</v>
      </c>
      <c r="D707" s="15" t="s">
        <v>175</v>
      </c>
      <c r="E707" s="15" t="s">
        <v>176</v>
      </c>
      <c r="F707" s="15" t="s">
        <v>92</v>
      </c>
      <c r="G707" s="15" t="s">
        <v>25</v>
      </c>
      <c r="H707" s="15" t="s">
        <v>68</v>
      </c>
      <c r="I707" s="15" t="s">
        <v>69</v>
      </c>
      <c r="J707" s="15" t="s">
        <v>266</v>
      </c>
      <c r="K707" s="15">
        <v>29</v>
      </c>
      <c r="L707" s="16">
        <v>25</v>
      </c>
      <c r="M707" s="17">
        <v>725</v>
      </c>
      <c r="N707" s="15" t="s">
        <v>367</v>
      </c>
      <c r="O707" s="15" t="s">
        <v>19</v>
      </c>
      <c r="Q707"/>
    </row>
    <row r="708" spans="1:17" ht="15.6" x14ac:dyDescent="0.3">
      <c r="A708" s="11">
        <v>10180</v>
      </c>
      <c r="B708" s="10">
        <v>37936</v>
      </c>
      <c r="C708" s="10" t="s">
        <v>331</v>
      </c>
      <c r="D708" s="11" t="s">
        <v>175</v>
      </c>
      <c r="E708" s="11" t="s">
        <v>176</v>
      </c>
      <c r="F708" s="11" t="s">
        <v>92</v>
      </c>
      <c r="G708" s="11" t="s">
        <v>25</v>
      </c>
      <c r="H708" s="11" t="s">
        <v>68</v>
      </c>
      <c r="I708" s="11" t="s">
        <v>70</v>
      </c>
      <c r="J708" s="11" t="s">
        <v>267</v>
      </c>
      <c r="K708" s="11">
        <v>42</v>
      </c>
      <c r="L708" s="12">
        <v>50</v>
      </c>
      <c r="M708" s="13">
        <v>2100</v>
      </c>
      <c r="N708" s="11" t="s">
        <v>367</v>
      </c>
      <c r="O708" s="11" t="s">
        <v>19</v>
      </c>
      <c r="Q708"/>
    </row>
    <row r="709" spans="1:17" ht="15.6" x14ac:dyDescent="0.3">
      <c r="A709" s="15">
        <v>10180</v>
      </c>
      <c r="B709" s="14">
        <v>37936</v>
      </c>
      <c r="C709" s="14" t="s">
        <v>331</v>
      </c>
      <c r="D709" s="15" t="s">
        <v>175</v>
      </c>
      <c r="E709" s="15" t="s">
        <v>176</v>
      </c>
      <c r="F709" s="15" t="s">
        <v>92</v>
      </c>
      <c r="G709" s="15" t="s">
        <v>25</v>
      </c>
      <c r="H709" s="15" t="s">
        <v>68</v>
      </c>
      <c r="I709" s="15" t="s">
        <v>70</v>
      </c>
      <c r="J709" s="15" t="s">
        <v>267</v>
      </c>
      <c r="K709" s="15">
        <v>41</v>
      </c>
      <c r="L709" s="16">
        <v>50</v>
      </c>
      <c r="M709" s="17">
        <v>2050</v>
      </c>
      <c r="N709" s="15" t="s">
        <v>367</v>
      </c>
      <c r="O709" s="15" t="s">
        <v>19</v>
      </c>
      <c r="Q709"/>
    </row>
    <row r="710" spans="1:17" ht="15.6" x14ac:dyDescent="0.3">
      <c r="A710" s="11">
        <v>10180</v>
      </c>
      <c r="B710" s="10">
        <v>37936</v>
      </c>
      <c r="C710" s="10" t="s">
        <v>331</v>
      </c>
      <c r="D710" s="11" t="s">
        <v>175</v>
      </c>
      <c r="E710" s="11" t="s">
        <v>176</v>
      </c>
      <c r="F710" s="11" t="s">
        <v>92</v>
      </c>
      <c r="G710" s="11" t="s">
        <v>25</v>
      </c>
      <c r="H710" s="11" t="s">
        <v>68</v>
      </c>
      <c r="I710" s="11" t="s">
        <v>70</v>
      </c>
      <c r="J710" s="11" t="s">
        <v>267</v>
      </c>
      <c r="K710" s="11">
        <v>40</v>
      </c>
      <c r="L710" s="12">
        <v>50</v>
      </c>
      <c r="M710" s="13">
        <v>2000</v>
      </c>
      <c r="N710" s="11" t="s">
        <v>367</v>
      </c>
      <c r="O710" s="11" t="s">
        <v>19</v>
      </c>
      <c r="Q710"/>
    </row>
    <row r="711" spans="1:17" ht="15.6" x14ac:dyDescent="0.3">
      <c r="A711" s="15">
        <v>10180</v>
      </c>
      <c r="B711" s="14">
        <v>37936</v>
      </c>
      <c r="C711" s="14" t="s">
        <v>331</v>
      </c>
      <c r="D711" s="15" t="s">
        <v>175</v>
      </c>
      <c r="E711" s="15" t="s">
        <v>176</v>
      </c>
      <c r="F711" s="15" t="s">
        <v>92</v>
      </c>
      <c r="G711" s="15" t="s">
        <v>25</v>
      </c>
      <c r="H711" s="15" t="s">
        <v>68</v>
      </c>
      <c r="I711" s="15" t="s">
        <v>76</v>
      </c>
      <c r="J711" s="15" t="s">
        <v>269</v>
      </c>
      <c r="K711" s="15">
        <v>25</v>
      </c>
      <c r="L711" s="16">
        <v>30</v>
      </c>
      <c r="M711" s="17">
        <v>750</v>
      </c>
      <c r="N711" s="15" t="s">
        <v>367</v>
      </c>
      <c r="O711" s="15" t="s">
        <v>19</v>
      </c>
      <c r="Q711"/>
    </row>
    <row r="712" spans="1:17" ht="15.6" x14ac:dyDescent="0.3">
      <c r="A712" s="11">
        <v>10180</v>
      </c>
      <c r="B712" s="10">
        <v>37936</v>
      </c>
      <c r="C712" s="10" t="s">
        <v>331</v>
      </c>
      <c r="D712" s="11" t="s">
        <v>175</v>
      </c>
      <c r="E712" s="11" t="s">
        <v>176</v>
      </c>
      <c r="F712" s="11" t="s">
        <v>92</v>
      </c>
      <c r="G712" s="11" t="s">
        <v>25</v>
      </c>
      <c r="H712" s="11" t="s">
        <v>68</v>
      </c>
      <c r="I712" s="11" t="s">
        <v>70</v>
      </c>
      <c r="J712" s="11" t="s">
        <v>267</v>
      </c>
      <c r="K712" s="11">
        <v>21</v>
      </c>
      <c r="L712" s="12">
        <v>50</v>
      </c>
      <c r="M712" s="13">
        <v>1050</v>
      </c>
      <c r="N712" s="11" t="s">
        <v>367</v>
      </c>
      <c r="O712" s="11" t="s">
        <v>19</v>
      </c>
      <c r="Q712"/>
    </row>
    <row r="713" spans="1:17" ht="15.6" x14ac:dyDescent="0.3">
      <c r="A713" s="15">
        <v>10180</v>
      </c>
      <c r="B713" s="14">
        <v>37936</v>
      </c>
      <c r="C713" s="14" t="s">
        <v>331</v>
      </c>
      <c r="D713" s="15" t="s">
        <v>175</v>
      </c>
      <c r="E713" s="15" t="s">
        <v>176</v>
      </c>
      <c r="F713" s="15" t="s">
        <v>92</v>
      </c>
      <c r="G713" s="15" t="s">
        <v>25</v>
      </c>
      <c r="H713" s="15" t="s">
        <v>32</v>
      </c>
      <c r="I713" s="15" t="s">
        <v>34</v>
      </c>
      <c r="J713" s="15" t="s">
        <v>246</v>
      </c>
      <c r="K713" s="15">
        <v>44</v>
      </c>
      <c r="L713" s="16">
        <v>80</v>
      </c>
      <c r="M713" s="17">
        <v>3520</v>
      </c>
      <c r="N713" s="15" t="s">
        <v>367</v>
      </c>
      <c r="O713" s="15" t="s">
        <v>19</v>
      </c>
      <c r="Q713"/>
    </row>
    <row r="714" spans="1:17" ht="15.6" x14ac:dyDescent="0.3">
      <c r="A714" s="11">
        <v>10180</v>
      </c>
      <c r="B714" s="10">
        <v>37936</v>
      </c>
      <c r="C714" s="10" t="s">
        <v>331</v>
      </c>
      <c r="D714" s="11" t="s">
        <v>175</v>
      </c>
      <c r="E714" s="11" t="s">
        <v>176</v>
      </c>
      <c r="F714" s="11" t="s">
        <v>92</v>
      </c>
      <c r="G714" s="11" t="s">
        <v>25</v>
      </c>
      <c r="H714" s="11" t="s">
        <v>68</v>
      </c>
      <c r="I714" s="11" t="s">
        <v>76</v>
      </c>
      <c r="J714" s="11" t="s">
        <v>269</v>
      </c>
      <c r="K714" s="11">
        <v>48</v>
      </c>
      <c r="L714" s="12">
        <v>30</v>
      </c>
      <c r="M714" s="13">
        <v>1440</v>
      </c>
      <c r="N714" s="11" t="s">
        <v>367</v>
      </c>
      <c r="O714" s="11" t="s">
        <v>19</v>
      </c>
      <c r="Q714"/>
    </row>
    <row r="715" spans="1:17" ht="15.6" x14ac:dyDescent="0.3">
      <c r="A715" s="15">
        <v>10180</v>
      </c>
      <c r="B715" s="14">
        <v>37936</v>
      </c>
      <c r="C715" s="14" t="s">
        <v>331</v>
      </c>
      <c r="D715" s="15" t="s">
        <v>175</v>
      </c>
      <c r="E715" s="15" t="s">
        <v>176</v>
      </c>
      <c r="F715" s="15" t="s">
        <v>92</v>
      </c>
      <c r="G715" s="15" t="s">
        <v>25</v>
      </c>
      <c r="H715" s="15" t="s">
        <v>68</v>
      </c>
      <c r="I715" s="15" t="s">
        <v>70</v>
      </c>
      <c r="J715" s="15" t="s">
        <v>267</v>
      </c>
      <c r="K715" s="15">
        <v>28</v>
      </c>
      <c r="L715" s="16">
        <v>50</v>
      </c>
      <c r="M715" s="17">
        <v>1400</v>
      </c>
      <c r="N715" s="15" t="s">
        <v>367</v>
      </c>
      <c r="O715" s="15" t="s">
        <v>19</v>
      </c>
      <c r="Q715"/>
    </row>
    <row r="716" spans="1:17" ht="15.6" x14ac:dyDescent="0.3">
      <c r="A716" s="11">
        <v>10180</v>
      </c>
      <c r="B716" s="10">
        <v>37936</v>
      </c>
      <c r="C716" s="10" t="s">
        <v>331</v>
      </c>
      <c r="D716" s="11" t="s">
        <v>175</v>
      </c>
      <c r="E716" s="11" t="s">
        <v>176</v>
      </c>
      <c r="F716" s="11" t="s">
        <v>92</v>
      </c>
      <c r="G716" s="11" t="s">
        <v>25</v>
      </c>
      <c r="H716" s="11" t="s">
        <v>68</v>
      </c>
      <c r="I716" s="11" t="s">
        <v>69</v>
      </c>
      <c r="J716" s="11" t="s">
        <v>266</v>
      </c>
      <c r="K716" s="11">
        <v>35</v>
      </c>
      <c r="L716" s="12">
        <v>25</v>
      </c>
      <c r="M716" s="13">
        <v>875</v>
      </c>
      <c r="N716" s="11" t="s">
        <v>367</v>
      </c>
      <c r="O716" s="11" t="s">
        <v>19</v>
      </c>
      <c r="Q716"/>
    </row>
    <row r="717" spans="1:17" ht="15.6" x14ac:dyDescent="0.3">
      <c r="A717" s="15">
        <v>10180</v>
      </c>
      <c r="B717" s="14">
        <v>37936</v>
      </c>
      <c r="C717" s="14" t="s">
        <v>331</v>
      </c>
      <c r="D717" s="15" t="s">
        <v>175</v>
      </c>
      <c r="E717" s="15" t="s">
        <v>176</v>
      </c>
      <c r="F717" s="15" t="s">
        <v>92</v>
      </c>
      <c r="G717" s="15" t="s">
        <v>25</v>
      </c>
      <c r="H717" s="15" t="s">
        <v>32</v>
      </c>
      <c r="I717" s="15" t="s">
        <v>34</v>
      </c>
      <c r="J717" s="15" t="s">
        <v>246</v>
      </c>
      <c r="K717" s="15">
        <v>28</v>
      </c>
      <c r="L717" s="16">
        <v>80</v>
      </c>
      <c r="M717" s="17">
        <v>2240</v>
      </c>
      <c r="N717" s="15" t="s">
        <v>367</v>
      </c>
      <c r="O717" s="15" t="s">
        <v>19</v>
      </c>
      <c r="Q717"/>
    </row>
    <row r="718" spans="1:17" ht="15.6" x14ac:dyDescent="0.3">
      <c r="A718" s="11">
        <v>10180</v>
      </c>
      <c r="B718" s="10">
        <v>37936</v>
      </c>
      <c r="C718" s="10" t="s">
        <v>331</v>
      </c>
      <c r="D718" s="11" t="s">
        <v>175</v>
      </c>
      <c r="E718" s="11" t="s">
        <v>176</v>
      </c>
      <c r="F718" s="11" t="s">
        <v>92</v>
      </c>
      <c r="G718" s="11" t="s">
        <v>25</v>
      </c>
      <c r="H718" s="11" t="s">
        <v>68</v>
      </c>
      <c r="I718" s="11" t="s">
        <v>69</v>
      </c>
      <c r="J718" s="11" t="s">
        <v>266</v>
      </c>
      <c r="K718" s="11">
        <v>34</v>
      </c>
      <c r="L718" s="12">
        <v>25</v>
      </c>
      <c r="M718" s="13">
        <v>850</v>
      </c>
      <c r="N718" s="11" t="s">
        <v>367</v>
      </c>
      <c r="O718" s="11" t="s">
        <v>19</v>
      </c>
      <c r="Q718"/>
    </row>
    <row r="719" spans="1:17" ht="15.6" x14ac:dyDescent="0.3">
      <c r="A719" s="15">
        <v>10180</v>
      </c>
      <c r="B719" s="14">
        <v>37936</v>
      </c>
      <c r="C719" s="14" t="s">
        <v>331</v>
      </c>
      <c r="D719" s="15" t="s">
        <v>175</v>
      </c>
      <c r="E719" s="15" t="s">
        <v>176</v>
      </c>
      <c r="F719" s="15" t="s">
        <v>92</v>
      </c>
      <c r="G719" s="15" t="s">
        <v>25</v>
      </c>
      <c r="H719" s="15" t="s">
        <v>68</v>
      </c>
      <c r="I719" s="15" t="s">
        <v>76</v>
      </c>
      <c r="J719" s="15" t="s">
        <v>269</v>
      </c>
      <c r="K719" s="15">
        <v>22</v>
      </c>
      <c r="L719" s="16">
        <v>30</v>
      </c>
      <c r="M719" s="17">
        <v>660</v>
      </c>
      <c r="N719" s="15" t="s">
        <v>367</v>
      </c>
      <c r="O719" s="15" t="s">
        <v>19</v>
      </c>
      <c r="Q719"/>
    </row>
    <row r="720" spans="1:17" ht="15.6" x14ac:dyDescent="0.3">
      <c r="A720" s="11">
        <v>10180</v>
      </c>
      <c r="B720" s="10">
        <v>37936</v>
      </c>
      <c r="C720" s="10" t="s">
        <v>331</v>
      </c>
      <c r="D720" s="11" t="s">
        <v>175</v>
      </c>
      <c r="E720" s="11" t="s">
        <v>176</v>
      </c>
      <c r="F720" s="11" t="s">
        <v>92</v>
      </c>
      <c r="G720" s="11" t="s">
        <v>25</v>
      </c>
      <c r="H720" s="11" t="s">
        <v>68</v>
      </c>
      <c r="I720" s="11" t="s">
        <v>70</v>
      </c>
      <c r="J720" s="11" t="s">
        <v>267</v>
      </c>
      <c r="K720" s="11">
        <v>21</v>
      </c>
      <c r="L720" s="12">
        <v>50</v>
      </c>
      <c r="M720" s="13">
        <v>1050</v>
      </c>
      <c r="N720" s="11" t="s">
        <v>367</v>
      </c>
      <c r="O720" s="11" t="s">
        <v>19</v>
      </c>
      <c r="Q720"/>
    </row>
    <row r="721" spans="1:17" ht="15.6" x14ac:dyDescent="0.3">
      <c r="A721" s="15">
        <v>10181</v>
      </c>
      <c r="B721" s="14">
        <v>37937</v>
      </c>
      <c r="C721" s="14" t="s">
        <v>332</v>
      </c>
      <c r="D721" s="15" t="s">
        <v>177</v>
      </c>
      <c r="E721" s="15" t="s">
        <v>178</v>
      </c>
      <c r="F721" s="15" t="s">
        <v>31</v>
      </c>
      <c r="G721" s="15" t="s">
        <v>25</v>
      </c>
      <c r="H721" s="15" t="s">
        <v>32</v>
      </c>
      <c r="I721" s="15" t="s">
        <v>33</v>
      </c>
      <c r="J721" s="15" t="s">
        <v>245</v>
      </c>
      <c r="K721" s="15">
        <v>27</v>
      </c>
      <c r="L721" s="16">
        <v>85</v>
      </c>
      <c r="M721" s="17">
        <v>2295</v>
      </c>
      <c r="N721" s="15" t="s">
        <v>367</v>
      </c>
      <c r="O721" s="15" t="s">
        <v>19</v>
      </c>
      <c r="Q721"/>
    </row>
    <row r="722" spans="1:17" ht="15.6" x14ac:dyDescent="0.3">
      <c r="A722" s="11">
        <v>10181</v>
      </c>
      <c r="B722" s="10">
        <v>37937</v>
      </c>
      <c r="C722" s="10" t="s">
        <v>332</v>
      </c>
      <c r="D722" s="11" t="s">
        <v>177</v>
      </c>
      <c r="E722" s="11" t="s">
        <v>178</v>
      </c>
      <c r="F722" s="11" t="s">
        <v>31</v>
      </c>
      <c r="G722" s="11" t="s">
        <v>25</v>
      </c>
      <c r="H722" s="11" t="s">
        <v>32</v>
      </c>
      <c r="I722" s="11" t="s">
        <v>34</v>
      </c>
      <c r="J722" s="11" t="s">
        <v>246</v>
      </c>
      <c r="K722" s="11">
        <v>28</v>
      </c>
      <c r="L722" s="12">
        <v>80</v>
      </c>
      <c r="M722" s="13">
        <v>2240</v>
      </c>
      <c r="N722" s="11" t="s">
        <v>367</v>
      </c>
      <c r="O722" s="11" t="s">
        <v>19</v>
      </c>
      <c r="Q722"/>
    </row>
    <row r="723" spans="1:17" ht="15.6" x14ac:dyDescent="0.3">
      <c r="A723" s="15">
        <v>10181</v>
      </c>
      <c r="B723" s="14">
        <v>37937</v>
      </c>
      <c r="C723" s="14" t="s">
        <v>332</v>
      </c>
      <c r="D723" s="15" t="s">
        <v>177</v>
      </c>
      <c r="E723" s="15" t="s">
        <v>178</v>
      </c>
      <c r="F723" s="15" t="s">
        <v>31</v>
      </c>
      <c r="G723" s="15" t="s">
        <v>25</v>
      </c>
      <c r="H723" s="15" t="s">
        <v>32</v>
      </c>
      <c r="I723" s="15" t="s">
        <v>44</v>
      </c>
      <c r="J723" s="15" t="s">
        <v>252</v>
      </c>
      <c r="K723" s="15">
        <v>20</v>
      </c>
      <c r="L723" s="16">
        <v>55</v>
      </c>
      <c r="M723" s="17">
        <v>1100</v>
      </c>
      <c r="N723" s="15" t="s">
        <v>367</v>
      </c>
      <c r="O723" s="15" t="s">
        <v>19</v>
      </c>
      <c r="Q723"/>
    </row>
    <row r="724" spans="1:17" ht="15.6" x14ac:dyDescent="0.3">
      <c r="A724" s="11">
        <v>10181</v>
      </c>
      <c r="B724" s="10">
        <v>37937</v>
      </c>
      <c r="C724" s="10" t="s">
        <v>332</v>
      </c>
      <c r="D724" s="11" t="s">
        <v>177</v>
      </c>
      <c r="E724" s="11" t="s">
        <v>178</v>
      </c>
      <c r="F724" s="11" t="s">
        <v>31</v>
      </c>
      <c r="G724" s="11" t="s">
        <v>25</v>
      </c>
      <c r="H724" s="11" t="s">
        <v>32</v>
      </c>
      <c r="I724" s="11" t="s">
        <v>34</v>
      </c>
      <c r="J724" s="11" t="s">
        <v>246</v>
      </c>
      <c r="K724" s="11">
        <v>36</v>
      </c>
      <c r="L724" s="12">
        <v>80</v>
      </c>
      <c r="M724" s="13">
        <v>2880</v>
      </c>
      <c r="N724" s="11" t="s">
        <v>367</v>
      </c>
      <c r="O724" s="11" t="s">
        <v>19</v>
      </c>
      <c r="Q724"/>
    </row>
    <row r="725" spans="1:17" ht="15.6" x14ac:dyDescent="0.3">
      <c r="A725" s="15">
        <v>10181</v>
      </c>
      <c r="B725" s="14">
        <v>37937</v>
      </c>
      <c r="C725" s="14" t="s">
        <v>332</v>
      </c>
      <c r="D725" s="15" t="s">
        <v>177</v>
      </c>
      <c r="E725" s="15" t="s">
        <v>178</v>
      </c>
      <c r="F725" s="15" t="s">
        <v>31</v>
      </c>
      <c r="G725" s="15" t="s">
        <v>25</v>
      </c>
      <c r="H725" s="15" t="s">
        <v>32</v>
      </c>
      <c r="I725" s="15" t="s">
        <v>34</v>
      </c>
      <c r="J725" s="15" t="s">
        <v>246</v>
      </c>
      <c r="K725" s="15">
        <v>44</v>
      </c>
      <c r="L725" s="16">
        <v>80</v>
      </c>
      <c r="M725" s="17">
        <v>3520</v>
      </c>
      <c r="N725" s="15" t="s">
        <v>367</v>
      </c>
      <c r="O725" s="15" t="s">
        <v>19</v>
      </c>
      <c r="Q725"/>
    </row>
    <row r="726" spans="1:17" ht="15.6" x14ac:dyDescent="0.3">
      <c r="A726" s="11">
        <v>10182</v>
      </c>
      <c r="B726" s="10">
        <v>37937</v>
      </c>
      <c r="C726" s="10" t="s">
        <v>288</v>
      </c>
      <c r="D726" s="11" t="s">
        <v>88</v>
      </c>
      <c r="E726" s="11" t="s">
        <v>89</v>
      </c>
      <c r="F726" s="11" t="s">
        <v>15</v>
      </c>
      <c r="G726" s="11" t="s">
        <v>16</v>
      </c>
      <c r="H726" s="11" t="s">
        <v>17</v>
      </c>
      <c r="I726" s="11" t="s">
        <v>20</v>
      </c>
      <c r="J726" s="11" t="s">
        <v>242</v>
      </c>
      <c r="K726" s="11">
        <v>25</v>
      </c>
      <c r="L726" s="12">
        <v>48</v>
      </c>
      <c r="M726" s="13">
        <v>1200</v>
      </c>
      <c r="N726" s="11" t="s">
        <v>367</v>
      </c>
      <c r="O726" s="11" t="s">
        <v>19</v>
      </c>
      <c r="Q726"/>
    </row>
    <row r="727" spans="1:17" ht="15.6" x14ac:dyDescent="0.3">
      <c r="A727" s="15">
        <v>10182</v>
      </c>
      <c r="B727" s="14">
        <v>37937</v>
      </c>
      <c r="C727" s="14" t="s">
        <v>288</v>
      </c>
      <c r="D727" s="15" t="s">
        <v>88</v>
      </c>
      <c r="E727" s="15" t="s">
        <v>89</v>
      </c>
      <c r="F727" s="15" t="s">
        <v>15</v>
      </c>
      <c r="G727" s="15" t="s">
        <v>16</v>
      </c>
      <c r="H727" s="15" t="s">
        <v>17</v>
      </c>
      <c r="I727" s="15" t="s">
        <v>20</v>
      </c>
      <c r="J727" s="15" t="s">
        <v>242</v>
      </c>
      <c r="K727" s="15">
        <v>32</v>
      </c>
      <c r="L727" s="16">
        <v>48</v>
      </c>
      <c r="M727" s="17">
        <v>1536</v>
      </c>
      <c r="N727" s="15" t="s">
        <v>367</v>
      </c>
      <c r="O727" s="15" t="s">
        <v>19</v>
      </c>
      <c r="Q727"/>
    </row>
    <row r="728" spans="1:17" ht="15.6" x14ac:dyDescent="0.3">
      <c r="A728" s="11">
        <v>10181</v>
      </c>
      <c r="B728" s="10">
        <v>37937</v>
      </c>
      <c r="C728" s="10" t="s">
        <v>332</v>
      </c>
      <c r="D728" s="11" t="s">
        <v>177</v>
      </c>
      <c r="E728" s="11" t="s">
        <v>178</v>
      </c>
      <c r="F728" s="11" t="s">
        <v>31</v>
      </c>
      <c r="G728" s="11" t="s">
        <v>25</v>
      </c>
      <c r="H728" s="11" t="s">
        <v>32</v>
      </c>
      <c r="I728" s="11" t="s">
        <v>45</v>
      </c>
      <c r="J728" s="11" t="s">
        <v>253</v>
      </c>
      <c r="K728" s="11">
        <v>42</v>
      </c>
      <c r="L728" s="12">
        <v>35</v>
      </c>
      <c r="M728" s="13">
        <v>1470</v>
      </c>
      <c r="N728" s="11" t="s">
        <v>367</v>
      </c>
      <c r="O728" s="11" t="s">
        <v>19</v>
      </c>
      <c r="Q728"/>
    </row>
    <row r="729" spans="1:17" ht="15.6" x14ac:dyDescent="0.3">
      <c r="A729" s="15">
        <v>10182</v>
      </c>
      <c r="B729" s="14">
        <v>37937</v>
      </c>
      <c r="C729" s="14" t="s">
        <v>288</v>
      </c>
      <c r="D729" s="15" t="s">
        <v>88</v>
      </c>
      <c r="E729" s="15" t="s">
        <v>89</v>
      </c>
      <c r="F729" s="15" t="s">
        <v>15</v>
      </c>
      <c r="G729" s="15" t="s">
        <v>16</v>
      </c>
      <c r="H729" s="15" t="s">
        <v>17</v>
      </c>
      <c r="I729" s="15" t="s">
        <v>20</v>
      </c>
      <c r="J729" s="15" t="s">
        <v>242</v>
      </c>
      <c r="K729" s="15">
        <v>44</v>
      </c>
      <c r="L729" s="16">
        <v>48</v>
      </c>
      <c r="M729" s="17">
        <v>2112</v>
      </c>
      <c r="N729" s="15" t="s">
        <v>367</v>
      </c>
      <c r="O729" s="15" t="s">
        <v>19</v>
      </c>
      <c r="Q729"/>
    </row>
    <row r="730" spans="1:17" ht="15.6" x14ac:dyDescent="0.3">
      <c r="A730" s="11">
        <v>10181</v>
      </c>
      <c r="B730" s="10">
        <v>37937</v>
      </c>
      <c r="C730" s="10" t="s">
        <v>332</v>
      </c>
      <c r="D730" s="11" t="s">
        <v>177</v>
      </c>
      <c r="E730" s="11" t="s">
        <v>178</v>
      </c>
      <c r="F730" s="11" t="s">
        <v>31</v>
      </c>
      <c r="G730" s="11" t="s">
        <v>25</v>
      </c>
      <c r="H730" s="11" t="s">
        <v>32</v>
      </c>
      <c r="I730" s="11" t="s">
        <v>45</v>
      </c>
      <c r="J730" s="11" t="s">
        <v>253</v>
      </c>
      <c r="K730" s="11">
        <v>22</v>
      </c>
      <c r="L730" s="12">
        <v>35</v>
      </c>
      <c r="M730" s="13">
        <v>770</v>
      </c>
      <c r="N730" s="11" t="s">
        <v>367</v>
      </c>
      <c r="O730" s="11" t="s">
        <v>19</v>
      </c>
      <c r="Q730"/>
    </row>
    <row r="731" spans="1:17" ht="15.6" x14ac:dyDescent="0.3">
      <c r="A731" s="15">
        <v>10181</v>
      </c>
      <c r="B731" s="14">
        <v>37937</v>
      </c>
      <c r="C731" s="14" t="s">
        <v>332</v>
      </c>
      <c r="D731" s="15" t="s">
        <v>177</v>
      </c>
      <c r="E731" s="15" t="s">
        <v>178</v>
      </c>
      <c r="F731" s="15" t="s">
        <v>31</v>
      </c>
      <c r="G731" s="15" t="s">
        <v>25</v>
      </c>
      <c r="H731" s="15" t="s">
        <v>32</v>
      </c>
      <c r="I731" s="15" t="s">
        <v>34</v>
      </c>
      <c r="J731" s="15" t="s">
        <v>246</v>
      </c>
      <c r="K731" s="15">
        <v>21</v>
      </c>
      <c r="L731" s="16">
        <v>80</v>
      </c>
      <c r="M731" s="17">
        <v>1680</v>
      </c>
      <c r="N731" s="15" t="s">
        <v>367</v>
      </c>
      <c r="O731" s="15" t="s">
        <v>19</v>
      </c>
      <c r="Q731"/>
    </row>
    <row r="732" spans="1:17" ht="15.6" x14ac:dyDescent="0.3">
      <c r="A732" s="11">
        <v>10182</v>
      </c>
      <c r="B732" s="10">
        <v>37937</v>
      </c>
      <c r="C732" s="10" t="s">
        <v>288</v>
      </c>
      <c r="D732" s="11" t="s">
        <v>88</v>
      </c>
      <c r="E732" s="11" t="s">
        <v>89</v>
      </c>
      <c r="F732" s="11" t="s">
        <v>15</v>
      </c>
      <c r="G732" s="11" t="s">
        <v>16</v>
      </c>
      <c r="H732" s="11" t="s">
        <v>17</v>
      </c>
      <c r="I732" s="11" t="s">
        <v>20</v>
      </c>
      <c r="J732" s="11" t="s">
        <v>242</v>
      </c>
      <c r="K732" s="11">
        <v>38</v>
      </c>
      <c r="L732" s="12">
        <v>48</v>
      </c>
      <c r="M732" s="13">
        <v>1824</v>
      </c>
      <c r="N732" s="11" t="s">
        <v>367</v>
      </c>
      <c r="O732" s="11" t="s">
        <v>19</v>
      </c>
      <c r="Q732"/>
    </row>
    <row r="733" spans="1:17" ht="15.6" x14ac:dyDescent="0.3">
      <c r="A733" s="15">
        <v>10182</v>
      </c>
      <c r="B733" s="14">
        <v>37937</v>
      </c>
      <c r="C733" s="14" t="s">
        <v>288</v>
      </c>
      <c r="D733" s="15" t="s">
        <v>88</v>
      </c>
      <c r="E733" s="15" t="s">
        <v>89</v>
      </c>
      <c r="F733" s="15" t="s">
        <v>15</v>
      </c>
      <c r="G733" s="15" t="s">
        <v>16</v>
      </c>
      <c r="H733" s="15" t="s">
        <v>17</v>
      </c>
      <c r="I733" s="15" t="s">
        <v>26</v>
      </c>
      <c r="J733" s="15" t="s">
        <v>244</v>
      </c>
      <c r="K733" s="15">
        <v>20</v>
      </c>
      <c r="L733" s="16">
        <v>60</v>
      </c>
      <c r="M733" s="17">
        <v>1200</v>
      </c>
      <c r="N733" s="15" t="s">
        <v>367</v>
      </c>
      <c r="O733" s="15" t="s">
        <v>19</v>
      </c>
      <c r="Q733"/>
    </row>
    <row r="734" spans="1:17" ht="15.6" x14ac:dyDescent="0.3">
      <c r="A734" s="11">
        <v>10182</v>
      </c>
      <c r="B734" s="10">
        <v>37937</v>
      </c>
      <c r="C734" s="10" t="s">
        <v>288</v>
      </c>
      <c r="D734" s="11" t="s">
        <v>88</v>
      </c>
      <c r="E734" s="11" t="s">
        <v>89</v>
      </c>
      <c r="F734" s="11" t="s">
        <v>15</v>
      </c>
      <c r="G734" s="11" t="s">
        <v>16</v>
      </c>
      <c r="H734" s="11" t="s">
        <v>17</v>
      </c>
      <c r="I734" s="11" t="s">
        <v>20</v>
      </c>
      <c r="J734" s="11" t="s">
        <v>242</v>
      </c>
      <c r="K734" s="11">
        <v>21</v>
      </c>
      <c r="L734" s="12">
        <v>48</v>
      </c>
      <c r="M734" s="13">
        <v>1008</v>
      </c>
      <c r="N734" s="11" t="s">
        <v>367</v>
      </c>
      <c r="O734" s="11" t="s">
        <v>19</v>
      </c>
      <c r="Q734"/>
    </row>
    <row r="735" spans="1:17" ht="15.6" x14ac:dyDescent="0.3">
      <c r="A735" s="15">
        <v>10181</v>
      </c>
      <c r="B735" s="14">
        <v>37937</v>
      </c>
      <c r="C735" s="14" t="s">
        <v>332</v>
      </c>
      <c r="D735" s="15" t="s">
        <v>177</v>
      </c>
      <c r="E735" s="15" t="s">
        <v>178</v>
      </c>
      <c r="F735" s="15" t="s">
        <v>31</v>
      </c>
      <c r="G735" s="15" t="s">
        <v>25</v>
      </c>
      <c r="H735" s="15" t="s">
        <v>32</v>
      </c>
      <c r="I735" s="15" t="s">
        <v>34</v>
      </c>
      <c r="J735" s="15" t="s">
        <v>246</v>
      </c>
      <c r="K735" s="15">
        <v>27</v>
      </c>
      <c r="L735" s="16">
        <v>80</v>
      </c>
      <c r="M735" s="17">
        <v>2160</v>
      </c>
      <c r="N735" s="15" t="s">
        <v>367</v>
      </c>
      <c r="O735" s="15" t="s">
        <v>19</v>
      </c>
      <c r="Q735"/>
    </row>
    <row r="736" spans="1:17" ht="15.6" x14ac:dyDescent="0.3">
      <c r="A736" s="11">
        <v>10181</v>
      </c>
      <c r="B736" s="10">
        <v>37937</v>
      </c>
      <c r="C736" s="10" t="s">
        <v>332</v>
      </c>
      <c r="D736" s="11" t="s">
        <v>177</v>
      </c>
      <c r="E736" s="11" t="s">
        <v>178</v>
      </c>
      <c r="F736" s="11" t="s">
        <v>31</v>
      </c>
      <c r="G736" s="11" t="s">
        <v>25</v>
      </c>
      <c r="H736" s="11" t="s">
        <v>32</v>
      </c>
      <c r="I736" s="11" t="s">
        <v>34</v>
      </c>
      <c r="J736" s="11" t="s">
        <v>246</v>
      </c>
      <c r="K736" s="11">
        <v>45</v>
      </c>
      <c r="L736" s="12">
        <v>80</v>
      </c>
      <c r="M736" s="13">
        <v>3600</v>
      </c>
      <c r="N736" s="11" t="s">
        <v>367</v>
      </c>
      <c r="O736" s="11" t="s">
        <v>19</v>
      </c>
      <c r="Q736"/>
    </row>
    <row r="737" spans="1:17" ht="15.6" x14ac:dyDescent="0.3">
      <c r="A737" s="15">
        <v>10181</v>
      </c>
      <c r="B737" s="14">
        <v>37937</v>
      </c>
      <c r="C737" s="14" t="s">
        <v>332</v>
      </c>
      <c r="D737" s="15" t="s">
        <v>177</v>
      </c>
      <c r="E737" s="15" t="s">
        <v>178</v>
      </c>
      <c r="F737" s="15" t="s">
        <v>31</v>
      </c>
      <c r="G737" s="15" t="s">
        <v>25</v>
      </c>
      <c r="H737" s="15" t="s">
        <v>32</v>
      </c>
      <c r="I737" s="15" t="s">
        <v>44</v>
      </c>
      <c r="J737" s="15" t="s">
        <v>252</v>
      </c>
      <c r="K737" s="15">
        <v>30</v>
      </c>
      <c r="L737" s="16">
        <v>55</v>
      </c>
      <c r="M737" s="17">
        <v>1650</v>
      </c>
      <c r="N737" s="15" t="s">
        <v>367</v>
      </c>
      <c r="O737" s="15" t="s">
        <v>19</v>
      </c>
      <c r="Q737"/>
    </row>
    <row r="738" spans="1:17" ht="15.6" x14ac:dyDescent="0.3">
      <c r="A738" s="11">
        <v>10182</v>
      </c>
      <c r="B738" s="10">
        <v>37937</v>
      </c>
      <c r="C738" s="10" t="s">
        <v>288</v>
      </c>
      <c r="D738" s="11" t="s">
        <v>88</v>
      </c>
      <c r="E738" s="11" t="s">
        <v>89</v>
      </c>
      <c r="F738" s="11" t="s">
        <v>15</v>
      </c>
      <c r="G738" s="11" t="s">
        <v>16</v>
      </c>
      <c r="H738" s="11" t="s">
        <v>17</v>
      </c>
      <c r="I738" s="11" t="s">
        <v>20</v>
      </c>
      <c r="J738" s="11" t="s">
        <v>242</v>
      </c>
      <c r="K738" s="11">
        <v>33</v>
      </c>
      <c r="L738" s="12">
        <v>48</v>
      </c>
      <c r="M738" s="13">
        <v>1584</v>
      </c>
      <c r="N738" s="11" t="s">
        <v>367</v>
      </c>
      <c r="O738" s="11" t="s">
        <v>19</v>
      </c>
      <c r="Q738"/>
    </row>
    <row r="739" spans="1:17" ht="15.6" x14ac:dyDescent="0.3">
      <c r="A739" s="15">
        <v>10181</v>
      </c>
      <c r="B739" s="14">
        <v>37937</v>
      </c>
      <c r="C739" s="14" t="s">
        <v>332</v>
      </c>
      <c r="D739" s="15" t="s">
        <v>177</v>
      </c>
      <c r="E739" s="15" t="s">
        <v>178</v>
      </c>
      <c r="F739" s="15" t="s">
        <v>31</v>
      </c>
      <c r="G739" s="15" t="s">
        <v>25</v>
      </c>
      <c r="H739" s="15" t="s">
        <v>32</v>
      </c>
      <c r="I739" s="15" t="s">
        <v>34</v>
      </c>
      <c r="J739" s="15" t="s">
        <v>246</v>
      </c>
      <c r="K739" s="15">
        <v>22</v>
      </c>
      <c r="L739" s="16">
        <v>80</v>
      </c>
      <c r="M739" s="17">
        <v>1760</v>
      </c>
      <c r="N739" s="15" t="s">
        <v>367</v>
      </c>
      <c r="O739" s="15" t="s">
        <v>19</v>
      </c>
      <c r="Q739"/>
    </row>
    <row r="740" spans="1:17" ht="15.6" x14ac:dyDescent="0.3">
      <c r="A740" s="11">
        <v>10181</v>
      </c>
      <c r="B740" s="10">
        <v>37937</v>
      </c>
      <c r="C740" s="10" t="s">
        <v>332</v>
      </c>
      <c r="D740" s="11" t="s">
        <v>177</v>
      </c>
      <c r="E740" s="11" t="s">
        <v>178</v>
      </c>
      <c r="F740" s="11" t="s">
        <v>31</v>
      </c>
      <c r="G740" s="11" t="s">
        <v>25</v>
      </c>
      <c r="H740" s="11" t="s">
        <v>32</v>
      </c>
      <c r="I740" s="11" t="s">
        <v>34</v>
      </c>
      <c r="J740" s="11" t="s">
        <v>246</v>
      </c>
      <c r="K740" s="11">
        <v>39</v>
      </c>
      <c r="L740" s="12">
        <v>80</v>
      </c>
      <c r="M740" s="13">
        <v>3120</v>
      </c>
      <c r="N740" s="11" t="s">
        <v>367</v>
      </c>
      <c r="O740" s="11" t="s">
        <v>19</v>
      </c>
      <c r="Q740"/>
    </row>
    <row r="741" spans="1:17" ht="15.6" x14ac:dyDescent="0.3">
      <c r="A741" s="15">
        <v>10182</v>
      </c>
      <c r="B741" s="14">
        <v>37937</v>
      </c>
      <c r="C741" s="14" t="s">
        <v>288</v>
      </c>
      <c r="D741" s="15" t="s">
        <v>88</v>
      </c>
      <c r="E741" s="15" t="s">
        <v>89</v>
      </c>
      <c r="F741" s="15" t="s">
        <v>15</v>
      </c>
      <c r="G741" s="15" t="s">
        <v>16</v>
      </c>
      <c r="H741" s="15" t="s">
        <v>17</v>
      </c>
      <c r="I741" s="15" t="s">
        <v>20</v>
      </c>
      <c r="J741" s="15" t="s">
        <v>242</v>
      </c>
      <c r="K741" s="15">
        <v>36</v>
      </c>
      <c r="L741" s="16">
        <v>48</v>
      </c>
      <c r="M741" s="17">
        <v>1728</v>
      </c>
      <c r="N741" s="15" t="s">
        <v>367</v>
      </c>
      <c r="O741" s="15" t="s">
        <v>19</v>
      </c>
      <c r="Q741"/>
    </row>
    <row r="742" spans="1:17" ht="15.6" x14ac:dyDescent="0.3">
      <c r="A742" s="11">
        <v>10182</v>
      </c>
      <c r="B742" s="10">
        <v>37937</v>
      </c>
      <c r="C742" s="10" t="s">
        <v>288</v>
      </c>
      <c r="D742" s="11" t="s">
        <v>88</v>
      </c>
      <c r="E742" s="11" t="s">
        <v>89</v>
      </c>
      <c r="F742" s="11" t="s">
        <v>15</v>
      </c>
      <c r="G742" s="11" t="s">
        <v>16</v>
      </c>
      <c r="H742" s="11" t="s">
        <v>32</v>
      </c>
      <c r="I742" s="11" t="s">
        <v>44</v>
      </c>
      <c r="J742" s="11" t="s">
        <v>252</v>
      </c>
      <c r="K742" s="11">
        <v>44</v>
      </c>
      <c r="L742" s="12">
        <v>55</v>
      </c>
      <c r="M742" s="13">
        <v>2420</v>
      </c>
      <c r="N742" s="11" t="s">
        <v>367</v>
      </c>
      <c r="O742" s="11" t="s">
        <v>19</v>
      </c>
      <c r="Q742"/>
    </row>
    <row r="743" spans="1:17" ht="15.6" x14ac:dyDescent="0.3">
      <c r="A743" s="15">
        <v>10182</v>
      </c>
      <c r="B743" s="14">
        <v>37937</v>
      </c>
      <c r="C743" s="14" t="s">
        <v>288</v>
      </c>
      <c r="D743" s="15" t="s">
        <v>88</v>
      </c>
      <c r="E743" s="15" t="s">
        <v>89</v>
      </c>
      <c r="F743" s="15" t="s">
        <v>15</v>
      </c>
      <c r="G743" s="15" t="s">
        <v>16</v>
      </c>
      <c r="H743" s="15" t="s">
        <v>32</v>
      </c>
      <c r="I743" s="15" t="s">
        <v>45</v>
      </c>
      <c r="J743" s="15" t="s">
        <v>253</v>
      </c>
      <c r="K743" s="15">
        <v>47</v>
      </c>
      <c r="L743" s="16">
        <v>35</v>
      </c>
      <c r="M743" s="17">
        <v>1645</v>
      </c>
      <c r="N743" s="15" t="s">
        <v>367</v>
      </c>
      <c r="O743" s="15" t="s">
        <v>19</v>
      </c>
      <c r="Q743"/>
    </row>
    <row r="744" spans="1:17" ht="15.6" x14ac:dyDescent="0.3">
      <c r="A744" s="11">
        <v>10181</v>
      </c>
      <c r="B744" s="10">
        <v>37937</v>
      </c>
      <c r="C744" s="10" t="s">
        <v>332</v>
      </c>
      <c r="D744" s="11" t="s">
        <v>177</v>
      </c>
      <c r="E744" s="11" t="s">
        <v>178</v>
      </c>
      <c r="F744" s="11" t="s">
        <v>31</v>
      </c>
      <c r="G744" s="11" t="s">
        <v>25</v>
      </c>
      <c r="H744" s="11" t="s">
        <v>32</v>
      </c>
      <c r="I744" s="11" t="s">
        <v>45</v>
      </c>
      <c r="J744" s="11" t="s">
        <v>253</v>
      </c>
      <c r="K744" s="11">
        <v>34</v>
      </c>
      <c r="L744" s="12">
        <v>35</v>
      </c>
      <c r="M744" s="13">
        <v>1190</v>
      </c>
      <c r="N744" s="11" t="s">
        <v>367</v>
      </c>
      <c r="O744" s="11" t="s">
        <v>19</v>
      </c>
      <c r="Q744"/>
    </row>
    <row r="745" spans="1:17" ht="15.6" x14ac:dyDescent="0.3">
      <c r="A745" s="15">
        <v>10182</v>
      </c>
      <c r="B745" s="14">
        <v>37937</v>
      </c>
      <c r="C745" s="14" t="s">
        <v>288</v>
      </c>
      <c r="D745" s="15" t="s">
        <v>88</v>
      </c>
      <c r="E745" s="15" t="s">
        <v>89</v>
      </c>
      <c r="F745" s="15" t="s">
        <v>15</v>
      </c>
      <c r="G745" s="15" t="s">
        <v>16</v>
      </c>
      <c r="H745" s="15" t="s">
        <v>17</v>
      </c>
      <c r="I745" s="15" t="s">
        <v>82</v>
      </c>
      <c r="J745" s="15" t="s">
        <v>270</v>
      </c>
      <c r="K745" s="15">
        <v>39</v>
      </c>
      <c r="L745" s="16">
        <v>75</v>
      </c>
      <c r="M745" s="17">
        <v>2925</v>
      </c>
      <c r="N745" s="15" t="s">
        <v>367</v>
      </c>
      <c r="O745" s="15" t="s">
        <v>19</v>
      </c>
      <c r="Q745"/>
    </row>
    <row r="746" spans="1:17" ht="15.6" x14ac:dyDescent="0.3">
      <c r="A746" s="11">
        <v>10182</v>
      </c>
      <c r="B746" s="10">
        <v>37937</v>
      </c>
      <c r="C746" s="10" t="s">
        <v>288</v>
      </c>
      <c r="D746" s="11" t="s">
        <v>88</v>
      </c>
      <c r="E746" s="11" t="s">
        <v>89</v>
      </c>
      <c r="F746" s="11" t="s">
        <v>15</v>
      </c>
      <c r="G746" s="11" t="s">
        <v>16</v>
      </c>
      <c r="H746" s="11" t="s">
        <v>17</v>
      </c>
      <c r="I746" s="11" t="s">
        <v>82</v>
      </c>
      <c r="J746" s="11" t="s">
        <v>270</v>
      </c>
      <c r="K746" s="11">
        <v>31</v>
      </c>
      <c r="L746" s="12">
        <v>75</v>
      </c>
      <c r="M746" s="13">
        <v>2325</v>
      </c>
      <c r="N746" s="11" t="s">
        <v>367</v>
      </c>
      <c r="O746" s="11" t="s">
        <v>19</v>
      </c>
      <c r="Q746"/>
    </row>
    <row r="747" spans="1:17" ht="15.6" x14ac:dyDescent="0.3">
      <c r="A747" s="15">
        <v>10182</v>
      </c>
      <c r="B747" s="14">
        <v>37937</v>
      </c>
      <c r="C747" s="14" t="s">
        <v>288</v>
      </c>
      <c r="D747" s="15" t="s">
        <v>88</v>
      </c>
      <c r="E747" s="15" t="s">
        <v>89</v>
      </c>
      <c r="F747" s="15" t="s">
        <v>15</v>
      </c>
      <c r="G747" s="15" t="s">
        <v>16</v>
      </c>
      <c r="H747" s="15" t="s">
        <v>32</v>
      </c>
      <c r="I747" s="15" t="s">
        <v>45</v>
      </c>
      <c r="J747" s="15" t="s">
        <v>253</v>
      </c>
      <c r="K747" s="15">
        <v>36</v>
      </c>
      <c r="L747" s="16">
        <v>35</v>
      </c>
      <c r="M747" s="17">
        <v>1260</v>
      </c>
      <c r="N747" s="15" t="s">
        <v>367</v>
      </c>
      <c r="O747" s="15" t="s">
        <v>19</v>
      </c>
      <c r="Q747"/>
    </row>
    <row r="748" spans="1:17" ht="15.6" x14ac:dyDescent="0.3">
      <c r="A748" s="11">
        <v>10182</v>
      </c>
      <c r="B748" s="10">
        <v>37937</v>
      </c>
      <c r="C748" s="10" t="s">
        <v>288</v>
      </c>
      <c r="D748" s="11" t="s">
        <v>88</v>
      </c>
      <c r="E748" s="11" t="s">
        <v>89</v>
      </c>
      <c r="F748" s="11" t="s">
        <v>15</v>
      </c>
      <c r="G748" s="11" t="s">
        <v>16</v>
      </c>
      <c r="H748" s="11" t="s">
        <v>32</v>
      </c>
      <c r="I748" s="11" t="s">
        <v>33</v>
      </c>
      <c r="J748" s="11" t="s">
        <v>245</v>
      </c>
      <c r="K748" s="11">
        <v>20</v>
      </c>
      <c r="L748" s="12">
        <v>85</v>
      </c>
      <c r="M748" s="13">
        <v>1700</v>
      </c>
      <c r="N748" s="11" t="s">
        <v>367</v>
      </c>
      <c r="O748" s="11" t="s">
        <v>19</v>
      </c>
      <c r="Q748"/>
    </row>
    <row r="749" spans="1:17" ht="15.6" x14ac:dyDescent="0.3">
      <c r="A749" s="15">
        <v>10181</v>
      </c>
      <c r="B749" s="14">
        <v>37937</v>
      </c>
      <c r="C749" s="14" t="s">
        <v>332</v>
      </c>
      <c r="D749" s="15" t="s">
        <v>177</v>
      </c>
      <c r="E749" s="15" t="s">
        <v>178</v>
      </c>
      <c r="F749" s="15" t="s">
        <v>31</v>
      </c>
      <c r="G749" s="15" t="s">
        <v>25</v>
      </c>
      <c r="H749" s="15" t="s">
        <v>32</v>
      </c>
      <c r="I749" s="15" t="s">
        <v>33</v>
      </c>
      <c r="J749" s="15" t="s">
        <v>245</v>
      </c>
      <c r="K749" s="15">
        <v>37</v>
      </c>
      <c r="L749" s="16">
        <v>85</v>
      </c>
      <c r="M749" s="17">
        <v>3145</v>
      </c>
      <c r="N749" s="15" t="s">
        <v>367</v>
      </c>
      <c r="O749" s="15" t="s">
        <v>19</v>
      </c>
      <c r="Q749"/>
    </row>
    <row r="750" spans="1:17" ht="15.6" x14ac:dyDescent="0.3">
      <c r="A750" s="11">
        <v>10182</v>
      </c>
      <c r="B750" s="10">
        <v>37937</v>
      </c>
      <c r="C750" s="10" t="s">
        <v>288</v>
      </c>
      <c r="D750" s="11" t="s">
        <v>88</v>
      </c>
      <c r="E750" s="11" t="s">
        <v>89</v>
      </c>
      <c r="F750" s="11" t="s">
        <v>15</v>
      </c>
      <c r="G750" s="11" t="s">
        <v>16</v>
      </c>
      <c r="H750" s="11" t="s">
        <v>32</v>
      </c>
      <c r="I750" s="11" t="s">
        <v>33</v>
      </c>
      <c r="J750" s="11" t="s">
        <v>245</v>
      </c>
      <c r="K750" s="11">
        <v>33</v>
      </c>
      <c r="L750" s="12">
        <v>85</v>
      </c>
      <c r="M750" s="13">
        <v>2805</v>
      </c>
      <c r="N750" s="11" t="s">
        <v>367</v>
      </c>
      <c r="O750" s="11" t="s">
        <v>19</v>
      </c>
      <c r="Q750"/>
    </row>
    <row r="751" spans="1:17" ht="15.6" x14ac:dyDescent="0.3">
      <c r="A751" s="15">
        <v>10181</v>
      </c>
      <c r="B751" s="14">
        <v>37937</v>
      </c>
      <c r="C751" s="14" t="s">
        <v>332</v>
      </c>
      <c r="D751" s="15" t="s">
        <v>177</v>
      </c>
      <c r="E751" s="15" t="s">
        <v>178</v>
      </c>
      <c r="F751" s="15" t="s">
        <v>31</v>
      </c>
      <c r="G751" s="15" t="s">
        <v>25</v>
      </c>
      <c r="H751" s="15" t="s">
        <v>32</v>
      </c>
      <c r="I751" s="15" t="s">
        <v>34</v>
      </c>
      <c r="J751" s="15" t="s">
        <v>246</v>
      </c>
      <c r="K751" s="15">
        <v>23</v>
      </c>
      <c r="L751" s="16">
        <v>80</v>
      </c>
      <c r="M751" s="17">
        <v>1840</v>
      </c>
      <c r="N751" s="15" t="s">
        <v>367</v>
      </c>
      <c r="O751" s="15" t="s">
        <v>19</v>
      </c>
      <c r="Q751"/>
    </row>
    <row r="752" spans="1:17" ht="15.6" x14ac:dyDescent="0.3">
      <c r="A752" s="11">
        <v>10182</v>
      </c>
      <c r="B752" s="10">
        <v>37937</v>
      </c>
      <c r="C752" s="10" t="s">
        <v>288</v>
      </c>
      <c r="D752" s="11" t="s">
        <v>88</v>
      </c>
      <c r="E752" s="11" t="s">
        <v>89</v>
      </c>
      <c r="F752" s="11" t="s">
        <v>15</v>
      </c>
      <c r="G752" s="11" t="s">
        <v>16</v>
      </c>
      <c r="H752" s="11" t="s">
        <v>32</v>
      </c>
      <c r="I752" s="11" t="s">
        <v>33</v>
      </c>
      <c r="J752" s="11" t="s">
        <v>245</v>
      </c>
      <c r="K752" s="11">
        <v>49</v>
      </c>
      <c r="L752" s="12">
        <v>85</v>
      </c>
      <c r="M752" s="13">
        <v>4165</v>
      </c>
      <c r="N752" s="11" t="s">
        <v>367</v>
      </c>
      <c r="O752" s="11" t="s">
        <v>19</v>
      </c>
      <c r="Q752"/>
    </row>
    <row r="753" spans="1:17" ht="15.6" x14ac:dyDescent="0.3">
      <c r="A753" s="15">
        <v>10181</v>
      </c>
      <c r="B753" s="14">
        <v>37937</v>
      </c>
      <c r="C753" s="14" t="s">
        <v>332</v>
      </c>
      <c r="D753" s="15" t="s">
        <v>177</v>
      </c>
      <c r="E753" s="15" t="s">
        <v>178</v>
      </c>
      <c r="F753" s="15" t="s">
        <v>31</v>
      </c>
      <c r="G753" s="15" t="s">
        <v>25</v>
      </c>
      <c r="H753" s="15" t="s">
        <v>32</v>
      </c>
      <c r="I753" s="15" t="s">
        <v>44</v>
      </c>
      <c r="J753" s="15" t="s">
        <v>252</v>
      </c>
      <c r="K753" s="15">
        <v>25</v>
      </c>
      <c r="L753" s="16">
        <v>55</v>
      </c>
      <c r="M753" s="17">
        <v>1375</v>
      </c>
      <c r="N753" s="15" t="s">
        <v>367</v>
      </c>
      <c r="O753" s="15" t="s">
        <v>19</v>
      </c>
      <c r="Q753"/>
    </row>
    <row r="754" spans="1:17" ht="15.6" x14ac:dyDescent="0.3">
      <c r="A754" s="11">
        <v>10182</v>
      </c>
      <c r="B754" s="10">
        <v>37937</v>
      </c>
      <c r="C754" s="10" t="s">
        <v>288</v>
      </c>
      <c r="D754" s="11" t="s">
        <v>88</v>
      </c>
      <c r="E754" s="11" t="s">
        <v>89</v>
      </c>
      <c r="F754" s="11" t="s">
        <v>15</v>
      </c>
      <c r="G754" s="11" t="s">
        <v>16</v>
      </c>
      <c r="H754" s="11" t="s">
        <v>17</v>
      </c>
      <c r="I754" s="11" t="s">
        <v>52</v>
      </c>
      <c r="J754" s="11" t="s">
        <v>256</v>
      </c>
      <c r="K754" s="11">
        <v>23</v>
      </c>
      <c r="L754" s="12">
        <v>45</v>
      </c>
      <c r="M754" s="13">
        <v>1035</v>
      </c>
      <c r="N754" s="11" t="s">
        <v>367</v>
      </c>
      <c r="O754" s="11" t="s">
        <v>19</v>
      </c>
      <c r="Q754"/>
    </row>
    <row r="755" spans="1:17" ht="15.6" x14ac:dyDescent="0.3">
      <c r="A755" s="15">
        <v>10183</v>
      </c>
      <c r="B755" s="14">
        <v>37938</v>
      </c>
      <c r="C755" s="14" t="s">
        <v>333</v>
      </c>
      <c r="D755" s="15" t="s">
        <v>179</v>
      </c>
      <c r="E755" s="15" t="s">
        <v>78</v>
      </c>
      <c r="F755" s="15" t="s">
        <v>15</v>
      </c>
      <c r="G755" s="15" t="s">
        <v>16</v>
      </c>
      <c r="H755" s="15" t="s">
        <v>32</v>
      </c>
      <c r="I755" s="15" t="s">
        <v>45</v>
      </c>
      <c r="J755" s="15" t="s">
        <v>253</v>
      </c>
      <c r="K755" s="15">
        <v>23</v>
      </c>
      <c r="L755" s="16">
        <v>35</v>
      </c>
      <c r="M755" s="17">
        <v>805</v>
      </c>
      <c r="N755" s="15" t="s">
        <v>367</v>
      </c>
      <c r="O755" s="15" t="s">
        <v>19</v>
      </c>
      <c r="Q755"/>
    </row>
    <row r="756" spans="1:17" ht="15.6" x14ac:dyDescent="0.3">
      <c r="A756" s="11">
        <v>10183</v>
      </c>
      <c r="B756" s="10">
        <v>37938</v>
      </c>
      <c r="C756" s="10" t="s">
        <v>333</v>
      </c>
      <c r="D756" s="11" t="s">
        <v>179</v>
      </c>
      <c r="E756" s="11" t="s">
        <v>78</v>
      </c>
      <c r="F756" s="11" t="s">
        <v>15</v>
      </c>
      <c r="G756" s="11" t="s">
        <v>16</v>
      </c>
      <c r="H756" s="11" t="s">
        <v>32</v>
      </c>
      <c r="I756" s="11" t="s">
        <v>46</v>
      </c>
      <c r="J756" s="11" t="s">
        <v>254</v>
      </c>
      <c r="K756" s="11">
        <v>28</v>
      </c>
      <c r="L756" s="12">
        <v>90</v>
      </c>
      <c r="M756" s="13">
        <v>2520</v>
      </c>
      <c r="N756" s="11" t="s">
        <v>367</v>
      </c>
      <c r="O756" s="11" t="s">
        <v>19</v>
      </c>
      <c r="Q756"/>
    </row>
    <row r="757" spans="1:17" ht="15.6" x14ac:dyDescent="0.3">
      <c r="A757" s="15">
        <v>10183</v>
      </c>
      <c r="B757" s="14">
        <v>37938</v>
      </c>
      <c r="C757" s="14" t="s">
        <v>333</v>
      </c>
      <c r="D757" s="15" t="s">
        <v>179</v>
      </c>
      <c r="E757" s="15" t="s">
        <v>78</v>
      </c>
      <c r="F757" s="15" t="s">
        <v>15</v>
      </c>
      <c r="G757" s="15" t="s">
        <v>16</v>
      </c>
      <c r="H757" s="15" t="s">
        <v>35</v>
      </c>
      <c r="I757" s="15" t="s">
        <v>39</v>
      </c>
      <c r="J757" s="15" t="s">
        <v>250</v>
      </c>
      <c r="K757" s="15">
        <v>41</v>
      </c>
      <c r="L757" s="16">
        <v>20</v>
      </c>
      <c r="M757" s="17">
        <v>820</v>
      </c>
      <c r="N757" s="15" t="s">
        <v>367</v>
      </c>
      <c r="O757" s="15" t="s">
        <v>19</v>
      </c>
      <c r="Q757"/>
    </row>
    <row r="758" spans="1:17" ht="15.6" x14ac:dyDescent="0.3">
      <c r="A758" s="11">
        <v>10183</v>
      </c>
      <c r="B758" s="10">
        <v>37938</v>
      </c>
      <c r="C758" s="10" t="s">
        <v>333</v>
      </c>
      <c r="D758" s="11" t="s">
        <v>179</v>
      </c>
      <c r="E758" s="11" t="s">
        <v>78</v>
      </c>
      <c r="F758" s="11" t="s">
        <v>15</v>
      </c>
      <c r="G758" s="11" t="s">
        <v>16</v>
      </c>
      <c r="H758" s="11" t="s">
        <v>35</v>
      </c>
      <c r="I758" s="11" t="s">
        <v>36</v>
      </c>
      <c r="J758" s="11" t="s">
        <v>247</v>
      </c>
      <c r="K758" s="11">
        <v>21</v>
      </c>
      <c r="L758" s="12">
        <v>30</v>
      </c>
      <c r="M758" s="13">
        <v>630</v>
      </c>
      <c r="N758" s="11" t="s">
        <v>367</v>
      </c>
      <c r="O758" s="11" t="s">
        <v>19</v>
      </c>
      <c r="Q758"/>
    </row>
    <row r="759" spans="1:17" ht="15.6" x14ac:dyDescent="0.3">
      <c r="A759" s="15">
        <v>10183</v>
      </c>
      <c r="B759" s="14">
        <v>37938</v>
      </c>
      <c r="C759" s="14" t="s">
        <v>333</v>
      </c>
      <c r="D759" s="15" t="s">
        <v>179</v>
      </c>
      <c r="E759" s="15" t="s">
        <v>78</v>
      </c>
      <c r="F759" s="15" t="s">
        <v>15</v>
      </c>
      <c r="G759" s="15" t="s">
        <v>16</v>
      </c>
      <c r="H759" s="15" t="s">
        <v>17</v>
      </c>
      <c r="I759" s="15" t="s">
        <v>20</v>
      </c>
      <c r="J759" s="15" t="s">
        <v>242</v>
      </c>
      <c r="K759" s="15">
        <v>37</v>
      </c>
      <c r="L759" s="16">
        <v>48</v>
      </c>
      <c r="M759" s="17">
        <v>1776</v>
      </c>
      <c r="N759" s="15" t="s">
        <v>367</v>
      </c>
      <c r="O759" s="15" t="s">
        <v>19</v>
      </c>
      <c r="Q759"/>
    </row>
    <row r="760" spans="1:17" ht="15.6" x14ac:dyDescent="0.3">
      <c r="A760" s="11">
        <v>10183</v>
      </c>
      <c r="B760" s="10">
        <v>37938</v>
      </c>
      <c r="C760" s="10" t="s">
        <v>333</v>
      </c>
      <c r="D760" s="11" t="s">
        <v>179</v>
      </c>
      <c r="E760" s="11" t="s">
        <v>78</v>
      </c>
      <c r="F760" s="11" t="s">
        <v>15</v>
      </c>
      <c r="G760" s="11" t="s">
        <v>16</v>
      </c>
      <c r="H760" s="11" t="s">
        <v>17</v>
      </c>
      <c r="I760" s="11" t="s">
        <v>18</v>
      </c>
      <c r="J760" s="11" t="s">
        <v>241</v>
      </c>
      <c r="K760" s="11">
        <v>39</v>
      </c>
      <c r="L760" s="12">
        <v>30</v>
      </c>
      <c r="M760" s="13">
        <v>1170</v>
      </c>
      <c r="N760" s="11" t="s">
        <v>367</v>
      </c>
      <c r="O760" s="11" t="s">
        <v>19</v>
      </c>
      <c r="Q760"/>
    </row>
    <row r="761" spans="1:17" ht="15.6" x14ac:dyDescent="0.3">
      <c r="A761" s="15">
        <v>10183</v>
      </c>
      <c r="B761" s="14">
        <v>37938</v>
      </c>
      <c r="C761" s="14" t="s">
        <v>333</v>
      </c>
      <c r="D761" s="15" t="s">
        <v>179</v>
      </c>
      <c r="E761" s="15" t="s">
        <v>78</v>
      </c>
      <c r="F761" s="15" t="s">
        <v>15</v>
      </c>
      <c r="G761" s="15" t="s">
        <v>16</v>
      </c>
      <c r="H761" s="15" t="s">
        <v>17</v>
      </c>
      <c r="I761" s="15" t="s">
        <v>20</v>
      </c>
      <c r="J761" s="15" t="s">
        <v>242</v>
      </c>
      <c r="K761" s="15">
        <v>22</v>
      </c>
      <c r="L761" s="16">
        <v>48</v>
      </c>
      <c r="M761" s="17">
        <v>1056</v>
      </c>
      <c r="N761" s="15" t="s">
        <v>367</v>
      </c>
      <c r="O761" s="15" t="s">
        <v>19</v>
      </c>
      <c r="Q761"/>
    </row>
    <row r="762" spans="1:17" ht="15.6" x14ac:dyDescent="0.3">
      <c r="A762" s="11">
        <v>10183</v>
      </c>
      <c r="B762" s="10">
        <v>37938</v>
      </c>
      <c r="C762" s="10" t="s">
        <v>333</v>
      </c>
      <c r="D762" s="11" t="s">
        <v>179</v>
      </c>
      <c r="E762" s="11" t="s">
        <v>78</v>
      </c>
      <c r="F762" s="11" t="s">
        <v>15</v>
      </c>
      <c r="G762" s="11" t="s">
        <v>16</v>
      </c>
      <c r="H762" s="11" t="s">
        <v>35</v>
      </c>
      <c r="I762" s="11" t="s">
        <v>40</v>
      </c>
      <c r="J762" s="11" t="s">
        <v>251</v>
      </c>
      <c r="K762" s="11">
        <v>21</v>
      </c>
      <c r="L762" s="12">
        <v>25</v>
      </c>
      <c r="M762" s="13">
        <v>525</v>
      </c>
      <c r="N762" s="11" t="s">
        <v>367</v>
      </c>
      <c r="O762" s="11" t="s">
        <v>19</v>
      </c>
      <c r="Q762"/>
    </row>
    <row r="763" spans="1:17" ht="15.6" x14ac:dyDescent="0.3">
      <c r="A763" s="15">
        <v>10183</v>
      </c>
      <c r="B763" s="14">
        <v>37938</v>
      </c>
      <c r="C763" s="14" t="s">
        <v>333</v>
      </c>
      <c r="D763" s="15" t="s">
        <v>179</v>
      </c>
      <c r="E763" s="15" t="s">
        <v>78</v>
      </c>
      <c r="F763" s="15" t="s">
        <v>15</v>
      </c>
      <c r="G763" s="15" t="s">
        <v>16</v>
      </c>
      <c r="H763" s="15" t="s">
        <v>17</v>
      </c>
      <c r="I763" s="15" t="s">
        <v>26</v>
      </c>
      <c r="J763" s="15" t="s">
        <v>244</v>
      </c>
      <c r="K763" s="15">
        <v>40</v>
      </c>
      <c r="L763" s="16">
        <v>60</v>
      </c>
      <c r="M763" s="17">
        <v>2400</v>
      </c>
      <c r="N763" s="15" t="s">
        <v>367</v>
      </c>
      <c r="O763" s="15" t="s">
        <v>19</v>
      </c>
      <c r="Q763"/>
    </row>
    <row r="764" spans="1:17" ht="15.6" x14ac:dyDescent="0.3">
      <c r="A764" s="11">
        <v>10183</v>
      </c>
      <c r="B764" s="10">
        <v>37938</v>
      </c>
      <c r="C764" s="10" t="s">
        <v>333</v>
      </c>
      <c r="D764" s="11" t="s">
        <v>179</v>
      </c>
      <c r="E764" s="11" t="s">
        <v>78</v>
      </c>
      <c r="F764" s="11" t="s">
        <v>15</v>
      </c>
      <c r="G764" s="11" t="s">
        <v>16</v>
      </c>
      <c r="H764" s="11" t="s">
        <v>17</v>
      </c>
      <c r="I764" s="11" t="s">
        <v>20</v>
      </c>
      <c r="J764" s="11" t="s">
        <v>242</v>
      </c>
      <c r="K764" s="11">
        <v>47</v>
      </c>
      <c r="L764" s="12">
        <v>48</v>
      </c>
      <c r="M764" s="13">
        <v>2256</v>
      </c>
      <c r="N764" s="11" t="s">
        <v>367</v>
      </c>
      <c r="O764" s="11" t="s">
        <v>19</v>
      </c>
      <c r="Q764"/>
    </row>
    <row r="765" spans="1:17" ht="15.6" x14ac:dyDescent="0.3">
      <c r="A765" s="15">
        <v>10183</v>
      </c>
      <c r="B765" s="14">
        <v>37938</v>
      </c>
      <c r="C765" s="14" t="s">
        <v>333</v>
      </c>
      <c r="D765" s="15" t="s">
        <v>179</v>
      </c>
      <c r="E765" s="15" t="s">
        <v>78</v>
      </c>
      <c r="F765" s="15" t="s">
        <v>15</v>
      </c>
      <c r="G765" s="15" t="s">
        <v>16</v>
      </c>
      <c r="H765" s="15" t="s">
        <v>35</v>
      </c>
      <c r="I765" s="15" t="s">
        <v>36</v>
      </c>
      <c r="J765" s="15" t="s">
        <v>247</v>
      </c>
      <c r="K765" s="15">
        <v>49</v>
      </c>
      <c r="L765" s="16">
        <v>30</v>
      </c>
      <c r="M765" s="17">
        <v>1470</v>
      </c>
      <c r="N765" s="15" t="s">
        <v>367</v>
      </c>
      <c r="O765" s="15" t="s">
        <v>19</v>
      </c>
      <c r="Q765"/>
    </row>
    <row r="766" spans="1:17" ht="15.6" x14ac:dyDescent="0.3">
      <c r="A766" s="11">
        <v>10183</v>
      </c>
      <c r="B766" s="10">
        <v>37938</v>
      </c>
      <c r="C766" s="10" t="s">
        <v>333</v>
      </c>
      <c r="D766" s="11" t="s">
        <v>179</v>
      </c>
      <c r="E766" s="11" t="s">
        <v>78</v>
      </c>
      <c r="F766" s="11" t="s">
        <v>15</v>
      </c>
      <c r="G766" s="11" t="s">
        <v>16</v>
      </c>
      <c r="H766" s="11" t="s">
        <v>32</v>
      </c>
      <c r="I766" s="11" t="s">
        <v>34</v>
      </c>
      <c r="J766" s="11" t="s">
        <v>246</v>
      </c>
      <c r="K766" s="11">
        <v>23</v>
      </c>
      <c r="L766" s="12">
        <v>80</v>
      </c>
      <c r="M766" s="13">
        <v>1840</v>
      </c>
      <c r="N766" s="11" t="s">
        <v>367</v>
      </c>
      <c r="O766" s="11" t="s">
        <v>19</v>
      </c>
      <c r="Q766"/>
    </row>
    <row r="767" spans="1:17" ht="15.6" x14ac:dyDescent="0.3">
      <c r="A767" s="15">
        <v>10186</v>
      </c>
      <c r="B767" s="14">
        <v>37939</v>
      </c>
      <c r="C767" s="14" t="s">
        <v>334</v>
      </c>
      <c r="D767" s="15" t="s">
        <v>180</v>
      </c>
      <c r="E767" s="15" t="s">
        <v>121</v>
      </c>
      <c r="F767" s="15" t="s">
        <v>81</v>
      </c>
      <c r="G767" s="15" t="s">
        <v>25</v>
      </c>
      <c r="H767" s="15" t="s">
        <v>32</v>
      </c>
      <c r="I767" s="15" t="s">
        <v>34</v>
      </c>
      <c r="J767" s="15" t="s">
        <v>246</v>
      </c>
      <c r="K767" s="15">
        <v>26</v>
      </c>
      <c r="L767" s="16">
        <v>80</v>
      </c>
      <c r="M767" s="17">
        <v>2080</v>
      </c>
      <c r="N767" s="15" t="s">
        <v>367</v>
      </c>
      <c r="O767" s="15" t="s">
        <v>19</v>
      </c>
      <c r="Q767"/>
    </row>
    <row r="768" spans="1:17" ht="15.6" x14ac:dyDescent="0.3">
      <c r="A768" s="11">
        <v>10185</v>
      </c>
      <c r="B768" s="10">
        <v>37939</v>
      </c>
      <c r="C768" s="10" t="s">
        <v>310</v>
      </c>
      <c r="D768" s="11" t="s">
        <v>136</v>
      </c>
      <c r="E768" s="11" t="s">
        <v>137</v>
      </c>
      <c r="F768" s="11" t="s">
        <v>15</v>
      </c>
      <c r="G768" s="11" t="s">
        <v>16</v>
      </c>
      <c r="H768" s="11" t="s">
        <v>32</v>
      </c>
      <c r="I768" s="11" t="s">
        <v>45</v>
      </c>
      <c r="J768" s="11" t="s">
        <v>253</v>
      </c>
      <c r="K768" s="11">
        <v>21</v>
      </c>
      <c r="L768" s="12">
        <v>35</v>
      </c>
      <c r="M768" s="13">
        <v>735</v>
      </c>
      <c r="N768" s="11" t="s">
        <v>367</v>
      </c>
      <c r="O768" s="11" t="s">
        <v>19</v>
      </c>
      <c r="Q768"/>
    </row>
    <row r="769" spans="1:17" ht="15.6" x14ac:dyDescent="0.3">
      <c r="A769" s="15">
        <v>10185</v>
      </c>
      <c r="B769" s="14">
        <v>37939</v>
      </c>
      <c r="C769" s="14" t="s">
        <v>310</v>
      </c>
      <c r="D769" s="15" t="s">
        <v>136</v>
      </c>
      <c r="E769" s="15" t="s">
        <v>137</v>
      </c>
      <c r="F769" s="15" t="s">
        <v>15</v>
      </c>
      <c r="G769" s="15" t="s">
        <v>16</v>
      </c>
      <c r="H769" s="15" t="s">
        <v>32</v>
      </c>
      <c r="I769" s="15" t="s">
        <v>34</v>
      </c>
      <c r="J769" s="15" t="s">
        <v>246</v>
      </c>
      <c r="K769" s="15">
        <v>33</v>
      </c>
      <c r="L769" s="16">
        <v>80</v>
      </c>
      <c r="M769" s="17">
        <v>2640</v>
      </c>
      <c r="N769" s="15" t="s">
        <v>367</v>
      </c>
      <c r="O769" s="15" t="s">
        <v>19</v>
      </c>
      <c r="Q769"/>
    </row>
    <row r="770" spans="1:17" ht="15.6" x14ac:dyDescent="0.3">
      <c r="A770" s="11">
        <v>10185</v>
      </c>
      <c r="B770" s="10">
        <v>37939</v>
      </c>
      <c r="C770" s="10" t="s">
        <v>310</v>
      </c>
      <c r="D770" s="11" t="s">
        <v>136</v>
      </c>
      <c r="E770" s="11" t="s">
        <v>137</v>
      </c>
      <c r="F770" s="11" t="s">
        <v>15</v>
      </c>
      <c r="G770" s="11" t="s">
        <v>16</v>
      </c>
      <c r="H770" s="11" t="s">
        <v>32</v>
      </c>
      <c r="I770" s="11" t="s">
        <v>33</v>
      </c>
      <c r="J770" s="11" t="s">
        <v>245</v>
      </c>
      <c r="K770" s="11">
        <v>43</v>
      </c>
      <c r="L770" s="12">
        <v>85</v>
      </c>
      <c r="M770" s="13">
        <v>3655</v>
      </c>
      <c r="N770" s="11" t="s">
        <v>367</v>
      </c>
      <c r="O770" s="11" t="s">
        <v>19</v>
      </c>
      <c r="Q770"/>
    </row>
    <row r="771" spans="1:17" ht="15.6" x14ac:dyDescent="0.3">
      <c r="A771" s="15">
        <v>10184</v>
      </c>
      <c r="B771" s="14">
        <v>37939</v>
      </c>
      <c r="C771" s="14" t="s">
        <v>335</v>
      </c>
      <c r="D771" s="15" t="s">
        <v>181</v>
      </c>
      <c r="E771" s="15" t="s">
        <v>182</v>
      </c>
      <c r="F771" s="15" t="s">
        <v>43</v>
      </c>
      <c r="G771" s="15" t="s">
        <v>25</v>
      </c>
      <c r="H771" s="15" t="s">
        <v>35</v>
      </c>
      <c r="I771" s="15" t="s">
        <v>39</v>
      </c>
      <c r="J771" s="15" t="s">
        <v>250</v>
      </c>
      <c r="K771" s="15">
        <v>37</v>
      </c>
      <c r="L771" s="16">
        <v>20</v>
      </c>
      <c r="M771" s="17">
        <v>740</v>
      </c>
      <c r="N771" s="15" t="s">
        <v>367</v>
      </c>
      <c r="O771" s="15" t="s">
        <v>19</v>
      </c>
      <c r="Q771"/>
    </row>
    <row r="772" spans="1:17" ht="15.6" x14ac:dyDescent="0.3">
      <c r="A772" s="11">
        <v>10186</v>
      </c>
      <c r="B772" s="10">
        <v>37939</v>
      </c>
      <c r="C772" s="10" t="s">
        <v>334</v>
      </c>
      <c r="D772" s="11" t="s">
        <v>180</v>
      </c>
      <c r="E772" s="11" t="s">
        <v>121</v>
      </c>
      <c r="F772" s="11" t="s">
        <v>81</v>
      </c>
      <c r="G772" s="11" t="s">
        <v>25</v>
      </c>
      <c r="H772" s="11" t="s">
        <v>61</v>
      </c>
      <c r="I772" s="11" t="s">
        <v>62</v>
      </c>
      <c r="J772" s="11" t="s">
        <v>261</v>
      </c>
      <c r="K772" s="11">
        <v>32</v>
      </c>
      <c r="L772" s="12">
        <v>15</v>
      </c>
      <c r="M772" s="13">
        <v>480</v>
      </c>
      <c r="N772" s="11" t="s">
        <v>367</v>
      </c>
      <c r="O772" s="11" t="s">
        <v>19</v>
      </c>
      <c r="Q772"/>
    </row>
    <row r="773" spans="1:17" ht="15.6" x14ac:dyDescent="0.3">
      <c r="A773" s="15">
        <v>10184</v>
      </c>
      <c r="B773" s="14">
        <v>37939</v>
      </c>
      <c r="C773" s="14" t="s">
        <v>335</v>
      </c>
      <c r="D773" s="15" t="s">
        <v>181</v>
      </c>
      <c r="E773" s="15" t="s">
        <v>182</v>
      </c>
      <c r="F773" s="15" t="s">
        <v>43</v>
      </c>
      <c r="G773" s="15" t="s">
        <v>25</v>
      </c>
      <c r="H773" s="15" t="s">
        <v>32</v>
      </c>
      <c r="I773" s="15" t="s">
        <v>34</v>
      </c>
      <c r="J773" s="15" t="s">
        <v>246</v>
      </c>
      <c r="K773" s="15">
        <v>46</v>
      </c>
      <c r="L773" s="16">
        <v>80</v>
      </c>
      <c r="M773" s="17">
        <v>3680</v>
      </c>
      <c r="N773" s="15" t="s">
        <v>367</v>
      </c>
      <c r="O773" s="15" t="s">
        <v>19</v>
      </c>
      <c r="Q773"/>
    </row>
    <row r="774" spans="1:17" ht="15.6" x14ac:dyDescent="0.3">
      <c r="A774" s="11">
        <v>10184</v>
      </c>
      <c r="B774" s="10">
        <v>37939</v>
      </c>
      <c r="C774" s="10" t="s">
        <v>335</v>
      </c>
      <c r="D774" s="11" t="s">
        <v>181</v>
      </c>
      <c r="E774" s="11" t="s">
        <v>182</v>
      </c>
      <c r="F774" s="11" t="s">
        <v>43</v>
      </c>
      <c r="G774" s="11" t="s">
        <v>25</v>
      </c>
      <c r="H774" s="11" t="s">
        <v>35</v>
      </c>
      <c r="I774" s="11" t="s">
        <v>38</v>
      </c>
      <c r="J774" s="11" t="s">
        <v>249</v>
      </c>
      <c r="K774" s="11">
        <v>46</v>
      </c>
      <c r="L774" s="12">
        <v>20</v>
      </c>
      <c r="M774" s="13">
        <v>920</v>
      </c>
      <c r="N774" s="11" t="s">
        <v>367</v>
      </c>
      <c r="O774" s="11" t="s">
        <v>19</v>
      </c>
      <c r="Q774"/>
    </row>
    <row r="775" spans="1:17" ht="15.6" x14ac:dyDescent="0.3">
      <c r="A775" s="15">
        <v>10184</v>
      </c>
      <c r="B775" s="14">
        <v>37939</v>
      </c>
      <c r="C775" s="14" t="s">
        <v>335</v>
      </c>
      <c r="D775" s="15" t="s">
        <v>181</v>
      </c>
      <c r="E775" s="15" t="s">
        <v>182</v>
      </c>
      <c r="F775" s="15" t="s">
        <v>43</v>
      </c>
      <c r="G775" s="15" t="s">
        <v>25</v>
      </c>
      <c r="H775" s="15" t="s">
        <v>35</v>
      </c>
      <c r="I775" s="15" t="s">
        <v>39</v>
      </c>
      <c r="J775" s="15" t="s">
        <v>250</v>
      </c>
      <c r="K775" s="15">
        <v>44</v>
      </c>
      <c r="L775" s="16">
        <v>20</v>
      </c>
      <c r="M775" s="17">
        <v>880</v>
      </c>
      <c r="N775" s="15" t="s">
        <v>367</v>
      </c>
      <c r="O775" s="15" t="s">
        <v>19</v>
      </c>
      <c r="Q775"/>
    </row>
    <row r="776" spans="1:17" ht="15.6" x14ac:dyDescent="0.3">
      <c r="A776" s="11">
        <v>10186</v>
      </c>
      <c r="B776" s="10">
        <v>37939</v>
      </c>
      <c r="C776" s="10" t="s">
        <v>334</v>
      </c>
      <c r="D776" s="11" t="s">
        <v>180</v>
      </c>
      <c r="E776" s="11" t="s">
        <v>121</v>
      </c>
      <c r="F776" s="11" t="s">
        <v>81</v>
      </c>
      <c r="G776" s="11" t="s">
        <v>25</v>
      </c>
      <c r="H776" s="11" t="s">
        <v>54</v>
      </c>
      <c r="I776" s="11" t="s">
        <v>57</v>
      </c>
      <c r="J776" s="11" t="s">
        <v>260</v>
      </c>
      <c r="K776" s="11">
        <v>32</v>
      </c>
      <c r="L776" s="12">
        <v>220</v>
      </c>
      <c r="M776" s="13">
        <v>7040</v>
      </c>
      <c r="N776" s="11" t="s">
        <v>367</v>
      </c>
      <c r="O776" s="11" t="s">
        <v>19</v>
      </c>
      <c r="Q776"/>
    </row>
    <row r="777" spans="1:17" ht="15.6" x14ac:dyDescent="0.3">
      <c r="A777" s="15">
        <v>10185</v>
      </c>
      <c r="B777" s="14">
        <v>37939</v>
      </c>
      <c r="C777" s="14" t="s">
        <v>310</v>
      </c>
      <c r="D777" s="15" t="s">
        <v>136</v>
      </c>
      <c r="E777" s="15" t="s">
        <v>137</v>
      </c>
      <c r="F777" s="15" t="s">
        <v>15</v>
      </c>
      <c r="G777" s="15" t="s">
        <v>16</v>
      </c>
      <c r="H777" s="15" t="s">
        <v>17</v>
      </c>
      <c r="I777" s="15" t="s">
        <v>20</v>
      </c>
      <c r="J777" s="15" t="s">
        <v>242</v>
      </c>
      <c r="K777" s="15">
        <v>28</v>
      </c>
      <c r="L777" s="16">
        <v>48</v>
      </c>
      <c r="M777" s="17">
        <v>1344</v>
      </c>
      <c r="N777" s="15" t="s">
        <v>367</v>
      </c>
      <c r="O777" s="15" t="s">
        <v>19</v>
      </c>
      <c r="Q777"/>
    </row>
    <row r="778" spans="1:17" ht="15.6" x14ac:dyDescent="0.3">
      <c r="A778" s="11">
        <v>10184</v>
      </c>
      <c r="B778" s="10">
        <v>37939</v>
      </c>
      <c r="C778" s="10" t="s">
        <v>335</v>
      </c>
      <c r="D778" s="11" t="s">
        <v>181</v>
      </c>
      <c r="E778" s="11" t="s">
        <v>182</v>
      </c>
      <c r="F778" s="11" t="s">
        <v>43</v>
      </c>
      <c r="G778" s="11" t="s">
        <v>25</v>
      </c>
      <c r="H778" s="11" t="s">
        <v>32</v>
      </c>
      <c r="I778" s="11" t="s">
        <v>45</v>
      </c>
      <c r="J778" s="11" t="s">
        <v>253</v>
      </c>
      <c r="K778" s="11">
        <v>28</v>
      </c>
      <c r="L778" s="12">
        <v>35</v>
      </c>
      <c r="M778" s="13">
        <v>980</v>
      </c>
      <c r="N778" s="11" t="s">
        <v>367</v>
      </c>
      <c r="O778" s="11" t="s">
        <v>19</v>
      </c>
      <c r="Q778"/>
    </row>
    <row r="779" spans="1:17" ht="15.6" x14ac:dyDescent="0.3">
      <c r="A779" s="15">
        <v>10185</v>
      </c>
      <c r="B779" s="14">
        <v>37939</v>
      </c>
      <c r="C779" s="14" t="s">
        <v>310</v>
      </c>
      <c r="D779" s="15" t="s">
        <v>136</v>
      </c>
      <c r="E779" s="15" t="s">
        <v>137</v>
      </c>
      <c r="F779" s="15" t="s">
        <v>15</v>
      </c>
      <c r="G779" s="15" t="s">
        <v>16</v>
      </c>
      <c r="H779" s="15" t="s">
        <v>47</v>
      </c>
      <c r="I779" s="15" t="s">
        <v>53</v>
      </c>
      <c r="J779" s="15" t="s">
        <v>257</v>
      </c>
      <c r="K779" s="15">
        <v>49</v>
      </c>
      <c r="L779" s="16">
        <v>90</v>
      </c>
      <c r="M779" s="17">
        <v>4410</v>
      </c>
      <c r="N779" s="15" t="s">
        <v>367</v>
      </c>
      <c r="O779" s="15" t="s">
        <v>19</v>
      </c>
      <c r="Q779"/>
    </row>
    <row r="780" spans="1:17" ht="15.6" x14ac:dyDescent="0.3">
      <c r="A780" s="11">
        <v>10186</v>
      </c>
      <c r="B780" s="10">
        <v>37939</v>
      </c>
      <c r="C780" s="10" t="s">
        <v>334</v>
      </c>
      <c r="D780" s="11" t="s">
        <v>180</v>
      </c>
      <c r="E780" s="11" t="s">
        <v>121</v>
      </c>
      <c r="F780" s="11" t="s">
        <v>81</v>
      </c>
      <c r="G780" s="11" t="s">
        <v>25</v>
      </c>
      <c r="H780" s="11" t="s">
        <v>17</v>
      </c>
      <c r="I780" s="11" t="s">
        <v>20</v>
      </c>
      <c r="J780" s="11" t="s">
        <v>242</v>
      </c>
      <c r="K780" s="11">
        <v>46</v>
      </c>
      <c r="L780" s="12">
        <v>48</v>
      </c>
      <c r="M780" s="13">
        <v>2208</v>
      </c>
      <c r="N780" s="11" t="s">
        <v>367</v>
      </c>
      <c r="O780" s="11" t="s">
        <v>19</v>
      </c>
      <c r="Q780"/>
    </row>
    <row r="781" spans="1:17" ht="15.6" x14ac:dyDescent="0.3">
      <c r="A781" s="15">
        <v>10185</v>
      </c>
      <c r="B781" s="14">
        <v>37939</v>
      </c>
      <c r="C781" s="14" t="s">
        <v>310</v>
      </c>
      <c r="D781" s="15" t="s">
        <v>136</v>
      </c>
      <c r="E781" s="15" t="s">
        <v>137</v>
      </c>
      <c r="F781" s="15" t="s">
        <v>15</v>
      </c>
      <c r="G781" s="15" t="s">
        <v>16</v>
      </c>
      <c r="H781" s="15" t="s">
        <v>32</v>
      </c>
      <c r="I781" s="15" t="s">
        <v>33</v>
      </c>
      <c r="J781" s="15" t="s">
        <v>245</v>
      </c>
      <c r="K781" s="15">
        <v>39</v>
      </c>
      <c r="L781" s="16">
        <v>85</v>
      </c>
      <c r="M781" s="17">
        <v>3315</v>
      </c>
      <c r="N781" s="15" t="s">
        <v>367</v>
      </c>
      <c r="O781" s="15" t="s">
        <v>19</v>
      </c>
      <c r="Q781"/>
    </row>
    <row r="782" spans="1:17" ht="15.6" x14ac:dyDescent="0.3">
      <c r="A782" s="11">
        <v>10185</v>
      </c>
      <c r="B782" s="10">
        <v>37939</v>
      </c>
      <c r="C782" s="10" t="s">
        <v>310</v>
      </c>
      <c r="D782" s="11" t="s">
        <v>136</v>
      </c>
      <c r="E782" s="11" t="s">
        <v>137</v>
      </c>
      <c r="F782" s="11" t="s">
        <v>15</v>
      </c>
      <c r="G782" s="11" t="s">
        <v>16</v>
      </c>
      <c r="H782" s="11" t="s">
        <v>17</v>
      </c>
      <c r="I782" s="11" t="s">
        <v>20</v>
      </c>
      <c r="J782" s="11" t="s">
        <v>242</v>
      </c>
      <c r="K782" s="11">
        <v>47</v>
      </c>
      <c r="L782" s="12">
        <v>48</v>
      </c>
      <c r="M782" s="13">
        <v>2256</v>
      </c>
      <c r="N782" s="11" t="s">
        <v>367</v>
      </c>
      <c r="O782" s="11" t="s">
        <v>19</v>
      </c>
      <c r="Q782"/>
    </row>
    <row r="783" spans="1:17" ht="15.6" x14ac:dyDescent="0.3">
      <c r="A783" s="15">
        <v>10184</v>
      </c>
      <c r="B783" s="14">
        <v>37939</v>
      </c>
      <c r="C783" s="14" t="s">
        <v>335</v>
      </c>
      <c r="D783" s="15" t="s">
        <v>181</v>
      </c>
      <c r="E783" s="15" t="s">
        <v>182</v>
      </c>
      <c r="F783" s="15" t="s">
        <v>43</v>
      </c>
      <c r="G783" s="15" t="s">
        <v>25</v>
      </c>
      <c r="H783" s="15" t="s">
        <v>32</v>
      </c>
      <c r="I783" s="15" t="s">
        <v>44</v>
      </c>
      <c r="J783" s="15" t="s">
        <v>252</v>
      </c>
      <c r="K783" s="15">
        <v>31</v>
      </c>
      <c r="L783" s="16">
        <v>55</v>
      </c>
      <c r="M783" s="17">
        <v>1705</v>
      </c>
      <c r="N783" s="15" t="s">
        <v>367</v>
      </c>
      <c r="O783" s="15" t="s">
        <v>19</v>
      </c>
      <c r="Q783"/>
    </row>
    <row r="784" spans="1:17" ht="15.6" x14ac:dyDescent="0.3">
      <c r="A784" s="11">
        <v>10185</v>
      </c>
      <c r="B784" s="10">
        <v>37939</v>
      </c>
      <c r="C784" s="10" t="s">
        <v>310</v>
      </c>
      <c r="D784" s="11" t="s">
        <v>136</v>
      </c>
      <c r="E784" s="11" t="s">
        <v>137</v>
      </c>
      <c r="F784" s="11" t="s">
        <v>15</v>
      </c>
      <c r="G784" s="11" t="s">
        <v>16</v>
      </c>
      <c r="H784" s="11" t="s">
        <v>54</v>
      </c>
      <c r="I784" s="11" t="s">
        <v>56</v>
      </c>
      <c r="J784" s="11" t="s">
        <v>259</v>
      </c>
      <c r="K784" s="11">
        <v>30</v>
      </c>
      <c r="L784" s="12">
        <v>250</v>
      </c>
      <c r="M784" s="13">
        <v>7500</v>
      </c>
      <c r="N784" s="11" t="s">
        <v>367</v>
      </c>
      <c r="O784" s="11" t="s">
        <v>19</v>
      </c>
      <c r="Q784"/>
    </row>
    <row r="785" spans="1:17" ht="15.6" x14ac:dyDescent="0.3">
      <c r="A785" s="15">
        <v>10184</v>
      </c>
      <c r="B785" s="14">
        <v>37939</v>
      </c>
      <c r="C785" s="14" t="s">
        <v>335</v>
      </c>
      <c r="D785" s="15" t="s">
        <v>181</v>
      </c>
      <c r="E785" s="15" t="s">
        <v>182</v>
      </c>
      <c r="F785" s="15" t="s">
        <v>43</v>
      </c>
      <c r="G785" s="15" t="s">
        <v>25</v>
      </c>
      <c r="H785" s="15" t="s">
        <v>35</v>
      </c>
      <c r="I785" s="15" t="s">
        <v>39</v>
      </c>
      <c r="J785" s="15" t="s">
        <v>250</v>
      </c>
      <c r="K785" s="15">
        <v>24</v>
      </c>
      <c r="L785" s="16">
        <v>20</v>
      </c>
      <c r="M785" s="17">
        <v>480</v>
      </c>
      <c r="N785" s="15" t="s">
        <v>367</v>
      </c>
      <c r="O785" s="15" t="s">
        <v>19</v>
      </c>
      <c r="Q785"/>
    </row>
    <row r="786" spans="1:17" ht="15.6" x14ac:dyDescent="0.3">
      <c r="A786" s="11">
        <v>10184</v>
      </c>
      <c r="B786" s="10">
        <v>37939</v>
      </c>
      <c r="C786" s="10" t="s">
        <v>335</v>
      </c>
      <c r="D786" s="11" t="s">
        <v>181</v>
      </c>
      <c r="E786" s="11" t="s">
        <v>182</v>
      </c>
      <c r="F786" s="11" t="s">
        <v>43</v>
      </c>
      <c r="G786" s="11" t="s">
        <v>25</v>
      </c>
      <c r="H786" s="11" t="s">
        <v>32</v>
      </c>
      <c r="I786" s="11" t="s">
        <v>34</v>
      </c>
      <c r="J786" s="11" t="s">
        <v>246</v>
      </c>
      <c r="K786" s="11">
        <v>42</v>
      </c>
      <c r="L786" s="12">
        <v>80</v>
      </c>
      <c r="M786" s="13">
        <v>3360</v>
      </c>
      <c r="N786" s="11" t="s">
        <v>367</v>
      </c>
      <c r="O786" s="11" t="s">
        <v>19</v>
      </c>
      <c r="Q786"/>
    </row>
    <row r="787" spans="1:17" ht="15.6" x14ac:dyDescent="0.3">
      <c r="A787" s="15">
        <v>10186</v>
      </c>
      <c r="B787" s="14">
        <v>37939</v>
      </c>
      <c r="C787" s="14" t="s">
        <v>334</v>
      </c>
      <c r="D787" s="15" t="s">
        <v>180</v>
      </c>
      <c r="E787" s="15" t="s">
        <v>121</v>
      </c>
      <c r="F787" s="15" t="s">
        <v>81</v>
      </c>
      <c r="G787" s="15" t="s">
        <v>25</v>
      </c>
      <c r="H787" s="15" t="s">
        <v>61</v>
      </c>
      <c r="I787" s="15" t="s">
        <v>65</v>
      </c>
      <c r="J787" s="15" t="s">
        <v>264</v>
      </c>
      <c r="K787" s="15">
        <v>22</v>
      </c>
      <c r="L787" s="16">
        <v>30</v>
      </c>
      <c r="M787" s="17">
        <v>660</v>
      </c>
      <c r="N787" s="15" t="s">
        <v>367</v>
      </c>
      <c r="O787" s="15" t="s">
        <v>19</v>
      </c>
      <c r="Q787"/>
    </row>
    <row r="788" spans="1:17" ht="15.6" x14ac:dyDescent="0.3">
      <c r="A788" s="11">
        <v>10185</v>
      </c>
      <c r="B788" s="10">
        <v>37939</v>
      </c>
      <c r="C788" s="10" t="s">
        <v>310</v>
      </c>
      <c r="D788" s="11" t="s">
        <v>136</v>
      </c>
      <c r="E788" s="11" t="s">
        <v>137</v>
      </c>
      <c r="F788" s="11" t="s">
        <v>15</v>
      </c>
      <c r="G788" s="11" t="s">
        <v>16</v>
      </c>
      <c r="H788" s="11" t="s">
        <v>17</v>
      </c>
      <c r="I788" s="11" t="s">
        <v>26</v>
      </c>
      <c r="J788" s="11" t="s">
        <v>244</v>
      </c>
      <c r="K788" s="11">
        <v>33</v>
      </c>
      <c r="L788" s="12">
        <v>60</v>
      </c>
      <c r="M788" s="13">
        <v>1980</v>
      </c>
      <c r="N788" s="11" t="s">
        <v>367</v>
      </c>
      <c r="O788" s="11" t="s">
        <v>19</v>
      </c>
      <c r="Q788"/>
    </row>
    <row r="789" spans="1:17" ht="15.6" x14ac:dyDescent="0.3">
      <c r="A789" s="15">
        <v>10186</v>
      </c>
      <c r="B789" s="14">
        <v>37939</v>
      </c>
      <c r="C789" s="14" t="s">
        <v>334</v>
      </c>
      <c r="D789" s="15" t="s">
        <v>180</v>
      </c>
      <c r="E789" s="15" t="s">
        <v>121</v>
      </c>
      <c r="F789" s="15" t="s">
        <v>81</v>
      </c>
      <c r="G789" s="15" t="s">
        <v>25</v>
      </c>
      <c r="H789" s="15" t="s">
        <v>17</v>
      </c>
      <c r="I789" s="15" t="s">
        <v>26</v>
      </c>
      <c r="J789" s="15" t="s">
        <v>244</v>
      </c>
      <c r="K789" s="15">
        <v>21</v>
      </c>
      <c r="L789" s="16">
        <v>60</v>
      </c>
      <c r="M789" s="17">
        <v>1260</v>
      </c>
      <c r="N789" s="15" t="s">
        <v>367</v>
      </c>
      <c r="O789" s="15" t="s">
        <v>19</v>
      </c>
      <c r="Q789"/>
    </row>
    <row r="790" spans="1:17" ht="15.6" x14ac:dyDescent="0.3">
      <c r="A790" s="11">
        <v>10186</v>
      </c>
      <c r="B790" s="10">
        <v>37939</v>
      </c>
      <c r="C790" s="10" t="s">
        <v>334</v>
      </c>
      <c r="D790" s="11" t="s">
        <v>180</v>
      </c>
      <c r="E790" s="11" t="s">
        <v>121</v>
      </c>
      <c r="F790" s="11" t="s">
        <v>81</v>
      </c>
      <c r="G790" s="11" t="s">
        <v>25</v>
      </c>
      <c r="H790" s="11" t="s">
        <v>17</v>
      </c>
      <c r="I790" s="11" t="s">
        <v>18</v>
      </c>
      <c r="J790" s="11" t="s">
        <v>241</v>
      </c>
      <c r="K790" s="11">
        <v>36</v>
      </c>
      <c r="L790" s="12">
        <v>30</v>
      </c>
      <c r="M790" s="13">
        <v>1080</v>
      </c>
      <c r="N790" s="11" t="s">
        <v>367</v>
      </c>
      <c r="O790" s="11" t="s">
        <v>19</v>
      </c>
      <c r="Q790"/>
    </row>
    <row r="791" spans="1:17" ht="15.6" x14ac:dyDescent="0.3">
      <c r="A791" s="15">
        <v>10184</v>
      </c>
      <c r="B791" s="14">
        <v>37939</v>
      </c>
      <c r="C791" s="14" t="s">
        <v>335</v>
      </c>
      <c r="D791" s="15" t="s">
        <v>181</v>
      </c>
      <c r="E791" s="15" t="s">
        <v>182</v>
      </c>
      <c r="F791" s="15" t="s">
        <v>43</v>
      </c>
      <c r="G791" s="15" t="s">
        <v>25</v>
      </c>
      <c r="H791" s="15" t="s">
        <v>32</v>
      </c>
      <c r="I791" s="15" t="s">
        <v>34</v>
      </c>
      <c r="J791" s="15" t="s">
        <v>246</v>
      </c>
      <c r="K791" s="15">
        <v>49</v>
      </c>
      <c r="L791" s="16">
        <v>80</v>
      </c>
      <c r="M791" s="17">
        <v>3920</v>
      </c>
      <c r="N791" s="15" t="s">
        <v>367</v>
      </c>
      <c r="O791" s="15" t="s">
        <v>19</v>
      </c>
      <c r="Q791"/>
    </row>
    <row r="792" spans="1:17" ht="15.6" x14ac:dyDescent="0.3">
      <c r="A792" s="11">
        <v>10184</v>
      </c>
      <c r="B792" s="10">
        <v>37939</v>
      </c>
      <c r="C792" s="10" t="s">
        <v>335</v>
      </c>
      <c r="D792" s="11" t="s">
        <v>181</v>
      </c>
      <c r="E792" s="11" t="s">
        <v>182</v>
      </c>
      <c r="F792" s="11" t="s">
        <v>43</v>
      </c>
      <c r="G792" s="11" t="s">
        <v>25</v>
      </c>
      <c r="H792" s="11" t="s">
        <v>35</v>
      </c>
      <c r="I792" s="11" t="s">
        <v>36</v>
      </c>
      <c r="J792" s="11" t="s">
        <v>247</v>
      </c>
      <c r="K792" s="11">
        <v>46</v>
      </c>
      <c r="L792" s="12">
        <v>30</v>
      </c>
      <c r="M792" s="13">
        <v>1380</v>
      </c>
      <c r="N792" s="11" t="s">
        <v>367</v>
      </c>
      <c r="O792" s="11" t="s">
        <v>19</v>
      </c>
      <c r="Q792"/>
    </row>
    <row r="793" spans="1:17" ht="15.6" x14ac:dyDescent="0.3">
      <c r="A793" s="15">
        <v>10184</v>
      </c>
      <c r="B793" s="14">
        <v>37939</v>
      </c>
      <c r="C793" s="14" t="s">
        <v>335</v>
      </c>
      <c r="D793" s="15" t="s">
        <v>181</v>
      </c>
      <c r="E793" s="15" t="s">
        <v>182</v>
      </c>
      <c r="F793" s="15" t="s">
        <v>43</v>
      </c>
      <c r="G793" s="15" t="s">
        <v>25</v>
      </c>
      <c r="H793" s="15" t="s">
        <v>35</v>
      </c>
      <c r="I793" s="15" t="s">
        <v>40</v>
      </c>
      <c r="J793" s="15" t="s">
        <v>251</v>
      </c>
      <c r="K793" s="15">
        <v>33</v>
      </c>
      <c r="L793" s="16">
        <v>25</v>
      </c>
      <c r="M793" s="17">
        <v>825</v>
      </c>
      <c r="N793" s="15" t="s">
        <v>367</v>
      </c>
      <c r="O793" s="15" t="s">
        <v>19</v>
      </c>
      <c r="Q793"/>
    </row>
    <row r="794" spans="1:17" ht="15.6" x14ac:dyDescent="0.3">
      <c r="A794" s="11">
        <v>10184</v>
      </c>
      <c r="B794" s="10">
        <v>37939</v>
      </c>
      <c r="C794" s="10" t="s">
        <v>335</v>
      </c>
      <c r="D794" s="11" t="s">
        <v>181</v>
      </c>
      <c r="E794" s="11" t="s">
        <v>182</v>
      </c>
      <c r="F794" s="11" t="s">
        <v>43</v>
      </c>
      <c r="G794" s="11" t="s">
        <v>25</v>
      </c>
      <c r="H794" s="11" t="s">
        <v>47</v>
      </c>
      <c r="I794" s="11" t="s">
        <v>53</v>
      </c>
      <c r="J794" s="11" t="s">
        <v>257</v>
      </c>
      <c r="K794" s="11">
        <v>48</v>
      </c>
      <c r="L794" s="12">
        <v>90</v>
      </c>
      <c r="M794" s="13">
        <v>4320</v>
      </c>
      <c r="N794" s="11" t="s">
        <v>367</v>
      </c>
      <c r="O794" s="11" t="s">
        <v>19</v>
      </c>
      <c r="Q794"/>
    </row>
    <row r="795" spans="1:17" ht="15.6" x14ac:dyDescent="0.3">
      <c r="A795" s="15">
        <v>10184</v>
      </c>
      <c r="B795" s="14">
        <v>37939</v>
      </c>
      <c r="C795" s="14" t="s">
        <v>335</v>
      </c>
      <c r="D795" s="15" t="s">
        <v>181</v>
      </c>
      <c r="E795" s="15" t="s">
        <v>182</v>
      </c>
      <c r="F795" s="15" t="s">
        <v>43</v>
      </c>
      <c r="G795" s="15" t="s">
        <v>25</v>
      </c>
      <c r="H795" s="15" t="s">
        <v>35</v>
      </c>
      <c r="I795" s="15" t="s">
        <v>38</v>
      </c>
      <c r="J795" s="15" t="s">
        <v>249</v>
      </c>
      <c r="K795" s="15">
        <v>45</v>
      </c>
      <c r="L795" s="16">
        <v>20</v>
      </c>
      <c r="M795" s="17">
        <v>900</v>
      </c>
      <c r="N795" s="15" t="s">
        <v>367</v>
      </c>
      <c r="O795" s="15" t="s">
        <v>19</v>
      </c>
      <c r="Q795"/>
    </row>
    <row r="796" spans="1:17" ht="15.6" x14ac:dyDescent="0.3">
      <c r="A796" s="11">
        <v>10185</v>
      </c>
      <c r="B796" s="10">
        <v>37939</v>
      </c>
      <c r="C796" s="10" t="s">
        <v>310</v>
      </c>
      <c r="D796" s="11" t="s">
        <v>136</v>
      </c>
      <c r="E796" s="11" t="s">
        <v>137</v>
      </c>
      <c r="F796" s="11" t="s">
        <v>15</v>
      </c>
      <c r="G796" s="11" t="s">
        <v>16</v>
      </c>
      <c r="H796" s="11" t="s">
        <v>47</v>
      </c>
      <c r="I796" s="11" t="s">
        <v>48</v>
      </c>
      <c r="J796" s="11" t="s">
        <v>255</v>
      </c>
      <c r="K796" s="11">
        <v>20</v>
      </c>
      <c r="L796" s="12">
        <v>70</v>
      </c>
      <c r="M796" s="13">
        <v>1400</v>
      </c>
      <c r="N796" s="11" t="s">
        <v>367</v>
      </c>
      <c r="O796" s="11" t="s">
        <v>19</v>
      </c>
      <c r="Q796"/>
    </row>
    <row r="797" spans="1:17" ht="15.6" x14ac:dyDescent="0.3">
      <c r="A797" s="15">
        <v>10185</v>
      </c>
      <c r="B797" s="14">
        <v>37939</v>
      </c>
      <c r="C797" s="14" t="s">
        <v>310</v>
      </c>
      <c r="D797" s="15" t="s">
        <v>136</v>
      </c>
      <c r="E797" s="15" t="s">
        <v>137</v>
      </c>
      <c r="F797" s="15" t="s">
        <v>15</v>
      </c>
      <c r="G797" s="15" t="s">
        <v>16</v>
      </c>
      <c r="H797" s="15" t="s">
        <v>54</v>
      </c>
      <c r="I797" s="15" t="s">
        <v>56</v>
      </c>
      <c r="J797" s="15" t="s">
        <v>259</v>
      </c>
      <c r="K797" s="15">
        <v>21</v>
      </c>
      <c r="L797" s="16">
        <v>250</v>
      </c>
      <c r="M797" s="17">
        <v>5250</v>
      </c>
      <c r="N797" s="15" t="s">
        <v>367</v>
      </c>
      <c r="O797" s="15" t="s">
        <v>19</v>
      </c>
      <c r="Q797"/>
    </row>
    <row r="798" spans="1:17" ht="15.6" x14ac:dyDescent="0.3">
      <c r="A798" s="11">
        <v>10185</v>
      </c>
      <c r="B798" s="10">
        <v>37939</v>
      </c>
      <c r="C798" s="10" t="s">
        <v>310</v>
      </c>
      <c r="D798" s="11" t="s">
        <v>136</v>
      </c>
      <c r="E798" s="11" t="s">
        <v>137</v>
      </c>
      <c r="F798" s="11" t="s">
        <v>15</v>
      </c>
      <c r="G798" s="11" t="s">
        <v>16</v>
      </c>
      <c r="H798" s="11" t="s">
        <v>54</v>
      </c>
      <c r="I798" s="11" t="s">
        <v>56</v>
      </c>
      <c r="J798" s="11" t="s">
        <v>259</v>
      </c>
      <c r="K798" s="11">
        <v>30</v>
      </c>
      <c r="L798" s="12">
        <v>250</v>
      </c>
      <c r="M798" s="13">
        <v>7500</v>
      </c>
      <c r="N798" s="11" t="s">
        <v>367</v>
      </c>
      <c r="O798" s="11" t="s">
        <v>19</v>
      </c>
      <c r="Q798"/>
    </row>
    <row r="799" spans="1:17" ht="15.6" x14ac:dyDescent="0.3">
      <c r="A799" s="15">
        <v>10186</v>
      </c>
      <c r="B799" s="14">
        <v>37939</v>
      </c>
      <c r="C799" s="14" t="s">
        <v>334</v>
      </c>
      <c r="D799" s="15" t="s">
        <v>180</v>
      </c>
      <c r="E799" s="15" t="s">
        <v>121</v>
      </c>
      <c r="F799" s="15" t="s">
        <v>81</v>
      </c>
      <c r="G799" s="15" t="s">
        <v>25</v>
      </c>
      <c r="H799" s="15" t="s">
        <v>54</v>
      </c>
      <c r="I799" s="15" t="s">
        <v>57</v>
      </c>
      <c r="J799" s="15" t="s">
        <v>260</v>
      </c>
      <c r="K799" s="15">
        <v>24</v>
      </c>
      <c r="L799" s="16">
        <v>220</v>
      </c>
      <c r="M799" s="17">
        <v>5280</v>
      </c>
      <c r="N799" s="15" t="s">
        <v>367</v>
      </c>
      <c r="O799" s="15" t="s">
        <v>19</v>
      </c>
      <c r="Q799"/>
    </row>
    <row r="800" spans="1:17" ht="15.6" x14ac:dyDescent="0.3">
      <c r="A800" s="11">
        <v>10185</v>
      </c>
      <c r="B800" s="10">
        <v>37939</v>
      </c>
      <c r="C800" s="10" t="s">
        <v>310</v>
      </c>
      <c r="D800" s="11" t="s">
        <v>136</v>
      </c>
      <c r="E800" s="11" t="s">
        <v>137</v>
      </c>
      <c r="F800" s="11" t="s">
        <v>15</v>
      </c>
      <c r="G800" s="11" t="s">
        <v>16</v>
      </c>
      <c r="H800" s="11" t="s">
        <v>54</v>
      </c>
      <c r="I800" s="11" t="s">
        <v>57</v>
      </c>
      <c r="J800" s="11" t="s">
        <v>260</v>
      </c>
      <c r="K800" s="11">
        <v>39</v>
      </c>
      <c r="L800" s="12">
        <v>220</v>
      </c>
      <c r="M800" s="13">
        <v>8580</v>
      </c>
      <c r="N800" s="11" t="s">
        <v>367</v>
      </c>
      <c r="O800" s="11" t="s">
        <v>19</v>
      </c>
      <c r="Q800"/>
    </row>
    <row r="801" spans="1:17" ht="15.6" x14ac:dyDescent="0.3">
      <c r="A801" s="15">
        <v>10185</v>
      </c>
      <c r="B801" s="14">
        <v>37939</v>
      </c>
      <c r="C801" s="14" t="s">
        <v>310</v>
      </c>
      <c r="D801" s="15" t="s">
        <v>136</v>
      </c>
      <c r="E801" s="15" t="s">
        <v>137</v>
      </c>
      <c r="F801" s="15" t="s">
        <v>15</v>
      </c>
      <c r="G801" s="15" t="s">
        <v>16</v>
      </c>
      <c r="H801" s="15" t="s">
        <v>54</v>
      </c>
      <c r="I801" s="15" t="s">
        <v>57</v>
      </c>
      <c r="J801" s="15" t="s">
        <v>260</v>
      </c>
      <c r="K801" s="15">
        <v>37</v>
      </c>
      <c r="L801" s="16">
        <v>220</v>
      </c>
      <c r="M801" s="17">
        <v>8140</v>
      </c>
      <c r="N801" s="15" t="s">
        <v>367</v>
      </c>
      <c r="O801" s="15" t="s">
        <v>19</v>
      </c>
      <c r="Q801"/>
    </row>
    <row r="802" spans="1:17" ht="15.6" x14ac:dyDescent="0.3">
      <c r="A802" s="11">
        <v>10185</v>
      </c>
      <c r="B802" s="10">
        <v>37939</v>
      </c>
      <c r="C802" s="10" t="s">
        <v>310</v>
      </c>
      <c r="D802" s="11" t="s">
        <v>136</v>
      </c>
      <c r="E802" s="11" t="s">
        <v>137</v>
      </c>
      <c r="F802" s="11" t="s">
        <v>15</v>
      </c>
      <c r="G802" s="11" t="s">
        <v>16</v>
      </c>
      <c r="H802" s="11" t="s">
        <v>54</v>
      </c>
      <c r="I802" s="11" t="s">
        <v>56</v>
      </c>
      <c r="J802" s="11" t="s">
        <v>259</v>
      </c>
      <c r="K802" s="11">
        <v>22</v>
      </c>
      <c r="L802" s="12">
        <v>250</v>
      </c>
      <c r="M802" s="13">
        <v>5500</v>
      </c>
      <c r="N802" s="11" t="s">
        <v>367</v>
      </c>
      <c r="O802" s="11" t="s">
        <v>19</v>
      </c>
      <c r="Q802"/>
    </row>
    <row r="803" spans="1:17" ht="15.6" x14ac:dyDescent="0.3">
      <c r="A803" s="15">
        <v>10186</v>
      </c>
      <c r="B803" s="14">
        <v>37939</v>
      </c>
      <c r="C803" s="14" t="s">
        <v>334</v>
      </c>
      <c r="D803" s="15" t="s">
        <v>180</v>
      </c>
      <c r="E803" s="15" t="s">
        <v>121</v>
      </c>
      <c r="F803" s="15" t="s">
        <v>81</v>
      </c>
      <c r="G803" s="15" t="s">
        <v>25</v>
      </c>
      <c r="H803" s="15" t="s">
        <v>61</v>
      </c>
      <c r="I803" s="15" t="s">
        <v>62</v>
      </c>
      <c r="J803" s="15" t="s">
        <v>261</v>
      </c>
      <c r="K803" s="15">
        <v>28</v>
      </c>
      <c r="L803" s="16">
        <v>15</v>
      </c>
      <c r="M803" s="17">
        <v>420</v>
      </c>
      <c r="N803" s="15" t="s">
        <v>367</v>
      </c>
      <c r="O803" s="15" t="s">
        <v>19</v>
      </c>
      <c r="Q803"/>
    </row>
    <row r="804" spans="1:17" ht="15.6" x14ac:dyDescent="0.3">
      <c r="A804" s="11">
        <v>10185</v>
      </c>
      <c r="B804" s="10">
        <v>37939</v>
      </c>
      <c r="C804" s="10" t="s">
        <v>310</v>
      </c>
      <c r="D804" s="11" t="s">
        <v>136</v>
      </c>
      <c r="E804" s="11" t="s">
        <v>137</v>
      </c>
      <c r="F804" s="11" t="s">
        <v>15</v>
      </c>
      <c r="G804" s="11" t="s">
        <v>16</v>
      </c>
      <c r="H804" s="11" t="s">
        <v>54</v>
      </c>
      <c r="I804" s="11" t="s">
        <v>56</v>
      </c>
      <c r="J804" s="11" t="s">
        <v>259</v>
      </c>
      <c r="K804" s="11">
        <v>28</v>
      </c>
      <c r="L804" s="12">
        <v>250</v>
      </c>
      <c r="M804" s="13">
        <v>7000</v>
      </c>
      <c r="N804" s="11" t="s">
        <v>367</v>
      </c>
      <c r="O804" s="11" t="s">
        <v>19</v>
      </c>
      <c r="Q804"/>
    </row>
    <row r="805" spans="1:17" ht="15.6" x14ac:dyDescent="0.3">
      <c r="A805" s="15">
        <v>10188</v>
      </c>
      <c r="B805" s="14">
        <v>37943</v>
      </c>
      <c r="C805" s="14" t="s">
        <v>332</v>
      </c>
      <c r="D805" s="15" t="s">
        <v>177</v>
      </c>
      <c r="E805" s="15" t="s">
        <v>178</v>
      </c>
      <c r="F805" s="15" t="s">
        <v>31</v>
      </c>
      <c r="G805" s="15" t="s">
        <v>25</v>
      </c>
      <c r="H805" s="15" t="s">
        <v>68</v>
      </c>
      <c r="I805" s="15" t="s">
        <v>108</v>
      </c>
      <c r="J805" s="15" t="s">
        <v>271</v>
      </c>
      <c r="K805" s="15">
        <v>48</v>
      </c>
      <c r="L805" s="16">
        <v>45</v>
      </c>
      <c r="M805" s="17">
        <v>2160</v>
      </c>
      <c r="N805" s="15" t="s">
        <v>367</v>
      </c>
      <c r="O805" s="15" t="s">
        <v>19</v>
      </c>
      <c r="Q805"/>
    </row>
    <row r="806" spans="1:17" ht="15.6" x14ac:dyDescent="0.3">
      <c r="A806" s="11">
        <v>10188</v>
      </c>
      <c r="B806" s="10">
        <v>37943</v>
      </c>
      <c r="C806" s="10" t="s">
        <v>332</v>
      </c>
      <c r="D806" s="11" t="s">
        <v>177</v>
      </c>
      <c r="E806" s="11" t="s">
        <v>178</v>
      </c>
      <c r="F806" s="11" t="s">
        <v>31</v>
      </c>
      <c r="G806" s="11" t="s">
        <v>25</v>
      </c>
      <c r="H806" s="11" t="s">
        <v>68</v>
      </c>
      <c r="I806" s="11" t="s">
        <v>69</v>
      </c>
      <c r="J806" s="11" t="s">
        <v>266</v>
      </c>
      <c r="K806" s="11">
        <v>38</v>
      </c>
      <c r="L806" s="12">
        <v>25</v>
      </c>
      <c r="M806" s="13">
        <v>950</v>
      </c>
      <c r="N806" s="11" t="s">
        <v>367</v>
      </c>
      <c r="O806" s="11" t="s">
        <v>19</v>
      </c>
      <c r="Q806"/>
    </row>
    <row r="807" spans="1:17" ht="15.6" x14ac:dyDescent="0.3">
      <c r="A807" s="15">
        <v>10188</v>
      </c>
      <c r="B807" s="14">
        <v>37943</v>
      </c>
      <c r="C807" s="14" t="s">
        <v>332</v>
      </c>
      <c r="D807" s="15" t="s">
        <v>177</v>
      </c>
      <c r="E807" s="15" t="s">
        <v>178</v>
      </c>
      <c r="F807" s="15" t="s">
        <v>31</v>
      </c>
      <c r="G807" s="15" t="s">
        <v>25</v>
      </c>
      <c r="H807" s="15" t="s">
        <v>68</v>
      </c>
      <c r="I807" s="15" t="s">
        <v>70</v>
      </c>
      <c r="J807" s="15" t="s">
        <v>267</v>
      </c>
      <c r="K807" s="15">
        <v>45</v>
      </c>
      <c r="L807" s="16">
        <v>50</v>
      </c>
      <c r="M807" s="17">
        <v>2250</v>
      </c>
      <c r="N807" s="15" t="s">
        <v>367</v>
      </c>
      <c r="O807" s="15" t="s">
        <v>19</v>
      </c>
      <c r="Q807"/>
    </row>
    <row r="808" spans="1:17" ht="15.6" x14ac:dyDescent="0.3">
      <c r="A808" s="11">
        <v>10189</v>
      </c>
      <c r="B808" s="10">
        <v>37943</v>
      </c>
      <c r="C808" s="10" t="s">
        <v>311</v>
      </c>
      <c r="D808" s="11" t="s">
        <v>138</v>
      </c>
      <c r="E808" s="11" t="s">
        <v>139</v>
      </c>
      <c r="F808" s="11" t="s">
        <v>15</v>
      </c>
      <c r="G808" s="11" t="s">
        <v>16</v>
      </c>
      <c r="H808" s="11" t="s">
        <v>68</v>
      </c>
      <c r="I808" s="11" t="s">
        <v>70</v>
      </c>
      <c r="J808" s="11" t="s">
        <v>267</v>
      </c>
      <c r="K808" s="11">
        <v>28</v>
      </c>
      <c r="L808" s="12">
        <v>50</v>
      </c>
      <c r="M808" s="13">
        <v>1400</v>
      </c>
      <c r="N808" s="11" t="s">
        <v>367</v>
      </c>
      <c r="O808" s="11" t="s">
        <v>19</v>
      </c>
      <c r="Q808"/>
    </row>
    <row r="809" spans="1:17" ht="15.6" x14ac:dyDescent="0.3">
      <c r="A809" s="15">
        <v>10188</v>
      </c>
      <c r="B809" s="14">
        <v>37943</v>
      </c>
      <c r="C809" s="14" t="s">
        <v>332</v>
      </c>
      <c r="D809" s="15" t="s">
        <v>177</v>
      </c>
      <c r="E809" s="15" t="s">
        <v>178</v>
      </c>
      <c r="F809" s="15" t="s">
        <v>31</v>
      </c>
      <c r="G809" s="15" t="s">
        <v>25</v>
      </c>
      <c r="H809" s="15" t="s">
        <v>68</v>
      </c>
      <c r="I809" s="15" t="s">
        <v>76</v>
      </c>
      <c r="J809" s="15" t="s">
        <v>269</v>
      </c>
      <c r="K809" s="15">
        <v>32</v>
      </c>
      <c r="L809" s="16">
        <v>30</v>
      </c>
      <c r="M809" s="17">
        <v>960</v>
      </c>
      <c r="N809" s="15" t="s">
        <v>367</v>
      </c>
      <c r="O809" s="15" t="s">
        <v>19</v>
      </c>
      <c r="Q809"/>
    </row>
    <row r="810" spans="1:17" ht="15.6" x14ac:dyDescent="0.3">
      <c r="A810" s="11">
        <v>10188</v>
      </c>
      <c r="B810" s="10">
        <v>37943</v>
      </c>
      <c r="C810" s="10" t="s">
        <v>332</v>
      </c>
      <c r="D810" s="11" t="s">
        <v>177</v>
      </c>
      <c r="E810" s="11" t="s">
        <v>178</v>
      </c>
      <c r="F810" s="11" t="s">
        <v>31</v>
      </c>
      <c r="G810" s="11" t="s">
        <v>25</v>
      </c>
      <c r="H810" s="11" t="s">
        <v>68</v>
      </c>
      <c r="I810" s="11" t="s">
        <v>69</v>
      </c>
      <c r="J810" s="11" t="s">
        <v>266</v>
      </c>
      <c r="K810" s="11">
        <v>25</v>
      </c>
      <c r="L810" s="12">
        <v>25</v>
      </c>
      <c r="M810" s="13">
        <v>625</v>
      </c>
      <c r="N810" s="11" t="s">
        <v>367</v>
      </c>
      <c r="O810" s="11" t="s">
        <v>19</v>
      </c>
      <c r="Q810"/>
    </row>
    <row r="811" spans="1:17" ht="15.6" x14ac:dyDescent="0.3">
      <c r="A811" s="15">
        <v>10188</v>
      </c>
      <c r="B811" s="14">
        <v>37943</v>
      </c>
      <c r="C811" s="14" t="s">
        <v>332</v>
      </c>
      <c r="D811" s="15" t="s">
        <v>177</v>
      </c>
      <c r="E811" s="15" t="s">
        <v>178</v>
      </c>
      <c r="F811" s="15" t="s">
        <v>31</v>
      </c>
      <c r="G811" s="15" t="s">
        <v>25</v>
      </c>
      <c r="H811" s="15" t="s">
        <v>68</v>
      </c>
      <c r="I811" s="15" t="s">
        <v>69</v>
      </c>
      <c r="J811" s="15" t="s">
        <v>266</v>
      </c>
      <c r="K811" s="15">
        <v>40</v>
      </c>
      <c r="L811" s="16">
        <v>25</v>
      </c>
      <c r="M811" s="17">
        <v>1000</v>
      </c>
      <c r="N811" s="15" t="s">
        <v>367</v>
      </c>
      <c r="O811" s="15" t="s">
        <v>19</v>
      </c>
      <c r="Q811"/>
    </row>
    <row r="812" spans="1:17" ht="15.6" x14ac:dyDescent="0.3">
      <c r="A812" s="11">
        <v>10188</v>
      </c>
      <c r="B812" s="10">
        <v>37943</v>
      </c>
      <c r="C812" s="10" t="s">
        <v>332</v>
      </c>
      <c r="D812" s="11" t="s">
        <v>177</v>
      </c>
      <c r="E812" s="11" t="s">
        <v>178</v>
      </c>
      <c r="F812" s="11" t="s">
        <v>31</v>
      </c>
      <c r="G812" s="11" t="s">
        <v>25</v>
      </c>
      <c r="H812" s="11" t="s">
        <v>68</v>
      </c>
      <c r="I812" s="11" t="s">
        <v>70</v>
      </c>
      <c r="J812" s="11" t="s">
        <v>267</v>
      </c>
      <c r="K812" s="11">
        <v>44</v>
      </c>
      <c r="L812" s="12">
        <v>50</v>
      </c>
      <c r="M812" s="13">
        <v>2200</v>
      </c>
      <c r="N812" s="11" t="s">
        <v>367</v>
      </c>
      <c r="O812" s="11" t="s">
        <v>19</v>
      </c>
      <c r="Q812"/>
    </row>
    <row r="813" spans="1:17" ht="15.6" x14ac:dyDescent="0.3">
      <c r="A813" s="15">
        <v>10188</v>
      </c>
      <c r="B813" s="14">
        <v>37943</v>
      </c>
      <c r="C813" s="14" t="s">
        <v>332</v>
      </c>
      <c r="D813" s="15" t="s">
        <v>177</v>
      </c>
      <c r="E813" s="15" t="s">
        <v>178</v>
      </c>
      <c r="F813" s="15" t="s">
        <v>31</v>
      </c>
      <c r="G813" s="15" t="s">
        <v>25</v>
      </c>
      <c r="H813" s="15" t="s">
        <v>61</v>
      </c>
      <c r="I813" s="15" t="s">
        <v>63</v>
      </c>
      <c r="J813" s="15" t="s">
        <v>262</v>
      </c>
      <c r="K813" s="15">
        <v>29</v>
      </c>
      <c r="L813" s="16">
        <v>40</v>
      </c>
      <c r="M813" s="17">
        <v>1160</v>
      </c>
      <c r="N813" s="15" t="s">
        <v>367</v>
      </c>
      <c r="O813" s="15" t="s">
        <v>19</v>
      </c>
      <c r="Q813"/>
    </row>
    <row r="814" spans="1:17" ht="15.6" x14ac:dyDescent="0.3">
      <c r="A814" s="11">
        <v>10190</v>
      </c>
      <c r="B814" s="10">
        <v>37944</v>
      </c>
      <c r="C814" s="10" t="s">
        <v>279</v>
      </c>
      <c r="D814" s="11" t="s">
        <v>41</v>
      </c>
      <c r="E814" s="11" t="s">
        <v>42</v>
      </c>
      <c r="F814" s="11" t="s">
        <v>43</v>
      </c>
      <c r="G814" s="11" t="s">
        <v>25</v>
      </c>
      <c r="H814" s="11" t="s">
        <v>68</v>
      </c>
      <c r="I814" s="11" t="s">
        <v>70</v>
      </c>
      <c r="J814" s="11" t="s">
        <v>267</v>
      </c>
      <c r="K814" s="11">
        <v>42</v>
      </c>
      <c r="L814" s="12">
        <v>50</v>
      </c>
      <c r="M814" s="13">
        <v>2100</v>
      </c>
      <c r="N814" s="11" t="s">
        <v>367</v>
      </c>
      <c r="O814" s="11" t="s">
        <v>19</v>
      </c>
      <c r="Q814"/>
    </row>
    <row r="815" spans="1:17" ht="15.6" x14ac:dyDescent="0.3">
      <c r="A815" s="15">
        <v>10190</v>
      </c>
      <c r="B815" s="14">
        <v>37944</v>
      </c>
      <c r="C815" s="14" t="s">
        <v>279</v>
      </c>
      <c r="D815" s="15" t="s">
        <v>41</v>
      </c>
      <c r="E815" s="15" t="s">
        <v>42</v>
      </c>
      <c r="F815" s="15" t="s">
        <v>43</v>
      </c>
      <c r="G815" s="15" t="s">
        <v>25</v>
      </c>
      <c r="H815" s="15" t="s">
        <v>68</v>
      </c>
      <c r="I815" s="15" t="s">
        <v>70</v>
      </c>
      <c r="J815" s="15" t="s">
        <v>267</v>
      </c>
      <c r="K815" s="15">
        <v>46</v>
      </c>
      <c r="L815" s="16">
        <v>50</v>
      </c>
      <c r="M815" s="17">
        <v>2300</v>
      </c>
      <c r="N815" s="15" t="s">
        <v>367</v>
      </c>
      <c r="O815" s="15" t="s">
        <v>19</v>
      </c>
      <c r="Q815"/>
    </row>
    <row r="816" spans="1:17" ht="15.6" x14ac:dyDescent="0.3">
      <c r="A816" s="11">
        <v>10190</v>
      </c>
      <c r="B816" s="10">
        <v>37944</v>
      </c>
      <c r="C816" s="10" t="s">
        <v>279</v>
      </c>
      <c r="D816" s="11" t="s">
        <v>41</v>
      </c>
      <c r="E816" s="11" t="s">
        <v>42</v>
      </c>
      <c r="F816" s="11" t="s">
        <v>43</v>
      </c>
      <c r="G816" s="11" t="s">
        <v>25</v>
      </c>
      <c r="H816" s="11" t="s">
        <v>68</v>
      </c>
      <c r="I816" s="11" t="s">
        <v>69</v>
      </c>
      <c r="J816" s="11" t="s">
        <v>266</v>
      </c>
      <c r="K816" s="11">
        <v>42</v>
      </c>
      <c r="L816" s="12">
        <v>25</v>
      </c>
      <c r="M816" s="13">
        <v>1050</v>
      </c>
      <c r="N816" s="11" t="s">
        <v>367</v>
      </c>
      <c r="O816" s="11" t="s">
        <v>19</v>
      </c>
      <c r="Q816"/>
    </row>
    <row r="817" spans="1:17" ht="15.6" x14ac:dyDescent="0.3">
      <c r="A817" s="15">
        <v>10190</v>
      </c>
      <c r="B817" s="14">
        <v>37944</v>
      </c>
      <c r="C817" s="14" t="s">
        <v>279</v>
      </c>
      <c r="D817" s="15" t="s">
        <v>41</v>
      </c>
      <c r="E817" s="15" t="s">
        <v>42</v>
      </c>
      <c r="F817" s="15" t="s">
        <v>43</v>
      </c>
      <c r="G817" s="15" t="s">
        <v>25</v>
      </c>
      <c r="H817" s="15" t="s">
        <v>68</v>
      </c>
      <c r="I817" s="15" t="s">
        <v>69</v>
      </c>
      <c r="J817" s="15" t="s">
        <v>266</v>
      </c>
      <c r="K817" s="15">
        <v>40</v>
      </c>
      <c r="L817" s="16">
        <v>25</v>
      </c>
      <c r="M817" s="17">
        <v>1000</v>
      </c>
      <c r="N817" s="15" t="s">
        <v>367</v>
      </c>
      <c r="O817" s="15" t="s">
        <v>19</v>
      </c>
      <c r="Q817"/>
    </row>
    <row r="818" spans="1:17" ht="15.6" x14ac:dyDescent="0.3">
      <c r="A818" s="11">
        <v>10191</v>
      </c>
      <c r="B818" s="10">
        <v>37945</v>
      </c>
      <c r="C818" s="10" t="s">
        <v>336</v>
      </c>
      <c r="D818" s="11" t="s">
        <v>183</v>
      </c>
      <c r="E818" s="11" t="s">
        <v>184</v>
      </c>
      <c r="F818" s="11" t="s">
        <v>24</v>
      </c>
      <c r="G818" s="11" t="s">
        <v>25</v>
      </c>
      <c r="H818" s="11" t="s">
        <v>32</v>
      </c>
      <c r="I818" s="11" t="s">
        <v>33</v>
      </c>
      <c r="J818" s="11" t="s">
        <v>245</v>
      </c>
      <c r="K818" s="11">
        <v>21</v>
      </c>
      <c r="L818" s="12">
        <v>85</v>
      </c>
      <c r="M818" s="13">
        <v>1785</v>
      </c>
      <c r="N818" s="11" t="s">
        <v>367</v>
      </c>
      <c r="O818" s="11" t="s">
        <v>19</v>
      </c>
      <c r="Q818"/>
    </row>
    <row r="819" spans="1:17" ht="15.6" x14ac:dyDescent="0.3">
      <c r="A819" s="15">
        <v>10191</v>
      </c>
      <c r="B819" s="14">
        <v>37945</v>
      </c>
      <c r="C819" s="14" t="s">
        <v>336</v>
      </c>
      <c r="D819" s="15" t="s">
        <v>183</v>
      </c>
      <c r="E819" s="15" t="s">
        <v>184</v>
      </c>
      <c r="F819" s="15" t="s">
        <v>24</v>
      </c>
      <c r="G819" s="15" t="s">
        <v>25</v>
      </c>
      <c r="H819" s="15" t="s">
        <v>32</v>
      </c>
      <c r="I819" s="15" t="s">
        <v>44</v>
      </c>
      <c r="J819" s="15" t="s">
        <v>252</v>
      </c>
      <c r="K819" s="15">
        <v>40</v>
      </c>
      <c r="L819" s="16">
        <v>55</v>
      </c>
      <c r="M819" s="17">
        <v>2200</v>
      </c>
      <c r="N819" s="15" t="s">
        <v>367</v>
      </c>
      <c r="O819" s="15" t="s">
        <v>19</v>
      </c>
      <c r="Q819"/>
    </row>
    <row r="820" spans="1:17" ht="15.6" x14ac:dyDescent="0.3">
      <c r="A820" s="11">
        <v>10191</v>
      </c>
      <c r="B820" s="10">
        <v>37945</v>
      </c>
      <c r="C820" s="10" t="s">
        <v>336</v>
      </c>
      <c r="D820" s="11" t="s">
        <v>183</v>
      </c>
      <c r="E820" s="11" t="s">
        <v>184</v>
      </c>
      <c r="F820" s="11" t="s">
        <v>24</v>
      </c>
      <c r="G820" s="11" t="s">
        <v>25</v>
      </c>
      <c r="H820" s="11" t="s">
        <v>32</v>
      </c>
      <c r="I820" s="11" t="s">
        <v>33</v>
      </c>
      <c r="J820" s="11" t="s">
        <v>245</v>
      </c>
      <c r="K820" s="11">
        <v>30</v>
      </c>
      <c r="L820" s="12">
        <v>85</v>
      </c>
      <c r="M820" s="13">
        <v>2550</v>
      </c>
      <c r="N820" s="11" t="s">
        <v>367</v>
      </c>
      <c r="O820" s="11" t="s">
        <v>19</v>
      </c>
      <c r="Q820"/>
    </row>
    <row r="821" spans="1:17" ht="15.6" x14ac:dyDescent="0.3">
      <c r="A821" s="15">
        <v>10192</v>
      </c>
      <c r="B821" s="14">
        <v>37945</v>
      </c>
      <c r="C821" s="14" t="s">
        <v>275</v>
      </c>
      <c r="D821" s="15" t="s">
        <v>13</v>
      </c>
      <c r="E821" s="15" t="s">
        <v>14</v>
      </c>
      <c r="F821" s="15" t="s">
        <v>15</v>
      </c>
      <c r="G821" s="15" t="s">
        <v>16</v>
      </c>
      <c r="H821" s="15" t="s">
        <v>32</v>
      </c>
      <c r="I821" s="15" t="s">
        <v>34</v>
      </c>
      <c r="J821" s="15" t="s">
        <v>246</v>
      </c>
      <c r="K821" s="15">
        <v>27</v>
      </c>
      <c r="L821" s="16">
        <v>80</v>
      </c>
      <c r="M821" s="17">
        <v>2160</v>
      </c>
      <c r="N821" s="15" t="s">
        <v>367</v>
      </c>
      <c r="O821" s="15" t="s">
        <v>19</v>
      </c>
      <c r="Q821"/>
    </row>
    <row r="822" spans="1:17" ht="15.6" x14ac:dyDescent="0.3">
      <c r="A822" s="11">
        <v>10192</v>
      </c>
      <c r="B822" s="10">
        <v>37945</v>
      </c>
      <c r="C822" s="10" t="s">
        <v>275</v>
      </c>
      <c r="D822" s="11" t="s">
        <v>13</v>
      </c>
      <c r="E822" s="11" t="s">
        <v>14</v>
      </c>
      <c r="F822" s="11" t="s">
        <v>15</v>
      </c>
      <c r="G822" s="11" t="s">
        <v>16</v>
      </c>
      <c r="H822" s="11" t="s">
        <v>32</v>
      </c>
      <c r="I822" s="11" t="s">
        <v>45</v>
      </c>
      <c r="J822" s="11" t="s">
        <v>253</v>
      </c>
      <c r="K822" s="11">
        <v>22</v>
      </c>
      <c r="L822" s="12">
        <v>35</v>
      </c>
      <c r="M822" s="13">
        <v>770</v>
      </c>
      <c r="N822" s="11" t="s">
        <v>367</v>
      </c>
      <c r="O822" s="11" t="s">
        <v>19</v>
      </c>
      <c r="Q822"/>
    </row>
    <row r="823" spans="1:17" ht="15.6" x14ac:dyDescent="0.3">
      <c r="A823" s="15">
        <v>10192</v>
      </c>
      <c r="B823" s="14">
        <v>37945</v>
      </c>
      <c r="C823" s="14" t="s">
        <v>275</v>
      </c>
      <c r="D823" s="15" t="s">
        <v>13</v>
      </c>
      <c r="E823" s="15" t="s">
        <v>14</v>
      </c>
      <c r="F823" s="15" t="s">
        <v>15</v>
      </c>
      <c r="G823" s="15" t="s">
        <v>16</v>
      </c>
      <c r="H823" s="15" t="s">
        <v>32</v>
      </c>
      <c r="I823" s="15" t="s">
        <v>33</v>
      </c>
      <c r="J823" s="15" t="s">
        <v>245</v>
      </c>
      <c r="K823" s="15">
        <v>29</v>
      </c>
      <c r="L823" s="16">
        <v>85</v>
      </c>
      <c r="M823" s="17">
        <v>2465</v>
      </c>
      <c r="N823" s="15" t="s">
        <v>367</v>
      </c>
      <c r="O823" s="15" t="s">
        <v>19</v>
      </c>
      <c r="Q823"/>
    </row>
    <row r="824" spans="1:17" ht="15.6" x14ac:dyDescent="0.3">
      <c r="A824" s="11">
        <v>10192</v>
      </c>
      <c r="B824" s="10">
        <v>37945</v>
      </c>
      <c r="C824" s="10" t="s">
        <v>275</v>
      </c>
      <c r="D824" s="11" t="s">
        <v>13</v>
      </c>
      <c r="E824" s="11" t="s">
        <v>14</v>
      </c>
      <c r="F824" s="11" t="s">
        <v>15</v>
      </c>
      <c r="G824" s="11" t="s">
        <v>16</v>
      </c>
      <c r="H824" s="11" t="s">
        <v>32</v>
      </c>
      <c r="I824" s="11" t="s">
        <v>46</v>
      </c>
      <c r="J824" s="11" t="s">
        <v>254</v>
      </c>
      <c r="K824" s="11">
        <v>45</v>
      </c>
      <c r="L824" s="12">
        <v>90</v>
      </c>
      <c r="M824" s="13">
        <v>4050</v>
      </c>
      <c r="N824" s="11" t="s">
        <v>367</v>
      </c>
      <c r="O824" s="11" t="s">
        <v>19</v>
      </c>
      <c r="Q824"/>
    </row>
    <row r="825" spans="1:17" ht="15.6" x14ac:dyDescent="0.3">
      <c r="A825" s="15">
        <v>10192</v>
      </c>
      <c r="B825" s="14">
        <v>37945</v>
      </c>
      <c r="C825" s="14" t="s">
        <v>275</v>
      </c>
      <c r="D825" s="15" t="s">
        <v>13</v>
      </c>
      <c r="E825" s="15" t="s">
        <v>14</v>
      </c>
      <c r="F825" s="15" t="s">
        <v>15</v>
      </c>
      <c r="G825" s="15" t="s">
        <v>16</v>
      </c>
      <c r="H825" s="15" t="s">
        <v>32</v>
      </c>
      <c r="I825" s="15" t="s">
        <v>34</v>
      </c>
      <c r="J825" s="15" t="s">
        <v>246</v>
      </c>
      <c r="K825" s="15">
        <v>47</v>
      </c>
      <c r="L825" s="16">
        <v>80</v>
      </c>
      <c r="M825" s="17">
        <v>3760</v>
      </c>
      <c r="N825" s="15" t="s">
        <v>367</v>
      </c>
      <c r="O825" s="15" t="s">
        <v>19</v>
      </c>
      <c r="Q825"/>
    </row>
    <row r="826" spans="1:17" ht="15.6" x14ac:dyDescent="0.3">
      <c r="A826" s="11">
        <v>10192</v>
      </c>
      <c r="B826" s="10">
        <v>37945</v>
      </c>
      <c r="C826" s="10" t="s">
        <v>275</v>
      </c>
      <c r="D826" s="11" t="s">
        <v>13</v>
      </c>
      <c r="E826" s="11" t="s">
        <v>14</v>
      </c>
      <c r="F826" s="11" t="s">
        <v>15</v>
      </c>
      <c r="G826" s="11" t="s">
        <v>16</v>
      </c>
      <c r="H826" s="11" t="s">
        <v>32</v>
      </c>
      <c r="I826" s="11" t="s">
        <v>45</v>
      </c>
      <c r="J826" s="11" t="s">
        <v>253</v>
      </c>
      <c r="K826" s="11">
        <v>38</v>
      </c>
      <c r="L826" s="12">
        <v>35</v>
      </c>
      <c r="M826" s="13">
        <v>1330</v>
      </c>
      <c r="N826" s="11" t="s">
        <v>367</v>
      </c>
      <c r="O826" s="11" t="s">
        <v>19</v>
      </c>
      <c r="Q826"/>
    </row>
    <row r="827" spans="1:17" ht="15.6" x14ac:dyDescent="0.3">
      <c r="A827" s="15">
        <v>10192</v>
      </c>
      <c r="B827" s="14">
        <v>37945</v>
      </c>
      <c r="C827" s="14" t="s">
        <v>275</v>
      </c>
      <c r="D827" s="15" t="s">
        <v>13</v>
      </c>
      <c r="E827" s="15" t="s">
        <v>14</v>
      </c>
      <c r="F827" s="15" t="s">
        <v>15</v>
      </c>
      <c r="G827" s="15" t="s">
        <v>16</v>
      </c>
      <c r="H827" s="15" t="s">
        <v>32</v>
      </c>
      <c r="I827" s="15" t="s">
        <v>33</v>
      </c>
      <c r="J827" s="15" t="s">
        <v>245</v>
      </c>
      <c r="K827" s="15">
        <v>26</v>
      </c>
      <c r="L827" s="16">
        <v>85</v>
      </c>
      <c r="M827" s="17">
        <v>2210</v>
      </c>
      <c r="N827" s="15" t="s">
        <v>367</v>
      </c>
      <c r="O827" s="15" t="s">
        <v>19</v>
      </c>
      <c r="Q827"/>
    </row>
    <row r="828" spans="1:17" ht="15.6" x14ac:dyDescent="0.3">
      <c r="A828" s="11">
        <v>10191</v>
      </c>
      <c r="B828" s="10">
        <v>37945</v>
      </c>
      <c r="C828" s="10" t="s">
        <v>336</v>
      </c>
      <c r="D828" s="11" t="s">
        <v>183</v>
      </c>
      <c r="E828" s="11" t="s">
        <v>184</v>
      </c>
      <c r="F828" s="11" t="s">
        <v>24</v>
      </c>
      <c r="G828" s="11" t="s">
        <v>25</v>
      </c>
      <c r="H828" s="11" t="s">
        <v>32</v>
      </c>
      <c r="I828" s="11" t="s">
        <v>44</v>
      </c>
      <c r="J828" s="11" t="s">
        <v>252</v>
      </c>
      <c r="K828" s="11">
        <v>36</v>
      </c>
      <c r="L828" s="12">
        <v>55</v>
      </c>
      <c r="M828" s="13">
        <v>1980</v>
      </c>
      <c r="N828" s="11" t="s">
        <v>367</v>
      </c>
      <c r="O828" s="11" t="s">
        <v>19</v>
      </c>
      <c r="Q828"/>
    </row>
    <row r="829" spans="1:17" ht="15.6" x14ac:dyDescent="0.3">
      <c r="A829" s="15">
        <v>10191</v>
      </c>
      <c r="B829" s="14">
        <v>37945</v>
      </c>
      <c r="C829" s="14" t="s">
        <v>336</v>
      </c>
      <c r="D829" s="15" t="s">
        <v>183</v>
      </c>
      <c r="E829" s="15" t="s">
        <v>184</v>
      </c>
      <c r="F829" s="15" t="s">
        <v>24</v>
      </c>
      <c r="G829" s="15" t="s">
        <v>25</v>
      </c>
      <c r="H829" s="15" t="s">
        <v>32</v>
      </c>
      <c r="I829" s="15" t="s">
        <v>44</v>
      </c>
      <c r="J829" s="15" t="s">
        <v>252</v>
      </c>
      <c r="K829" s="15">
        <v>23</v>
      </c>
      <c r="L829" s="16">
        <v>55</v>
      </c>
      <c r="M829" s="17">
        <v>1265</v>
      </c>
      <c r="N829" s="15" t="s">
        <v>367</v>
      </c>
      <c r="O829" s="15" t="s">
        <v>19</v>
      </c>
      <c r="Q829"/>
    </row>
    <row r="830" spans="1:17" ht="15.6" x14ac:dyDescent="0.3">
      <c r="A830" s="11">
        <v>10192</v>
      </c>
      <c r="B830" s="10">
        <v>37945</v>
      </c>
      <c r="C830" s="10" t="s">
        <v>275</v>
      </c>
      <c r="D830" s="11" t="s">
        <v>13</v>
      </c>
      <c r="E830" s="11" t="s">
        <v>14</v>
      </c>
      <c r="F830" s="11" t="s">
        <v>15</v>
      </c>
      <c r="G830" s="11" t="s">
        <v>16</v>
      </c>
      <c r="H830" s="11" t="s">
        <v>32</v>
      </c>
      <c r="I830" s="11" t="s">
        <v>46</v>
      </c>
      <c r="J830" s="11" t="s">
        <v>254</v>
      </c>
      <c r="K830" s="11">
        <v>45</v>
      </c>
      <c r="L830" s="12">
        <v>90</v>
      </c>
      <c r="M830" s="13">
        <v>4050</v>
      </c>
      <c r="N830" s="11" t="s">
        <v>367</v>
      </c>
      <c r="O830" s="11" t="s">
        <v>19</v>
      </c>
      <c r="Q830"/>
    </row>
    <row r="831" spans="1:17" ht="15.6" x14ac:dyDescent="0.3">
      <c r="A831" s="15">
        <v>10191</v>
      </c>
      <c r="B831" s="14">
        <v>37945</v>
      </c>
      <c r="C831" s="14" t="s">
        <v>336</v>
      </c>
      <c r="D831" s="15" t="s">
        <v>183</v>
      </c>
      <c r="E831" s="15" t="s">
        <v>184</v>
      </c>
      <c r="F831" s="15" t="s">
        <v>24</v>
      </c>
      <c r="G831" s="15" t="s">
        <v>25</v>
      </c>
      <c r="H831" s="15" t="s">
        <v>68</v>
      </c>
      <c r="I831" s="15" t="s">
        <v>76</v>
      </c>
      <c r="J831" s="15" t="s">
        <v>269</v>
      </c>
      <c r="K831" s="15">
        <v>43</v>
      </c>
      <c r="L831" s="16">
        <v>30</v>
      </c>
      <c r="M831" s="17">
        <v>1290</v>
      </c>
      <c r="N831" s="15" t="s">
        <v>367</v>
      </c>
      <c r="O831" s="15" t="s">
        <v>19</v>
      </c>
      <c r="Q831"/>
    </row>
    <row r="832" spans="1:17" ht="15.6" x14ac:dyDescent="0.3">
      <c r="A832" s="11">
        <v>10191</v>
      </c>
      <c r="B832" s="10">
        <v>37945</v>
      </c>
      <c r="C832" s="10" t="s">
        <v>336</v>
      </c>
      <c r="D832" s="11" t="s">
        <v>183</v>
      </c>
      <c r="E832" s="11" t="s">
        <v>184</v>
      </c>
      <c r="F832" s="11" t="s">
        <v>24</v>
      </c>
      <c r="G832" s="11" t="s">
        <v>25</v>
      </c>
      <c r="H832" s="11" t="s">
        <v>32</v>
      </c>
      <c r="I832" s="11" t="s">
        <v>33</v>
      </c>
      <c r="J832" s="11" t="s">
        <v>245</v>
      </c>
      <c r="K832" s="11">
        <v>32</v>
      </c>
      <c r="L832" s="12">
        <v>85</v>
      </c>
      <c r="M832" s="13">
        <v>2720</v>
      </c>
      <c r="N832" s="11" t="s">
        <v>367</v>
      </c>
      <c r="O832" s="11" t="s">
        <v>19</v>
      </c>
      <c r="Q832"/>
    </row>
    <row r="833" spans="1:17" ht="15.6" x14ac:dyDescent="0.3">
      <c r="A833" s="15">
        <v>10192</v>
      </c>
      <c r="B833" s="14">
        <v>37945</v>
      </c>
      <c r="C833" s="14" t="s">
        <v>275</v>
      </c>
      <c r="D833" s="15" t="s">
        <v>13</v>
      </c>
      <c r="E833" s="15" t="s">
        <v>14</v>
      </c>
      <c r="F833" s="15" t="s">
        <v>15</v>
      </c>
      <c r="G833" s="15" t="s">
        <v>16</v>
      </c>
      <c r="H833" s="15" t="s">
        <v>32</v>
      </c>
      <c r="I833" s="15" t="s">
        <v>46</v>
      </c>
      <c r="J833" s="15" t="s">
        <v>254</v>
      </c>
      <c r="K833" s="15">
        <v>37</v>
      </c>
      <c r="L833" s="16">
        <v>90</v>
      </c>
      <c r="M833" s="17">
        <v>3330</v>
      </c>
      <c r="N833" s="15" t="s">
        <v>367</v>
      </c>
      <c r="O833" s="15" t="s">
        <v>19</v>
      </c>
      <c r="Q833"/>
    </row>
    <row r="834" spans="1:17" ht="15.6" x14ac:dyDescent="0.3">
      <c r="A834" s="11">
        <v>10192</v>
      </c>
      <c r="B834" s="10">
        <v>37945</v>
      </c>
      <c r="C834" s="10" t="s">
        <v>275</v>
      </c>
      <c r="D834" s="11" t="s">
        <v>13</v>
      </c>
      <c r="E834" s="11" t="s">
        <v>14</v>
      </c>
      <c r="F834" s="11" t="s">
        <v>15</v>
      </c>
      <c r="G834" s="11" t="s">
        <v>16</v>
      </c>
      <c r="H834" s="11" t="s">
        <v>32</v>
      </c>
      <c r="I834" s="11" t="s">
        <v>34</v>
      </c>
      <c r="J834" s="11" t="s">
        <v>246</v>
      </c>
      <c r="K834" s="11">
        <v>47</v>
      </c>
      <c r="L834" s="12">
        <v>80</v>
      </c>
      <c r="M834" s="13">
        <v>3760</v>
      </c>
      <c r="N834" s="11" t="s">
        <v>367</v>
      </c>
      <c r="O834" s="11" t="s">
        <v>19</v>
      </c>
      <c r="Q834"/>
    </row>
    <row r="835" spans="1:17" ht="15.6" x14ac:dyDescent="0.3">
      <c r="A835" s="15">
        <v>10192</v>
      </c>
      <c r="B835" s="14">
        <v>37945</v>
      </c>
      <c r="C835" s="14" t="s">
        <v>275</v>
      </c>
      <c r="D835" s="15" t="s">
        <v>13</v>
      </c>
      <c r="E835" s="15" t="s">
        <v>14</v>
      </c>
      <c r="F835" s="15" t="s">
        <v>15</v>
      </c>
      <c r="G835" s="15" t="s">
        <v>16</v>
      </c>
      <c r="H835" s="15" t="s">
        <v>32</v>
      </c>
      <c r="I835" s="15" t="s">
        <v>46</v>
      </c>
      <c r="J835" s="15" t="s">
        <v>254</v>
      </c>
      <c r="K835" s="15">
        <v>46</v>
      </c>
      <c r="L835" s="16">
        <v>90</v>
      </c>
      <c r="M835" s="17">
        <v>4140</v>
      </c>
      <c r="N835" s="15" t="s">
        <v>367</v>
      </c>
      <c r="O835" s="15" t="s">
        <v>19</v>
      </c>
      <c r="Q835"/>
    </row>
    <row r="836" spans="1:17" ht="15.6" x14ac:dyDescent="0.3">
      <c r="A836" s="11">
        <v>10192</v>
      </c>
      <c r="B836" s="10">
        <v>37945</v>
      </c>
      <c r="C836" s="10" t="s">
        <v>275</v>
      </c>
      <c r="D836" s="11" t="s">
        <v>13</v>
      </c>
      <c r="E836" s="11" t="s">
        <v>14</v>
      </c>
      <c r="F836" s="11" t="s">
        <v>15</v>
      </c>
      <c r="G836" s="11" t="s">
        <v>16</v>
      </c>
      <c r="H836" s="11" t="s">
        <v>32</v>
      </c>
      <c r="I836" s="11" t="s">
        <v>33</v>
      </c>
      <c r="J836" s="11" t="s">
        <v>245</v>
      </c>
      <c r="K836" s="11">
        <v>23</v>
      </c>
      <c r="L836" s="12">
        <v>85</v>
      </c>
      <c r="M836" s="13">
        <v>1955</v>
      </c>
      <c r="N836" s="11" t="s">
        <v>367</v>
      </c>
      <c r="O836" s="11" t="s">
        <v>19</v>
      </c>
      <c r="Q836"/>
    </row>
    <row r="837" spans="1:17" ht="15.6" x14ac:dyDescent="0.3">
      <c r="A837" s="15">
        <v>10192</v>
      </c>
      <c r="B837" s="14">
        <v>37945</v>
      </c>
      <c r="C837" s="14" t="s">
        <v>275</v>
      </c>
      <c r="D837" s="15" t="s">
        <v>13</v>
      </c>
      <c r="E837" s="15" t="s">
        <v>14</v>
      </c>
      <c r="F837" s="15" t="s">
        <v>15</v>
      </c>
      <c r="G837" s="15" t="s">
        <v>16</v>
      </c>
      <c r="H837" s="15" t="s">
        <v>32</v>
      </c>
      <c r="I837" s="15" t="s">
        <v>46</v>
      </c>
      <c r="J837" s="15" t="s">
        <v>254</v>
      </c>
      <c r="K837" s="15">
        <v>30</v>
      </c>
      <c r="L837" s="16">
        <v>90</v>
      </c>
      <c r="M837" s="17">
        <v>2700</v>
      </c>
      <c r="N837" s="15" t="s">
        <v>367</v>
      </c>
      <c r="O837" s="15" t="s">
        <v>19</v>
      </c>
      <c r="Q837"/>
    </row>
    <row r="838" spans="1:17" ht="15.6" x14ac:dyDescent="0.3">
      <c r="A838" s="11">
        <v>10192</v>
      </c>
      <c r="B838" s="10">
        <v>37945</v>
      </c>
      <c r="C838" s="10" t="s">
        <v>275</v>
      </c>
      <c r="D838" s="11" t="s">
        <v>13</v>
      </c>
      <c r="E838" s="11" t="s">
        <v>14</v>
      </c>
      <c r="F838" s="11" t="s">
        <v>15</v>
      </c>
      <c r="G838" s="11" t="s">
        <v>16</v>
      </c>
      <c r="H838" s="11" t="s">
        <v>32</v>
      </c>
      <c r="I838" s="11" t="s">
        <v>34</v>
      </c>
      <c r="J838" s="11" t="s">
        <v>246</v>
      </c>
      <c r="K838" s="11">
        <v>32</v>
      </c>
      <c r="L838" s="12">
        <v>80</v>
      </c>
      <c r="M838" s="13">
        <v>2560</v>
      </c>
      <c r="N838" s="11" t="s">
        <v>367</v>
      </c>
      <c r="O838" s="11" t="s">
        <v>19</v>
      </c>
      <c r="Q838"/>
    </row>
    <row r="839" spans="1:17" ht="15.6" x14ac:dyDescent="0.3">
      <c r="A839" s="15">
        <v>10191</v>
      </c>
      <c r="B839" s="14">
        <v>37945</v>
      </c>
      <c r="C839" s="14" t="s">
        <v>336</v>
      </c>
      <c r="D839" s="15" t="s">
        <v>183</v>
      </c>
      <c r="E839" s="15" t="s">
        <v>184</v>
      </c>
      <c r="F839" s="15" t="s">
        <v>24</v>
      </c>
      <c r="G839" s="15" t="s">
        <v>25</v>
      </c>
      <c r="H839" s="15" t="s">
        <v>32</v>
      </c>
      <c r="I839" s="15" t="s">
        <v>46</v>
      </c>
      <c r="J839" s="15" t="s">
        <v>254</v>
      </c>
      <c r="K839" s="15">
        <v>48</v>
      </c>
      <c r="L839" s="16">
        <v>90</v>
      </c>
      <c r="M839" s="17">
        <v>4320</v>
      </c>
      <c r="N839" s="15" t="s">
        <v>367</v>
      </c>
      <c r="O839" s="15" t="s">
        <v>19</v>
      </c>
      <c r="Q839"/>
    </row>
    <row r="840" spans="1:17" ht="15.6" x14ac:dyDescent="0.3">
      <c r="A840" s="11">
        <v>10192</v>
      </c>
      <c r="B840" s="10">
        <v>37945</v>
      </c>
      <c r="C840" s="10" t="s">
        <v>275</v>
      </c>
      <c r="D840" s="11" t="s">
        <v>13</v>
      </c>
      <c r="E840" s="11" t="s">
        <v>14</v>
      </c>
      <c r="F840" s="11" t="s">
        <v>15</v>
      </c>
      <c r="G840" s="11" t="s">
        <v>16</v>
      </c>
      <c r="H840" s="11" t="s">
        <v>32</v>
      </c>
      <c r="I840" s="11" t="s">
        <v>46</v>
      </c>
      <c r="J840" s="11" t="s">
        <v>254</v>
      </c>
      <c r="K840" s="11">
        <v>46</v>
      </c>
      <c r="L840" s="12">
        <v>90</v>
      </c>
      <c r="M840" s="13">
        <v>4140</v>
      </c>
      <c r="N840" s="11" t="s">
        <v>367</v>
      </c>
      <c r="O840" s="11" t="s">
        <v>19</v>
      </c>
      <c r="Q840"/>
    </row>
    <row r="841" spans="1:17" ht="15.6" x14ac:dyDescent="0.3">
      <c r="A841" s="15">
        <v>10192</v>
      </c>
      <c r="B841" s="14">
        <v>37945</v>
      </c>
      <c r="C841" s="14" t="s">
        <v>275</v>
      </c>
      <c r="D841" s="15" t="s">
        <v>13</v>
      </c>
      <c r="E841" s="15" t="s">
        <v>14</v>
      </c>
      <c r="F841" s="15" t="s">
        <v>15</v>
      </c>
      <c r="G841" s="15" t="s">
        <v>16</v>
      </c>
      <c r="H841" s="15" t="s">
        <v>32</v>
      </c>
      <c r="I841" s="15" t="s">
        <v>33</v>
      </c>
      <c r="J841" s="15" t="s">
        <v>245</v>
      </c>
      <c r="K841" s="15">
        <v>45</v>
      </c>
      <c r="L841" s="16">
        <v>85</v>
      </c>
      <c r="M841" s="17">
        <v>3825</v>
      </c>
      <c r="N841" s="15" t="s">
        <v>367</v>
      </c>
      <c r="O841" s="15" t="s">
        <v>19</v>
      </c>
      <c r="Q841"/>
    </row>
    <row r="842" spans="1:17" ht="15.6" x14ac:dyDescent="0.3">
      <c r="A842" s="11">
        <v>10191</v>
      </c>
      <c r="B842" s="10">
        <v>37945</v>
      </c>
      <c r="C842" s="10" t="s">
        <v>336</v>
      </c>
      <c r="D842" s="11" t="s">
        <v>183</v>
      </c>
      <c r="E842" s="11" t="s">
        <v>184</v>
      </c>
      <c r="F842" s="11" t="s">
        <v>24</v>
      </c>
      <c r="G842" s="11" t="s">
        <v>25</v>
      </c>
      <c r="H842" s="11" t="s">
        <v>32</v>
      </c>
      <c r="I842" s="11" t="s">
        <v>45</v>
      </c>
      <c r="J842" s="11" t="s">
        <v>253</v>
      </c>
      <c r="K842" s="11">
        <v>44</v>
      </c>
      <c r="L842" s="12">
        <v>35</v>
      </c>
      <c r="M842" s="13">
        <v>1540</v>
      </c>
      <c r="N842" s="11" t="s">
        <v>367</v>
      </c>
      <c r="O842" s="11" t="s">
        <v>19</v>
      </c>
      <c r="Q842"/>
    </row>
    <row r="843" spans="1:17" ht="15.6" x14ac:dyDescent="0.3">
      <c r="A843" s="15">
        <v>10193</v>
      </c>
      <c r="B843" s="14">
        <v>37946</v>
      </c>
      <c r="C843" s="14" t="s">
        <v>337</v>
      </c>
      <c r="D843" s="15" t="s">
        <v>185</v>
      </c>
      <c r="E843" s="15" t="s">
        <v>186</v>
      </c>
      <c r="F843" s="15" t="s">
        <v>106</v>
      </c>
      <c r="G843" s="15" t="s">
        <v>107</v>
      </c>
      <c r="H843" s="15" t="s">
        <v>17</v>
      </c>
      <c r="I843" s="15" t="s">
        <v>82</v>
      </c>
      <c r="J843" s="15" t="s">
        <v>270</v>
      </c>
      <c r="K843" s="15">
        <v>28</v>
      </c>
      <c r="L843" s="16">
        <v>75</v>
      </c>
      <c r="M843" s="17">
        <v>2100</v>
      </c>
      <c r="N843" s="15" t="s">
        <v>367</v>
      </c>
      <c r="O843" s="15" t="s">
        <v>19</v>
      </c>
      <c r="Q843"/>
    </row>
    <row r="844" spans="1:17" ht="15.6" x14ac:dyDescent="0.3">
      <c r="A844" s="11">
        <v>10193</v>
      </c>
      <c r="B844" s="10">
        <v>37946</v>
      </c>
      <c r="C844" s="10" t="s">
        <v>337</v>
      </c>
      <c r="D844" s="11" t="s">
        <v>185</v>
      </c>
      <c r="E844" s="11" t="s">
        <v>186</v>
      </c>
      <c r="F844" s="11" t="s">
        <v>106</v>
      </c>
      <c r="G844" s="11" t="s">
        <v>107</v>
      </c>
      <c r="H844" s="11" t="s">
        <v>17</v>
      </c>
      <c r="I844" s="11" t="s">
        <v>18</v>
      </c>
      <c r="J844" s="11" t="s">
        <v>241</v>
      </c>
      <c r="K844" s="11">
        <v>46</v>
      </c>
      <c r="L844" s="12">
        <v>30</v>
      </c>
      <c r="M844" s="13">
        <v>1380</v>
      </c>
      <c r="N844" s="11" t="s">
        <v>367</v>
      </c>
      <c r="O844" s="11" t="s">
        <v>19</v>
      </c>
      <c r="Q844"/>
    </row>
    <row r="845" spans="1:17" ht="15.6" x14ac:dyDescent="0.3">
      <c r="A845" s="15">
        <v>10193</v>
      </c>
      <c r="B845" s="14">
        <v>37946</v>
      </c>
      <c r="C845" s="14" t="s">
        <v>337</v>
      </c>
      <c r="D845" s="15" t="s">
        <v>185</v>
      </c>
      <c r="E845" s="15" t="s">
        <v>186</v>
      </c>
      <c r="F845" s="15" t="s">
        <v>106</v>
      </c>
      <c r="G845" s="15" t="s">
        <v>107</v>
      </c>
      <c r="H845" s="15" t="s">
        <v>17</v>
      </c>
      <c r="I845" s="15" t="s">
        <v>20</v>
      </c>
      <c r="J845" s="15" t="s">
        <v>242</v>
      </c>
      <c r="K845" s="15">
        <v>21</v>
      </c>
      <c r="L845" s="16">
        <v>48</v>
      </c>
      <c r="M845" s="17">
        <v>1008</v>
      </c>
      <c r="N845" s="15" t="s">
        <v>367</v>
      </c>
      <c r="O845" s="15" t="s">
        <v>19</v>
      </c>
      <c r="Q845"/>
    </row>
    <row r="846" spans="1:17" ht="15.6" x14ac:dyDescent="0.3">
      <c r="A846" s="11">
        <v>10193</v>
      </c>
      <c r="B846" s="10">
        <v>37946</v>
      </c>
      <c r="C846" s="10" t="s">
        <v>337</v>
      </c>
      <c r="D846" s="11" t="s">
        <v>185</v>
      </c>
      <c r="E846" s="11" t="s">
        <v>186</v>
      </c>
      <c r="F846" s="11" t="s">
        <v>106</v>
      </c>
      <c r="G846" s="11" t="s">
        <v>107</v>
      </c>
      <c r="H846" s="11" t="s">
        <v>17</v>
      </c>
      <c r="I846" s="11" t="s">
        <v>20</v>
      </c>
      <c r="J846" s="11" t="s">
        <v>242</v>
      </c>
      <c r="K846" s="11">
        <v>42</v>
      </c>
      <c r="L846" s="12">
        <v>48</v>
      </c>
      <c r="M846" s="13">
        <v>2016</v>
      </c>
      <c r="N846" s="11" t="s">
        <v>367</v>
      </c>
      <c r="O846" s="11" t="s">
        <v>19</v>
      </c>
      <c r="Q846"/>
    </row>
    <row r="847" spans="1:17" ht="15.6" x14ac:dyDescent="0.3">
      <c r="A847" s="15">
        <v>10193</v>
      </c>
      <c r="B847" s="14">
        <v>37946</v>
      </c>
      <c r="C847" s="14" t="s">
        <v>337</v>
      </c>
      <c r="D847" s="15" t="s">
        <v>185</v>
      </c>
      <c r="E847" s="15" t="s">
        <v>186</v>
      </c>
      <c r="F847" s="15" t="s">
        <v>106</v>
      </c>
      <c r="G847" s="15" t="s">
        <v>107</v>
      </c>
      <c r="H847" s="15" t="s">
        <v>17</v>
      </c>
      <c r="I847" s="15" t="s">
        <v>20</v>
      </c>
      <c r="J847" s="15" t="s">
        <v>242</v>
      </c>
      <c r="K847" s="15">
        <v>44</v>
      </c>
      <c r="L847" s="16">
        <v>48</v>
      </c>
      <c r="M847" s="17">
        <v>2112</v>
      </c>
      <c r="N847" s="15" t="s">
        <v>367</v>
      </c>
      <c r="O847" s="15" t="s">
        <v>19</v>
      </c>
      <c r="Q847"/>
    </row>
    <row r="848" spans="1:17" ht="15.6" x14ac:dyDescent="0.3">
      <c r="A848" s="11">
        <v>10193</v>
      </c>
      <c r="B848" s="10">
        <v>37946</v>
      </c>
      <c r="C848" s="10" t="s">
        <v>337</v>
      </c>
      <c r="D848" s="11" t="s">
        <v>185</v>
      </c>
      <c r="E848" s="11" t="s">
        <v>186</v>
      </c>
      <c r="F848" s="11" t="s">
        <v>106</v>
      </c>
      <c r="G848" s="11" t="s">
        <v>107</v>
      </c>
      <c r="H848" s="11" t="s">
        <v>17</v>
      </c>
      <c r="I848" s="11" t="s">
        <v>26</v>
      </c>
      <c r="J848" s="11" t="s">
        <v>244</v>
      </c>
      <c r="K848" s="11">
        <v>22</v>
      </c>
      <c r="L848" s="12">
        <v>60</v>
      </c>
      <c r="M848" s="13">
        <v>1320</v>
      </c>
      <c r="N848" s="11" t="s">
        <v>367</v>
      </c>
      <c r="O848" s="11" t="s">
        <v>19</v>
      </c>
      <c r="Q848"/>
    </row>
    <row r="849" spans="1:17" ht="15.6" x14ac:dyDescent="0.3">
      <c r="A849" s="15">
        <v>10193</v>
      </c>
      <c r="B849" s="14">
        <v>37946</v>
      </c>
      <c r="C849" s="14" t="s">
        <v>337</v>
      </c>
      <c r="D849" s="15" t="s">
        <v>185</v>
      </c>
      <c r="E849" s="15" t="s">
        <v>186</v>
      </c>
      <c r="F849" s="15" t="s">
        <v>106</v>
      </c>
      <c r="G849" s="15" t="s">
        <v>107</v>
      </c>
      <c r="H849" s="15" t="s">
        <v>17</v>
      </c>
      <c r="I849" s="15" t="s">
        <v>52</v>
      </c>
      <c r="J849" s="15" t="s">
        <v>256</v>
      </c>
      <c r="K849" s="15">
        <v>28</v>
      </c>
      <c r="L849" s="16">
        <v>45</v>
      </c>
      <c r="M849" s="17">
        <v>1260</v>
      </c>
      <c r="N849" s="15" t="s">
        <v>367</v>
      </c>
      <c r="O849" s="15" t="s">
        <v>19</v>
      </c>
      <c r="Q849"/>
    </row>
    <row r="850" spans="1:17" ht="15.6" x14ac:dyDescent="0.3">
      <c r="A850" s="11">
        <v>10193</v>
      </c>
      <c r="B850" s="10">
        <v>37946</v>
      </c>
      <c r="C850" s="10" t="s">
        <v>337</v>
      </c>
      <c r="D850" s="11" t="s">
        <v>185</v>
      </c>
      <c r="E850" s="11" t="s">
        <v>186</v>
      </c>
      <c r="F850" s="11" t="s">
        <v>106</v>
      </c>
      <c r="G850" s="11" t="s">
        <v>107</v>
      </c>
      <c r="H850" s="11" t="s">
        <v>17</v>
      </c>
      <c r="I850" s="11" t="s">
        <v>20</v>
      </c>
      <c r="J850" s="11" t="s">
        <v>242</v>
      </c>
      <c r="K850" s="11">
        <v>24</v>
      </c>
      <c r="L850" s="12">
        <v>48</v>
      </c>
      <c r="M850" s="13">
        <v>1152</v>
      </c>
      <c r="N850" s="11" t="s">
        <v>367</v>
      </c>
      <c r="O850" s="11" t="s">
        <v>19</v>
      </c>
      <c r="Q850"/>
    </row>
    <row r="851" spans="1:17" ht="15.6" x14ac:dyDescent="0.3">
      <c r="A851" s="15">
        <v>10193</v>
      </c>
      <c r="B851" s="14">
        <v>37946</v>
      </c>
      <c r="C851" s="14" t="s">
        <v>337</v>
      </c>
      <c r="D851" s="15" t="s">
        <v>185</v>
      </c>
      <c r="E851" s="15" t="s">
        <v>186</v>
      </c>
      <c r="F851" s="15" t="s">
        <v>106</v>
      </c>
      <c r="G851" s="15" t="s">
        <v>107</v>
      </c>
      <c r="H851" s="15" t="s">
        <v>17</v>
      </c>
      <c r="I851" s="15" t="s">
        <v>21</v>
      </c>
      <c r="J851" s="15" t="s">
        <v>243</v>
      </c>
      <c r="K851" s="15">
        <v>23</v>
      </c>
      <c r="L851" s="16">
        <v>110</v>
      </c>
      <c r="M851" s="17">
        <v>2530</v>
      </c>
      <c r="N851" s="15" t="s">
        <v>367</v>
      </c>
      <c r="O851" s="15" t="s">
        <v>19</v>
      </c>
      <c r="Q851"/>
    </row>
    <row r="852" spans="1:17" ht="15.6" x14ac:dyDescent="0.3">
      <c r="A852" s="11">
        <v>10193</v>
      </c>
      <c r="B852" s="10">
        <v>37946</v>
      </c>
      <c r="C852" s="10" t="s">
        <v>337</v>
      </c>
      <c r="D852" s="11" t="s">
        <v>185</v>
      </c>
      <c r="E852" s="11" t="s">
        <v>186</v>
      </c>
      <c r="F852" s="11" t="s">
        <v>106</v>
      </c>
      <c r="G852" s="11" t="s">
        <v>107</v>
      </c>
      <c r="H852" s="11" t="s">
        <v>17</v>
      </c>
      <c r="I852" s="11" t="s">
        <v>20</v>
      </c>
      <c r="J852" s="11" t="s">
        <v>242</v>
      </c>
      <c r="K852" s="11">
        <v>32</v>
      </c>
      <c r="L852" s="12">
        <v>48</v>
      </c>
      <c r="M852" s="13">
        <v>1536</v>
      </c>
      <c r="N852" s="11" t="s">
        <v>367</v>
      </c>
      <c r="O852" s="11" t="s">
        <v>19</v>
      </c>
      <c r="Q852"/>
    </row>
    <row r="853" spans="1:17" ht="15.6" x14ac:dyDescent="0.3">
      <c r="A853" s="15">
        <v>10193</v>
      </c>
      <c r="B853" s="14">
        <v>37946</v>
      </c>
      <c r="C853" s="14" t="s">
        <v>337</v>
      </c>
      <c r="D853" s="15" t="s">
        <v>185</v>
      </c>
      <c r="E853" s="15" t="s">
        <v>186</v>
      </c>
      <c r="F853" s="15" t="s">
        <v>106</v>
      </c>
      <c r="G853" s="15" t="s">
        <v>107</v>
      </c>
      <c r="H853" s="15" t="s">
        <v>17</v>
      </c>
      <c r="I853" s="15" t="s">
        <v>20</v>
      </c>
      <c r="J853" s="15" t="s">
        <v>242</v>
      </c>
      <c r="K853" s="15">
        <v>24</v>
      </c>
      <c r="L853" s="16">
        <v>48</v>
      </c>
      <c r="M853" s="17">
        <v>1152</v>
      </c>
      <c r="N853" s="15" t="s">
        <v>367</v>
      </c>
      <c r="O853" s="15" t="s">
        <v>19</v>
      </c>
      <c r="Q853"/>
    </row>
    <row r="854" spans="1:17" ht="15.6" x14ac:dyDescent="0.3">
      <c r="A854" s="11">
        <v>10193</v>
      </c>
      <c r="B854" s="10">
        <v>37946</v>
      </c>
      <c r="C854" s="10" t="s">
        <v>337</v>
      </c>
      <c r="D854" s="11" t="s">
        <v>185</v>
      </c>
      <c r="E854" s="11" t="s">
        <v>186</v>
      </c>
      <c r="F854" s="11" t="s">
        <v>106</v>
      </c>
      <c r="G854" s="11" t="s">
        <v>107</v>
      </c>
      <c r="H854" s="11" t="s">
        <v>32</v>
      </c>
      <c r="I854" s="11" t="s">
        <v>34</v>
      </c>
      <c r="J854" s="11" t="s">
        <v>246</v>
      </c>
      <c r="K854" s="11">
        <v>25</v>
      </c>
      <c r="L854" s="12">
        <v>80</v>
      </c>
      <c r="M854" s="13">
        <v>2000</v>
      </c>
      <c r="N854" s="11" t="s">
        <v>367</v>
      </c>
      <c r="O854" s="11" t="s">
        <v>19</v>
      </c>
      <c r="Q854"/>
    </row>
    <row r="855" spans="1:17" ht="15.6" x14ac:dyDescent="0.3">
      <c r="A855" s="15">
        <v>10193</v>
      </c>
      <c r="B855" s="14">
        <v>37946</v>
      </c>
      <c r="C855" s="14" t="s">
        <v>337</v>
      </c>
      <c r="D855" s="15" t="s">
        <v>185</v>
      </c>
      <c r="E855" s="15" t="s">
        <v>186</v>
      </c>
      <c r="F855" s="15" t="s">
        <v>106</v>
      </c>
      <c r="G855" s="15" t="s">
        <v>107</v>
      </c>
      <c r="H855" s="15" t="s">
        <v>17</v>
      </c>
      <c r="I855" s="15" t="s">
        <v>20</v>
      </c>
      <c r="J855" s="15" t="s">
        <v>242</v>
      </c>
      <c r="K855" s="15">
        <v>26</v>
      </c>
      <c r="L855" s="16">
        <v>48</v>
      </c>
      <c r="M855" s="17">
        <v>1248</v>
      </c>
      <c r="N855" s="15" t="s">
        <v>367</v>
      </c>
      <c r="O855" s="15" t="s">
        <v>19</v>
      </c>
      <c r="Q855"/>
    </row>
    <row r="856" spans="1:17" ht="15.6" x14ac:dyDescent="0.3">
      <c r="A856" s="11">
        <v>10193</v>
      </c>
      <c r="B856" s="10">
        <v>37946</v>
      </c>
      <c r="C856" s="10" t="s">
        <v>337</v>
      </c>
      <c r="D856" s="11" t="s">
        <v>185</v>
      </c>
      <c r="E856" s="11" t="s">
        <v>186</v>
      </c>
      <c r="F856" s="11" t="s">
        <v>106</v>
      </c>
      <c r="G856" s="11" t="s">
        <v>107</v>
      </c>
      <c r="H856" s="11" t="s">
        <v>17</v>
      </c>
      <c r="I856" s="11" t="s">
        <v>18</v>
      </c>
      <c r="J856" s="11" t="s">
        <v>241</v>
      </c>
      <c r="K856" s="11">
        <v>20</v>
      </c>
      <c r="L856" s="12">
        <v>30</v>
      </c>
      <c r="M856" s="13">
        <v>600</v>
      </c>
      <c r="N856" s="11" t="s">
        <v>367</v>
      </c>
      <c r="O856" s="11" t="s">
        <v>19</v>
      </c>
      <c r="Q856"/>
    </row>
    <row r="857" spans="1:17" ht="15.6" x14ac:dyDescent="0.3">
      <c r="A857" s="15">
        <v>10193</v>
      </c>
      <c r="B857" s="14">
        <v>37946</v>
      </c>
      <c r="C857" s="14" t="s">
        <v>337</v>
      </c>
      <c r="D857" s="15" t="s">
        <v>185</v>
      </c>
      <c r="E857" s="15" t="s">
        <v>186</v>
      </c>
      <c r="F857" s="15" t="s">
        <v>106</v>
      </c>
      <c r="G857" s="15" t="s">
        <v>107</v>
      </c>
      <c r="H857" s="15" t="s">
        <v>17</v>
      </c>
      <c r="I857" s="15" t="s">
        <v>18</v>
      </c>
      <c r="J857" s="15" t="s">
        <v>241</v>
      </c>
      <c r="K857" s="15">
        <v>22</v>
      </c>
      <c r="L857" s="16">
        <v>30</v>
      </c>
      <c r="M857" s="17">
        <v>660</v>
      </c>
      <c r="N857" s="15" t="s">
        <v>367</v>
      </c>
      <c r="O857" s="15" t="s">
        <v>19</v>
      </c>
      <c r="Q857"/>
    </row>
    <row r="858" spans="1:17" ht="15.6" x14ac:dyDescent="0.3">
      <c r="A858" s="11">
        <v>10193</v>
      </c>
      <c r="B858" s="10">
        <v>37946</v>
      </c>
      <c r="C858" s="10" t="s">
        <v>337</v>
      </c>
      <c r="D858" s="11" t="s">
        <v>185</v>
      </c>
      <c r="E858" s="11" t="s">
        <v>186</v>
      </c>
      <c r="F858" s="11" t="s">
        <v>106</v>
      </c>
      <c r="G858" s="11" t="s">
        <v>107</v>
      </c>
      <c r="H858" s="11" t="s">
        <v>17</v>
      </c>
      <c r="I858" s="11" t="s">
        <v>18</v>
      </c>
      <c r="J858" s="11" t="s">
        <v>241</v>
      </c>
      <c r="K858" s="11">
        <v>20</v>
      </c>
      <c r="L858" s="12">
        <v>30</v>
      </c>
      <c r="M858" s="13">
        <v>600</v>
      </c>
      <c r="N858" s="11" t="s">
        <v>367</v>
      </c>
      <c r="O858" s="11" t="s">
        <v>19</v>
      </c>
      <c r="Q858"/>
    </row>
    <row r="859" spans="1:17" ht="15.6" x14ac:dyDescent="0.3">
      <c r="A859" s="15">
        <v>10194</v>
      </c>
      <c r="B859" s="14">
        <v>37950</v>
      </c>
      <c r="C859" s="14" t="s">
        <v>338</v>
      </c>
      <c r="D859" s="15" t="s">
        <v>187</v>
      </c>
      <c r="E859" s="15" t="s">
        <v>188</v>
      </c>
      <c r="F859" s="15" t="s">
        <v>92</v>
      </c>
      <c r="G859" s="15" t="s">
        <v>25</v>
      </c>
      <c r="H859" s="15" t="s">
        <v>32</v>
      </c>
      <c r="I859" s="15" t="s">
        <v>34</v>
      </c>
      <c r="J859" s="15" t="s">
        <v>246</v>
      </c>
      <c r="K859" s="15">
        <v>42</v>
      </c>
      <c r="L859" s="16">
        <v>80</v>
      </c>
      <c r="M859" s="17">
        <v>3360</v>
      </c>
      <c r="N859" s="15" t="s">
        <v>367</v>
      </c>
      <c r="O859" s="15" t="s">
        <v>19</v>
      </c>
      <c r="Q859"/>
    </row>
    <row r="860" spans="1:17" ht="15.6" x14ac:dyDescent="0.3">
      <c r="A860" s="11">
        <v>10194</v>
      </c>
      <c r="B860" s="10">
        <v>37950</v>
      </c>
      <c r="C860" s="10" t="s">
        <v>338</v>
      </c>
      <c r="D860" s="11" t="s">
        <v>187</v>
      </c>
      <c r="E860" s="11" t="s">
        <v>188</v>
      </c>
      <c r="F860" s="11" t="s">
        <v>92</v>
      </c>
      <c r="G860" s="11" t="s">
        <v>25</v>
      </c>
      <c r="H860" s="11" t="s">
        <v>32</v>
      </c>
      <c r="I860" s="11" t="s">
        <v>44</v>
      </c>
      <c r="J860" s="11" t="s">
        <v>252</v>
      </c>
      <c r="K860" s="11">
        <v>26</v>
      </c>
      <c r="L860" s="12">
        <v>55</v>
      </c>
      <c r="M860" s="13">
        <v>1430</v>
      </c>
      <c r="N860" s="11" t="s">
        <v>367</v>
      </c>
      <c r="O860" s="11" t="s">
        <v>19</v>
      </c>
      <c r="Q860"/>
    </row>
    <row r="861" spans="1:17" ht="15.6" x14ac:dyDescent="0.3">
      <c r="A861" s="15">
        <v>10194</v>
      </c>
      <c r="B861" s="14">
        <v>37950</v>
      </c>
      <c r="C861" s="14" t="s">
        <v>338</v>
      </c>
      <c r="D861" s="15" t="s">
        <v>187</v>
      </c>
      <c r="E861" s="15" t="s">
        <v>188</v>
      </c>
      <c r="F861" s="15" t="s">
        <v>92</v>
      </c>
      <c r="G861" s="15" t="s">
        <v>25</v>
      </c>
      <c r="H861" s="15" t="s">
        <v>35</v>
      </c>
      <c r="I861" s="15" t="s">
        <v>36</v>
      </c>
      <c r="J861" s="15" t="s">
        <v>247</v>
      </c>
      <c r="K861" s="15">
        <v>38</v>
      </c>
      <c r="L861" s="16">
        <v>30</v>
      </c>
      <c r="M861" s="17">
        <v>1140</v>
      </c>
      <c r="N861" s="15" t="s">
        <v>367</v>
      </c>
      <c r="O861" s="15" t="s">
        <v>19</v>
      </c>
      <c r="Q861"/>
    </row>
    <row r="862" spans="1:17" ht="15.6" x14ac:dyDescent="0.3">
      <c r="A862" s="11">
        <v>10195</v>
      </c>
      <c r="B862" s="10">
        <v>37950</v>
      </c>
      <c r="C862" s="10" t="s">
        <v>339</v>
      </c>
      <c r="D862" s="11" t="s">
        <v>189</v>
      </c>
      <c r="E862" s="11" t="s">
        <v>190</v>
      </c>
      <c r="F862" s="11" t="s">
        <v>15</v>
      </c>
      <c r="G862" s="11" t="s">
        <v>16</v>
      </c>
      <c r="H862" s="11" t="s">
        <v>35</v>
      </c>
      <c r="I862" s="11" t="s">
        <v>39</v>
      </c>
      <c r="J862" s="11" t="s">
        <v>250</v>
      </c>
      <c r="K862" s="11">
        <v>49</v>
      </c>
      <c r="L862" s="12">
        <v>20</v>
      </c>
      <c r="M862" s="13">
        <v>980</v>
      </c>
      <c r="N862" s="11" t="s">
        <v>367</v>
      </c>
      <c r="O862" s="11" t="s">
        <v>19</v>
      </c>
      <c r="Q862"/>
    </row>
    <row r="863" spans="1:17" ht="15.6" x14ac:dyDescent="0.3">
      <c r="A863" s="15">
        <v>10194</v>
      </c>
      <c r="B863" s="14">
        <v>37950</v>
      </c>
      <c r="C863" s="14" t="s">
        <v>338</v>
      </c>
      <c r="D863" s="15" t="s">
        <v>187</v>
      </c>
      <c r="E863" s="15" t="s">
        <v>188</v>
      </c>
      <c r="F863" s="15" t="s">
        <v>92</v>
      </c>
      <c r="G863" s="15" t="s">
        <v>25</v>
      </c>
      <c r="H863" s="15" t="s">
        <v>35</v>
      </c>
      <c r="I863" s="15" t="s">
        <v>40</v>
      </c>
      <c r="J863" s="15" t="s">
        <v>251</v>
      </c>
      <c r="K863" s="15">
        <v>21</v>
      </c>
      <c r="L863" s="16">
        <v>25</v>
      </c>
      <c r="M863" s="17">
        <v>525</v>
      </c>
      <c r="N863" s="15" t="s">
        <v>367</v>
      </c>
      <c r="O863" s="15" t="s">
        <v>19</v>
      </c>
      <c r="Q863"/>
    </row>
    <row r="864" spans="1:17" ht="15.6" x14ac:dyDescent="0.3">
      <c r="A864" s="11">
        <v>10195</v>
      </c>
      <c r="B864" s="10">
        <v>37950</v>
      </c>
      <c r="C864" s="10" t="s">
        <v>339</v>
      </c>
      <c r="D864" s="11" t="s">
        <v>189</v>
      </c>
      <c r="E864" s="11" t="s">
        <v>190</v>
      </c>
      <c r="F864" s="11" t="s">
        <v>15</v>
      </c>
      <c r="G864" s="11" t="s">
        <v>16</v>
      </c>
      <c r="H864" s="11" t="s">
        <v>32</v>
      </c>
      <c r="I864" s="11" t="s">
        <v>33</v>
      </c>
      <c r="J864" s="11" t="s">
        <v>245</v>
      </c>
      <c r="K864" s="11">
        <v>27</v>
      </c>
      <c r="L864" s="12">
        <v>85</v>
      </c>
      <c r="M864" s="13">
        <v>2295</v>
      </c>
      <c r="N864" s="11" t="s">
        <v>367</v>
      </c>
      <c r="O864" s="11" t="s">
        <v>19</v>
      </c>
      <c r="Q864"/>
    </row>
    <row r="865" spans="1:17" ht="15.6" x14ac:dyDescent="0.3">
      <c r="A865" s="15">
        <v>10195</v>
      </c>
      <c r="B865" s="14">
        <v>37950</v>
      </c>
      <c r="C865" s="14" t="s">
        <v>339</v>
      </c>
      <c r="D865" s="15" t="s">
        <v>189</v>
      </c>
      <c r="E865" s="15" t="s">
        <v>190</v>
      </c>
      <c r="F865" s="15" t="s">
        <v>15</v>
      </c>
      <c r="G865" s="15" t="s">
        <v>16</v>
      </c>
      <c r="H865" s="15" t="s">
        <v>35</v>
      </c>
      <c r="I865" s="15" t="s">
        <v>39</v>
      </c>
      <c r="J865" s="15" t="s">
        <v>250</v>
      </c>
      <c r="K865" s="15">
        <v>35</v>
      </c>
      <c r="L865" s="16">
        <v>20</v>
      </c>
      <c r="M865" s="17">
        <v>700</v>
      </c>
      <c r="N865" s="15" t="s">
        <v>367</v>
      </c>
      <c r="O865" s="15" t="s">
        <v>19</v>
      </c>
      <c r="Q865"/>
    </row>
    <row r="866" spans="1:17" ht="15.6" x14ac:dyDescent="0.3">
      <c r="A866" s="11">
        <v>10194</v>
      </c>
      <c r="B866" s="10">
        <v>37950</v>
      </c>
      <c r="C866" s="10" t="s">
        <v>338</v>
      </c>
      <c r="D866" s="11" t="s">
        <v>187</v>
      </c>
      <c r="E866" s="11" t="s">
        <v>188</v>
      </c>
      <c r="F866" s="11" t="s">
        <v>92</v>
      </c>
      <c r="G866" s="11" t="s">
        <v>25</v>
      </c>
      <c r="H866" s="11" t="s">
        <v>35</v>
      </c>
      <c r="I866" s="11" t="s">
        <v>37</v>
      </c>
      <c r="J866" s="11" t="s">
        <v>248</v>
      </c>
      <c r="K866" s="11">
        <v>45</v>
      </c>
      <c r="L866" s="12">
        <v>30</v>
      </c>
      <c r="M866" s="13">
        <v>1350</v>
      </c>
      <c r="N866" s="11" t="s">
        <v>367</v>
      </c>
      <c r="O866" s="11" t="s">
        <v>19</v>
      </c>
      <c r="Q866"/>
    </row>
    <row r="867" spans="1:17" ht="15.6" x14ac:dyDescent="0.3">
      <c r="A867" s="15">
        <v>10195</v>
      </c>
      <c r="B867" s="14">
        <v>37950</v>
      </c>
      <c r="C867" s="14" t="s">
        <v>339</v>
      </c>
      <c r="D867" s="15" t="s">
        <v>189</v>
      </c>
      <c r="E867" s="15" t="s">
        <v>190</v>
      </c>
      <c r="F867" s="15" t="s">
        <v>15</v>
      </c>
      <c r="G867" s="15" t="s">
        <v>16</v>
      </c>
      <c r="H867" s="15" t="s">
        <v>32</v>
      </c>
      <c r="I867" s="15" t="s">
        <v>46</v>
      </c>
      <c r="J867" s="15" t="s">
        <v>254</v>
      </c>
      <c r="K867" s="15">
        <v>50</v>
      </c>
      <c r="L867" s="16">
        <v>90</v>
      </c>
      <c r="M867" s="17">
        <v>4500</v>
      </c>
      <c r="N867" s="15" t="s">
        <v>368</v>
      </c>
      <c r="O867" s="15" t="s">
        <v>19</v>
      </c>
      <c r="Q867"/>
    </row>
    <row r="868" spans="1:17" ht="15.6" x14ac:dyDescent="0.3">
      <c r="A868" s="11">
        <v>10194</v>
      </c>
      <c r="B868" s="10">
        <v>37950</v>
      </c>
      <c r="C868" s="10" t="s">
        <v>338</v>
      </c>
      <c r="D868" s="11" t="s">
        <v>187</v>
      </c>
      <c r="E868" s="11" t="s">
        <v>188</v>
      </c>
      <c r="F868" s="11" t="s">
        <v>92</v>
      </c>
      <c r="G868" s="11" t="s">
        <v>25</v>
      </c>
      <c r="H868" s="11" t="s">
        <v>35</v>
      </c>
      <c r="I868" s="11" t="s">
        <v>38</v>
      </c>
      <c r="J868" s="11" t="s">
        <v>249</v>
      </c>
      <c r="K868" s="11">
        <v>32</v>
      </c>
      <c r="L868" s="12">
        <v>20</v>
      </c>
      <c r="M868" s="13">
        <v>640</v>
      </c>
      <c r="N868" s="11" t="s">
        <v>367</v>
      </c>
      <c r="O868" s="11" t="s">
        <v>19</v>
      </c>
      <c r="Q868"/>
    </row>
    <row r="869" spans="1:17" ht="15.6" x14ac:dyDescent="0.3">
      <c r="A869" s="15">
        <v>10194</v>
      </c>
      <c r="B869" s="14">
        <v>37950</v>
      </c>
      <c r="C869" s="14" t="s">
        <v>338</v>
      </c>
      <c r="D869" s="15" t="s">
        <v>187</v>
      </c>
      <c r="E869" s="15" t="s">
        <v>188</v>
      </c>
      <c r="F869" s="15" t="s">
        <v>92</v>
      </c>
      <c r="G869" s="15" t="s">
        <v>25</v>
      </c>
      <c r="H869" s="15" t="s">
        <v>17</v>
      </c>
      <c r="I869" s="15" t="s">
        <v>18</v>
      </c>
      <c r="J869" s="15" t="s">
        <v>241</v>
      </c>
      <c r="K869" s="15">
        <v>41</v>
      </c>
      <c r="L869" s="16">
        <v>30</v>
      </c>
      <c r="M869" s="17">
        <v>1230</v>
      </c>
      <c r="N869" s="15" t="s">
        <v>367</v>
      </c>
      <c r="O869" s="15" t="s">
        <v>19</v>
      </c>
      <c r="Q869"/>
    </row>
    <row r="870" spans="1:17" ht="15.6" x14ac:dyDescent="0.3">
      <c r="A870" s="11">
        <v>10195</v>
      </c>
      <c r="B870" s="10">
        <v>37950</v>
      </c>
      <c r="C870" s="10" t="s">
        <v>339</v>
      </c>
      <c r="D870" s="11" t="s">
        <v>189</v>
      </c>
      <c r="E870" s="11" t="s">
        <v>190</v>
      </c>
      <c r="F870" s="11" t="s">
        <v>15</v>
      </c>
      <c r="G870" s="11" t="s">
        <v>16</v>
      </c>
      <c r="H870" s="11" t="s">
        <v>32</v>
      </c>
      <c r="I870" s="11" t="s">
        <v>46</v>
      </c>
      <c r="J870" s="11" t="s">
        <v>254</v>
      </c>
      <c r="K870" s="11">
        <v>44</v>
      </c>
      <c r="L870" s="12">
        <v>90</v>
      </c>
      <c r="M870" s="13">
        <v>3960</v>
      </c>
      <c r="N870" s="11" t="s">
        <v>367</v>
      </c>
      <c r="O870" s="11" t="s">
        <v>19</v>
      </c>
      <c r="Q870"/>
    </row>
    <row r="871" spans="1:17" ht="15.6" x14ac:dyDescent="0.3">
      <c r="A871" s="15">
        <v>10194</v>
      </c>
      <c r="B871" s="14">
        <v>37950</v>
      </c>
      <c r="C871" s="14" t="s">
        <v>338</v>
      </c>
      <c r="D871" s="15" t="s">
        <v>187</v>
      </c>
      <c r="E871" s="15" t="s">
        <v>188</v>
      </c>
      <c r="F871" s="15" t="s">
        <v>92</v>
      </c>
      <c r="G871" s="15" t="s">
        <v>25</v>
      </c>
      <c r="H871" s="15" t="s">
        <v>35</v>
      </c>
      <c r="I871" s="15" t="s">
        <v>37</v>
      </c>
      <c r="J871" s="15" t="s">
        <v>248</v>
      </c>
      <c r="K871" s="15">
        <v>49</v>
      </c>
      <c r="L871" s="16">
        <v>30</v>
      </c>
      <c r="M871" s="17">
        <v>1470</v>
      </c>
      <c r="N871" s="15" t="s">
        <v>367</v>
      </c>
      <c r="O871" s="15" t="s">
        <v>19</v>
      </c>
      <c r="Q871"/>
    </row>
    <row r="872" spans="1:17" ht="15.6" x14ac:dyDescent="0.3">
      <c r="A872" s="11">
        <v>10195</v>
      </c>
      <c r="B872" s="10">
        <v>37950</v>
      </c>
      <c r="C872" s="10" t="s">
        <v>339</v>
      </c>
      <c r="D872" s="11" t="s">
        <v>189</v>
      </c>
      <c r="E872" s="11" t="s">
        <v>190</v>
      </c>
      <c r="F872" s="11" t="s">
        <v>15</v>
      </c>
      <c r="G872" s="11" t="s">
        <v>16</v>
      </c>
      <c r="H872" s="11" t="s">
        <v>32</v>
      </c>
      <c r="I872" s="11" t="s">
        <v>34</v>
      </c>
      <c r="J872" s="11" t="s">
        <v>246</v>
      </c>
      <c r="K872" s="11">
        <v>32</v>
      </c>
      <c r="L872" s="12">
        <v>80</v>
      </c>
      <c r="M872" s="13">
        <v>2560</v>
      </c>
      <c r="N872" s="11" t="s">
        <v>367</v>
      </c>
      <c r="O872" s="11" t="s">
        <v>19</v>
      </c>
      <c r="Q872"/>
    </row>
    <row r="873" spans="1:17" ht="15.6" x14ac:dyDescent="0.3">
      <c r="A873" s="15">
        <v>10195</v>
      </c>
      <c r="B873" s="14">
        <v>37950</v>
      </c>
      <c r="C873" s="14" t="s">
        <v>339</v>
      </c>
      <c r="D873" s="15" t="s">
        <v>189</v>
      </c>
      <c r="E873" s="15" t="s">
        <v>190</v>
      </c>
      <c r="F873" s="15" t="s">
        <v>15</v>
      </c>
      <c r="G873" s="15" t="s">
        <v>16</v>
      </c>
      <c r="H873" s="15" t="s">
        <v>32</v>
      </c>
      <c r="I873" s="15" t="s">
        <v>34</v>
      </c>
      <c r="J873" s="15" t="s">
        <v>246</v>
      </c>
      <c r="K873" s="15">
        <v>34</v>
      </c>
      <c r="L873" s="16">
        <v>80</v>
      </c>
      <c r="M873" s="17">
        <v>2720</v>
      </c>
      <c r="N873" s="15" t="s">
        <v>367</v>
      </c>
      <c r="O873" s="15" t="s">
        <v>19</v>
      </c>
      <c r="Q873"/>
    </row>
    <row r="874" spans="1:17" ht="15.6" x14ac:dyDescent="0.3">
      <c r="A874" s="11">
        <v>10194</v>
      </c>
      <c r="B874" s="10">
        <v>37950</v>
      </c>
      <c r="C874" s="10" t="s">
        <v>338</v>
      </c>
      <c r="D874" s="11" t="s">
        <v>187</v>
      </c>
      <c r="E874" s="11" t="s">
        <v>188</v>
      </c>
      <c r="F874" s="11" t="s">
        <v>92</v>
      </c>
      <c r="G874" s="11" t="s">
        <v>25</v>
      </c>
      <c r="H874" s="11" t="s">
        <v>35</v>
      </c>
      <c r="I874" s="11" t="s">
        <v>40</v>
      </c>
      <c r="J874" s="11" t="s">
        <v>251</v>
      </c>
      <c r="K874" s="11">
        <v>37</v>
      </c>
      <c r="L874" s="12">
        <v>25</v>
      </c>
      <c r="M874" s="13">
        <v>925</v>
      </c>
      <c r="N874" s="11" t="s">
        <v>367</v>
      </c>
      <c r="O874" s="11" t="s">
        <v>19</v>
      </c>
      <c r="Q874"/>
    </row>
    <row r="875" spans="1:17" ht="15.6" x14ac:dyDescent="0.3">
      <c r="A875" s="15">
        <v>10195</v>
      </c>
      <c r="B875" s="14">
        <v>37950</v>
      </c>
      <c r="C875" s="14" t="s">
        <v>339</v>
      </c>
      <c r="D875" s="15" t="s">
        <v>189</v>
      </c>
      <c r="E875" s="15" t="s">
        <v>190</v>
      </c>
      <c r="F875" s="15" t="s">
        <v>15</v>
      </c>
      <c r="G875" s="15" t="s">
        <v>16</v>
      </c>
      <c r="H875" s="15" t="s">
        <v>35</v>
      </c>
      <c r="I875" s="15" t="s">
        <v>38</v>
      </c>
      <c r="J875" s="15" t="s">
        <v>249</v>
      </c>
      <c r="K875" s="15">
        <v>32</v>
      </c>
      <c r="L875" s="16">
        <v>20</v>
      </c>
      <c r="M875" s="17">
        <v>640</v>
      </c>
      <c r="N875" s="15" t="s">
        <v>367</v>
      </c>
      <c r="O875" s="15" t="s">
        <v>19</v>
      </c>
      <c r="Q875"/>
    </row>
    <row r="876" spans="1:17" ht="15.6" x14ac:dyDescent="0.3">
      <c r="A876" s="11">
        <v>10195</v>
      </c>
      <c r="B876" s="10">
        <v>37950</v>
      </c>
      <c r="C876" s="10" t="s">
        <v>339</v>
      </c>
      <c r="D876" s="11" t="s">
        <v>189</v>
      </c>
      <c r="E876" s="11" t="s">
        <v>190</v>
      </c>
      <c r="F876" s="11" t="s">
        <v>15</v>
      </c>
      <c r="G876" s="11" t="s">
        <v>16</v>
      </c>
      <c r="H876" s="11" t="s">
        <v>47</v>
      </c>
      <c r="I876" s="11" t="s">
        <v>48</v>
      </c>
      <c r="J876" s="11" t="s">
        <v>255</v>
      </c>
      <c r="K876" s="11">
        <v>33</v>
      </c>
      <c r="L876" s="12">
        <v>70</v>
      </c>
      <c r="M876" s="13">
        <v>2310</v>
      </c>
      <c r="N876" s="11" t="s">
        <v>367</v>
      </c>
      <c r="O876" s="11" t="s">
        <v>19</v>
      </c>
      <c r="Q876"/>
    </row>
    <row r="877" spans="1:17" ht="15.6" x14ac:dyDescent="0.3">
      <c r="A877" s="15">
        <v>10194</v>
      </c>
      <c r="B877" s="14">
        <v>37950</v>
      </c>
      <c r="C877" s="14" t="s">
        <v>338</v>
      </c>
      <c r="D877" s="15" t="s">
        <v>187</v>
      </c>
      <c r="E877" s="15" t="s">
        <v>188</v>
      </c>
      <c r="F877" s="15" t="s">
        <v>92</v>
      </c>
      <c r="G877" s="15" t="s">
        <v>25</v>
      </c>
      <c r="H877" s="15" t="s">
        <v>35</v>
      </c>
      <c r="I877" s="15" t="s">
        <v>39</v>
      </c>
      <c r="J877" s="15" t="s">
        <v>250</v>
      </c>
      <c r="K877" s="15">
        <v>39</v>
      </c>
      <c r="L877" s="16">
        <v>20</v>
      </c>
      <c r="M877" s="17">
        <v>780</v>
      </c>
      <c r="N877" s="15" t="s">
        <v>367</v>
      </c>
      <c r="O877" s="15" t="s">
        <v>19</v>
      </c>
      <c r="Q877"/>
    </row>
    <row r="878" spans="1:17" ht="15.6" x14ac:dyDescent="0.3">
      <c r="A878" s="11">
        <v>10195</v>
      </c>
      <c r="B878" s="10">
        <v>37950</v>
      </c>
      <c r="C878" s="10" t="s">
        <v>339</v>
      </c>
      <c r="D878" s="11" t="s">
        <v>189</v>
      </c>
      <c r="E878" s="11" t="s">
        <v>190</v>
      </c>
      <c r="F878" s="11" t="s">
        <v>15</v>
      </c>
      <c r="G878" s="11" t="s">
        <v>16</v>
      </c>
      <c r="H878" s="11" t="s">
        <v>35</v>
      </c>
      <c r="I878" s="11" t="s">
        <v>39</v>
      </c>
      <c r="J878" s="11" t="s">
        <v>250</v>
      </c>
      <c r="K878" s="11">
        <v>49</v>
      </c>
      <c r="L878" s="12">
        <v>20</v>
      </c>
      <c r="M878" s="13">
        <v>980</v>
      </c>
      <c r="N878" s="11" t="s">
        <v>367</v>
      </c>
      <c r="O878" s="11" t="s">
        <v>19</v>
      </c>
      <c r="Q878"/>
    </row>
    <row r="879" spans="1:17" ht="15.6" x14ac:dyDescent="0.3">
      <c r="A879" s="15">
        <v>10194</v>
      </c>
      <c r="B879" s="14">
        <v>37950</v>
      </c>
      <c r="C879" s="14" t="s">
        <v>338</v>
      </c>
      <c r="D879" s="15" t="s">
        <v>187</v>
      </c>
      <c r="E879" s="15" t="s">
        <v>188</v>
      </c>
      <c r="F879" s="15" t="s">
        <v>92</v>
      </c>
      <c r="G879" s="15" t="s">
        <v>25</v>
      </c>
      <c r="H879" s="15" t="s">
        <v>32</v>
      </c>
      <c r="I879" s="15" t="s">
        <v>33</v>
      </c>
      <c r="J879" s="15" t="s">
        <v>245</v>
      </c>
      <c r="K879" s="15">
        <v>26</v>
      </c>
      <c r="L879" s="16">
        <v>85</v>
      </c>
      <c r="M879" s="17">
        <v>2210</v>
      </c>
      <c r="N879" s="15" t="s">
        <v>367</v>
      </c>
      <c r="O879" s="15" t="s">
        <v>19</v>
      </c>
      <c r="Q879"/>
    </row>
    <row r="880" spans="1:17" ht="15.6" x14ac:dyDescent="0.3">
      <c r="A880" s="11">
        <v>10197</v>
      </c>
      <c r="B880" s="10">
        <v>37951</v>
      </c>
      <c r="C880" s="10" t="s">
        <v>293</v>
      </c>
      <c r="D880" s="11" t="s">
        <v>99</v>
      </c>
      <c r="E880" s="11" t="s">
        <v>100</v>
      </c>
      <c r="F880" s="11" t="s">
        <v>43</v>
      </c>
      <c r="G880" s="11" t="s">
        <v>25</v>
      </c>
      <c r="H880" s="11" t="s">
        <v>32</v>
      </c>
      <c r="I880" s="11" t="s">
        <v>45</v>
      </c>
      <c r="J880" s="11" t="s">
        <v>253</v>
      </c>
      <c r="K880" s="11">
        <v>45</v>
      </c>
      <c r="L880" s="12">
        <v>35</v>
      </c>
      <c r="M880" s="13">
        <v>1575</v>
      </c>
      <c r="N880" s="11" t="s">
        <v>367</v>
      </c>
      <c r="O880" s="11" t="s">
        <v>19</v>
      </c>
      <c r="Q880"/>
    </row>
    <row r="881" spans="1:17" ht="15.6" x14ac:dyDescent="0.3">
      <c r="A881" s="15">
        <v>10196</v>
      </c>
      <c r="B881" s="14">
        <v>37951</v>
      </c>
      <c r="C881" s="14" t="s">
        <v>340</v>
      </c>
      <c r="D881" s="15" t="s">
        <v>191</v>
      </c>
      <c r="E881" s="15" t="s">
        <v>192</v>
      </c>
      <c r="F881" s="15" t="s">
        <v>15</v>
      </c>
      <c r="G881" s="15" t="s">
        <v>16</v>
      </c>
      <c r="H881" s="15" t="s">
        <v>32</v>
      </c>
      <c r="I881" s="15" t="s">
        <v>46</v>
      </c>
      <c r="J881" s="15" t="s">
        <v>254</v>
      </c>
      <c r="K881" s="15">
        <v>47</v>
      </c>
      <c r="L881" s="16">
        <v>90</v>
      </c>
      <c r="M881" s="17">
        <v>4230</v>
      </c>
      <c r="N881" s="15" t="s">
        <v>367</v>
      </c>
      <c r="O881" s="15" t="s">
        <v>19</v>
      </c>
      <c r="Q881"/>
    </row>
    <row r="882" spans="1:17" ht="15.6" x14ac:dyDescent="0.3">
      <c r="A882" s="11">
        <v>10196</v>
      </c>
      <c r="B882" s="10">
        <v>37951</v>
      </c>
      <c r="C882" s="10" t="s">
        <v>340</v>
      </c>
      <c r="D882" s="11" t="s">
        <v>191</v>
      </c>
      <c r="E882" s="11" t="s">
        <v>192</v>
      </c>
      <c r="F882" s="11" t="s">
        <v>15</v>
      </c>
      <c r="G882" s="11" t="s">
        <v>16</v>
      </c>
      <c r="H882" s="11" t="s">
        <v>32</v>
      </c>
      <c r="I882" s="11" t="s">
        <v>33</v>
      </c>
      <c r="J882" s="11" t="s">
        <v>245</v>
      </c>
      <c r="K882" s="11">
        <v>24</v>
      </c>
      <c r="L882" s="12">
        <v>85</v>
      </c>
      <c r="M882" s="13">
        <v>2040</v>
      </c>
      <c r="N882" s="11" t="s">
        <v>367</v>
      </c>
      <c r="O882" s="11" t="s">
        <v>19</v>
      </c>
      <c r="Q882"/>
    </row>
    <row r="883" spans="1:17" ht="15.6" x14ac:dyDescent="0.3">
      <c r="A883" s="15">
        <v>10196</v>
      </c>
      <c r="B883" s="14">
        <v>37951</v>
      </c>
      <c r="C883" s="14" t="s">
        <v>340</v>
      </c>
      <c r="D883" s="15" t="s">
        <v>191</v>
      </c>
      <c r="E883" s="15" t="s">
        <v>192</v>
      </c>
      <c r="F883" s="15" t="s">
        <v>15</v>
      </c>
      <c r="G883" s="15" t="s">
        <v>16</v>
      </c>
      <c r="H883" s="15" t="s">
        <v>32</v>
      </c>
      <c r="I883" s="15" t="s">
        <v>46</v>
      </c>
      <c r="J883" s="15" t="s">
        <v>254</v>
      </c>
      <c r="K883" s="15">
        <v>38</v>
      </c>
      <c r="L883" s="16">
        <v>90</v>
      </c>
      <c r="M883" s="17">
        <v>3420</v>
      </c>
      <c r="N883" s="15" t="s">
        <v>367</v>
      </c>
      <c r="O883" s="15" t="s">
        <v>19</v>
      </c>
      <c r="Q883"/>
    </row>
    <row r="884" spans="1:17" ht="15.6" x14ac:dyDescent="0.3">
      <c r="A884" s="11">
        <v>10197</v>
      </c>
      <c r="B884" s="10">
        <v>37951</v>
      </c>
      <c r="C884" s="10" t="s">
        <v>293</v>
      </c>
      <c r="D884" s="11" t="s">
        <v>99</v>
      </c>
      <c r="E884" s="11" t="s">
        <v>100</v>
      </c>
      <c r="F884" s="11" t="s">
        <v>43</v>
      </c>
      <c r="G884" s="11" t="s">
        <v>25</v>
      </c>
      <c r="H884" s="11" t="s">
        <v>54</v>
      </c>
      <c r="I884" s="11" t="s">
        <v>56</v>
      </c>
      <c r="J884" s="11" t="s">
        <v>259</v>
      </c>
      <c r="K884" s="11">
        <v>46</v>
      </c>
      <c r="L884" s="12">
        <v>250</v>
      </c>
      <c r="M884" s="13">
        <v>11500</v>
      </c>
      <c r="N884" s="11" t="s">
        <v>367</v>
      </c>
      <c r="O884" s="11" t="s">
        <v>19</v>
      </c>
      <c r="Q884"/>
    </row>
    <row r="885" spans="1:17" ht="15.6" x14ac:dyDescent="0.3">
      <c r="A885" s="15">
        <v>10196</v>
      </c>
      <c r="B885" s="14">
        <v>37951</v>
      </c>
      <c r="C885" s="14" t="s">
        <v>340</v>
      </c>
      <c r="D885" s="15" t="s">
        <v>191</v>
      </c>
      <c r="E885" s="15" t="s">
        <v>192</v>
      </c>
      <c r="F885" s="15" t="s">
        <v>15</v>
      </c>
      <c r="G885" s="15" t="s">
        <v>16</v>
      </c>
      <c r="H885" s="15" t="s">
        <v>17</v>
      </c>
      <c r="I885" s="15" t="s">
        <v>18</v>
      </c>
      <c r="J885" s="15" t="s">
        <v>241</v>
      </c>
      <c r="K885" s="15">
        <v>49</v>
      </c>
      <c r="L885" s="16">
        <v>30</v>
      </c>
      <c r="M885" s="17">
        <v>1470</v>
      </c>
      <c r="N885" s="15" t="s">
        <v>367</v>
      </c>
      <c r="O885" s="15" t="s">
        <v>19</v>
      </c>
      <c r="Q885"/>
    </row>
    <row r="886" spans="1:17" ht="15.6" x14ac:dyDescent="0.3">
      <c r="A886" s="11">
        <v>10196</v>
      </c>
      <c r="B886" s="10">
        <v>37951</v>
      </c>
      <c r="C886" s="10" t="s">
        <v>340</v>
      </c>
      <c r="D886" s="11" t="s">
        <v>191</v>
      </c>
      <c r="E886" s="11" t="s">
        <v>192</v>
      </c>
      <c r="F886" s="11" t="s">
        <v>15</v>
      </c>
      <c r="G886" s="11" t="s">
        <v>16</v>
      </c>
      <c r="H886" s="11" t="s">
        <v>47</v>
      </c>
      <c r="I886" s="11" t="s">
        <v>119</v>
      </c>
      <c r="J886" s="11" t="s">
        <v>272</v>
      </c>
      <c r="K886" s="11">
        <v>35</v>
      </c>
      <c r="L886" s="12">
        <v>60</v>
      </c>
      <c r="M886" s="13">
        <v>2100</v>
      </c>
      <c r="N886" s="11" t="s">
        <v>367</v>
      </c>
      <c r="O886" s="11" t="s">
        <v>19</v>
      </c>
      <c r="Q886"/>
    </row>
    <row r="887" spans="1:17" ht="15.6" x14ac:dyDescent="0.3">
      <c r="A887" s="15">
        <v>10197</v>
      </c>
      <c r="B887" s="14">
        <v>37951</v>
      </c>
      <c r="C887" s="14" t="s">
        <v>293</v>
      </c>
      <c r="D887" s="15" t="s">
        <v>99</v>
      </c>
      <c r="E887" s="15" t="s">
        <v>100</v>
      </c>
      <c r="F887" s="15" t="s">
        <v>43</v>
      </c>
      <c r="G887" s="15" t="s">
        <v>25</v>
      </c>
      <c r="H887" s="15" t="s">
        <v>17</v>
      </c>
      <c r="I887" s="15" t="s">
        <v>21</v>
      </c>
      <c r="J887" s="15" t="s">
        <v>243</v>
      </c>
      <c r="K887" s="15">
        <v>22</v>
      </c>
      <c r="L887" s="16">
        <v>110</v>
      </c>
      <c r="M887" s="17">
        <v>2420</v>
      </c>
      <c r="N887" s="15" t="s">
        <v>367</v>
      </c>
      <c r="O887" s="15" t="s">
        <v>19</v>
      </c>
      <c r="Q887"/>
    </row>
    <row r="888" spans="1:17" ht="15.6" x14ac:dyDescent="0.3">
      <c r="A888" s="11">
        <v>10196</v>
      </c>
      <c r="B888" s="10">
        <v>37951</v>
      </c>
      <c r="C888" s="10" t="s">
        <v>340</v>
      </c>
      <c r="D888" s="11" t="s">
        <v>191</v>
      </c>
      <c r="E888" s="11" t="s">
        <v>192</v>
      </c>
      <c r="F888" s="11" t="s">
        <v>15</v>
      </c>
      <c r="G888" s="11" t="s">
        <v>16</v>
      </c>
      <c r="H888" s="11" t="s">
        <v>32</v>
      </c>
      <c r="I888" s="11" t="s">
        <v>45</v>
      </c>
      <c r="J888" s="11" t="s">
        <v>253</v>
      </c>
      <c r="K888" s="11">
        <v>27</v>
      </c>
      <c r="L888" s="12">
        <v>35</v>
      </c>
      <c r="M888" s="13">
        <v>945</v>
      </c>
      <c r="N888" s="11" t="s">
        <v>367</v>
      </c>
      <c r="O888" s="11" t="s">
        <v>19</v>
      </c>
      <c r="Q888"/>
    </row>
    <row r="889" spans="1:17" ht="15.6" x14ac:dyDescent="0.3">
      <c r="A889" s="15">
        <v>10197</v>
      </c>
      <c r="B889" s="14">
        <v>37951</v>
      </c>
      <c r="C889" s="14" t="s">
        <v>293</v>
      </c>
      <c r="D889" s="15" t="s">
        <v>99</v>
      </c>
      <c r="E889" s="15" t="s">
        <v>100</v>
      </c>
      <c r="F889" s="15" t="s">
        <v>43</v>
      </c>
      <c r="G889" s="15" t="s">
        <v>25</v>
      </c>
      <c r="H889" s="15" t="s">
        <v>17</v>
      </c>
      <c r="I889" s="15" t="s">
        <v>26</v>
      </c>
      <c r="J889" s="15" t="s">
        <v>244</v>
      </c>
      <c r="K889" s="15">
        <v>50</v>
      </c>
      <c r="L889" s="16">
        <v>60</v>
      </c>
      <c r="M889" s="17">
        <v>3000</v>
      </c>
      <c r="N889" s="15" t="s">
        <v>368</v>
      </c>
      <c r="O889" s="15" t="s">
        <v>19</v>
      </c>
      <c r="Q889"/>
    </row>
    <row r="890" spans="1:17" ht="15.6" x14ac:dyDescent="0.3">
      <c r="A890" s="11">
        <v>10197</v>
      </c>
      <c r="B890" s="10">
        <v>37951</v>
      </c>
      <c r="C890" s="10" t="s">
        <v>293</v>
      </c>
      <c r="D890" s="11" t="s">
        <v>99</v>
      </c>
      <c r="E890" s="11" t="s">
        <v>100</v>
      </c>
      <c r="F890" s="11" t="s">
        <v>43</v>
      </c>
      <c r="G890" s="11" t="s">
        <v>25</v>
      </c>
      <c r="H890" s="11" t="s">
        <v>54</v>
      </c>
      <c r="I890" s="11" t="s">
        <v>57</v>
      </c>
      <c r="J890" s="11" t="s">
        <v>260</v>
      </c>
      <c r="K890" s="11">
        <v>41</v>
      </c>
      <c r="L890" s="12">
        <v>220</v>
      </c>
      <c r="M890" s="13">
        <v>9020</v>
      </c>
      <c r="N890" s="11" t="s">
        <v>367</v>
      </c>
      <c r="O890" s="11" t="s">
        <v>19</v>
      </c>
      <c r="Q890"/>
    </row>
    <row r="891" spans="1:17" ht="15.6" x14ac:dyDescent="0.3">
      <c r="A891" s="15">
        <v>10197</v>
      </c>
      <c r="B891" s="14">
        <v>37951</v>
      </c>
      <c r="C891" s="14" t="s">
        <v>293</v>
      </c>
      <c r="D891" s="15" t="s">
        <v>99</v>
      </c>
      <c r="E891" s="15" t="s">
        <v>100</v>
      </c>
      <c r="F891" s="15" t="s">
        <v>43</v>
      </c>
      <c r="G891" s="15" t="s">
        <v>25</v>
      </c>
      <c r="H891" s="15" t="s">
        <v>17</v>
      </c>
      <c r="I891" s="15" t="s">
        <v>20</v>
      </c>
      <c r="J891" s="15" t="s">
        <v>242</v>
      </c>
      <c r="K891" s="15">
        <v>47</v>
      </c>
      <c r="L891" s="16">
        <v>48</v>
      </c>
      <c r="M891" s="17">
        <v>2256</v>
      </c>
      <c r="N891" s="15" t="s">
        <v>367</v>
      </c>
      <c r="O891" s="15" t="s">
        <v>19</v>
      </c>
      <c r="Q891"/>
    </row>
    <row r="892" spans="1:17" ht="15.6" x14ac:dyDescent="0.3">
      <c r="A892" s="11">
        <v>10197</v>
      </c>
      <c r="B892" s="10">
        <v>37951</v>
      </c>
      <c r="C892" s="10" t="s">
        <v>293</v>
      </c>
      <c r="D892" s="11" t="s">
        <v>99</v>
      </c>
      <c r="E892" s="11" t="s">
        <v>100</v>
      </c>
      <c r="F892" s="11" t="s">
        <v>43</v>
      </c>
      <c r="G892" s="11" t="s">
        <v>25</v>
      </c>
      <c r="H892" s="11" t="s">
        <v>17</v>
      </c>
      <c r="I892" s="11" t="s">
        <v>20</v>
      </c>
      <c r="J892" s="11" t="s">
        <v>242</v>
      </c>
      <c r="K892" s="11">
        <v>22</v>
      </c>
      <c r="L892" s="12">
        <v>48</v>
      </c>
      <c r="M892" s="13">
        <v>1056</v>
      </c>
      <c r="N892" s="11" t="s">
        <v>367</v>
      </c>
      <c r="O892" s="11" t="s">
        <v>19</v>
      </c>
      <c r="Q892"/>
    </row>
    <row r="893" spans="1:17" ht="15.6" x14ac:dyDescent="0.3">
      <c r="A893" s="15">
        <v>10196</v>
      </c>
      <c r="B893" s="14">
        <v>37951</v>
      </c>
      <c r="C893" s="14" t="s">
        <v>340</v>
      </c>
      <c r="D893" s="15" t="s">
        <v>191</v>
      </c>
      <c r="E893" s="15" t="s">
        <v>192</v>
      </c>
      <c r="F893" s="15" t="s">
        <v>15</v>
      </c>
      <c r="G893" s="15" t="s">
        <v>16</v>
      </c>
      <c r="H893" s="15" t="s">
        <v>47</v>
      </c>
      <c r="I893" s="15" t="s">
        <v>119</v>
      </c>
      <c r="J893" s="15" t="s">
        <v>272</v>
      </c>
      <c r="K893" s="15">
        <v>46</v>
      </c>
      <c r="L893" s="16">
        <v>60</v>
      </c>
      <c r="M893" s="17">
        <v>2760</v>
      </c>
      <c r="N893" s="15" t="s">
        <v>367</v>
      </c>
      <c r="O893" s="15" t="s">
        <v>19</v>
      </c>
      <c r="Q893"/>
    </row>
    <row r="894" spans="1:17" ht="15.6" x14ac:dyDescent="0.3">
      <c r="A894" s="11">
        <v>10197</v>
      </c>
      <c r="B894" s="10">
        <v>37951</v>
      </c>
      <c r="C894" s="10" t="s">
        <v>293</v>
      </c>
      <c r="D894" s="11" t="s">
        <v>99</v>
      </c>
      <c r="E894" s="11" t="s">
        <v>100</v>
      </c>
      <c r="F894" s="11" t="s">
        <v>43</v>
      </c>
      <c r="G894" s="11" t="s">
        <v>25</v>
      </c>
      <c r="H894" s="11" t="s">
        <v>54</v>
      </c>
      <c r="I894" s="11" t="s">
        <v>166</v>
      </c>
      <c r="J894" s="11" t="s">
        <v>273</v>
      </c>
      <c r="K894" s="11">
        <v>23</v>
      </c>
      <c r="L894" s="12">
        <v>160</v>
      </c>
      <c r="M894" s="13">
        <v>3680</v>
      </c>
      <c r="N894" s="11" t="s">
        <v>367</v>
      </c>
      <c r="O894" s="11" t="s">
        <v>19</v>
      </c>
      <c r="Q894"/>
    </row>
    <row r="895" spans="1:17" ht="15.6" x14ac:dyDescent="0.3">
      <c r="A895" s="15">
        <v>10196</v>
      </c>
      <c r="B895" s="14">
        <v>37951</v>
      </c>
      <c r="C895" s="14" t="s">
        <v>340</v>
      </c>
      <c r="D895" s="15" t="s">
        <v>191</v>
      </c>
      <c r="E895" s="15" t="s">
        <v>192</v>
      </c>
      <c r="F895" s="15" t="s">
        <v>15</v>
      </c>
      <c r="G895" s="15" t="s">
        <v>16</v>
      </c>
      <c r="H895" s="15" t="s">
        <v>54</v>
      </c>
      <c r="I895" s="15" t="s">
        <v>55</v>
      </c>
      <c r="J895" s="15" t="s">
        <v>258</v>
      </c>
      <c r="K895" s="15">
        <v>50</v>
      </c>
      <c r="L895" s="16">
        <v>180</v>
      </c>
      <c r="M895" s="17">
        <v>9000</v>
      </c>
      <c r="N895" s="15" t="s">
        <v>368</v>
      </c>
      <c r="O895" s="15" t="s">
        <v>19</v>
      </c>
      <c r="Q895"/>
    </row>
    <row r="896" spans="1:17" ht="15.6" x14ac:dyDescent="0.3">
      <c r="A896" s="11">
        <v>10197</v>
      </c>
      <c r="B896" s="10">
        <v>37951</v>
      </c>
      <c r="C896" s="10" t="s">
        <v>293</v>
      </c>
      <c r="D896" s="11" t="s">
        <v>99</v>
      </c>
      <c r="E896" s="11" t="s">
        <v>100</v>
      </c>
      <c r="F896" s="11" t="s">
        <v>43</v>
      </c>
      <c r="G896" s="11" t="s">
        <v>25</v>
      </c>
      <c r="H896" s="11" t="s">
        <v>54</v>
      </c>
      <c r="I896" s="11" t="s">
        <v>57</v>
      </c>
      <c r="J896" s="11" t="s">
        <v>260</v>
      </c>
      <c r="K896" s="11">
        <v>24</v>
      </c>
      <c r="L896" s="12">
        <v>220</v>
      </c>
      <c r="M896" s="13">
        <v>5280</v>
      </c>
      <c r="N896" s="11" t="s">
        <v>367</v>
      </c>
      <c r="O896" s="11" t="s">
        <v>19</v>
      </c>
      <c r="Q896"/>
    </row>
    <row r="897" spans="1:17" ht="15.6" x14ac:dyDescent="0.3">
      <c r="A897" s="15">
        <v>10197</v>
      </c>
      <c r="B897" s="14">
        <v>37951</v>
      </c>
      <c r="C897" s="14" t="s">
        <v>293</v>
      </c>
      <c r="D897" s="15" t="s">
        <v>99</v>
      </c>
      <c r="E897" s="15" t="s">
        <v>100</v>
      </c>
      <c r="F897" s="15" t="s">
        <v>43</v>
      </c>
      <c r="G897" s="15" t="s">
        <v>25</v>
      </c>
      <c r="H897" s="15" t="s">
        <v>54</v>
      </c>
      <c r="I897" s="15" t="s">
        <v>57</v>
      </c>
      <c r="J897" s="15" t="s">
        <v>260</v>
      </c>
      <c r="K897" s="15">
        <v>50</v>
      </c>
      <c r="L897" s="16">
        <v>220</v>
      </c>
      <c r="M897" s="17">
        <v>11000</v>
      </c>
      <c r="N897" s="15" t="s">
        <v>368</v>
      </c>
      <c r="O897" s="15" t="s">
        <v>19</v>
      </c>
      <c r="Q897"/>
    </row>
    <row r="898" spans="1:17" ht="15.6" x14ac:dyDescent="0.3">
      <c r="A898" s="11">
        <v>10197</v>
      </c>
      <c r="B898" s="10">
        <v>37951</v>
      </c>
      <c r="C898" s="10" t="s">
        <v>293</v>
      </c>
      <c r="D898" s="11" t="s">
        <v>99</v>
      </c>
      <c r="E898" s="11" t="s">
        <v>100</v>
      </c>
      <c r="F898" s="11" t="s">
        <v>43</v>
      </c>
      <c r="G898" s="11" t="s">
        <v>25</v>
      </c>
      <c r="H898" s="11" t="s">
        <v>54</v>
      </c>
      <c r="I898" s="11" t="s">
        <v>57</v>
      </c>
      <c r="J898" s="11" t="s">
        <v>260</v>
      </c>
      <c r="K898" s="11">
        <v>27</v>
      </c>
      <c r="L898" s="12">
        <v>220</v>
      </c>
      <c r="M898" s="13">
        <v>5940</v>
      </c>
      <c r="N898" s="11" t="s">
        <v>367</v>
      </c>
      <c r="O898" s="11" t="s">
        <v>19</v>
      </c>
      <c r="Q898"/>
    </row>
    <row r="899" spans="1:17" ht="15.6" x14ac:dyDescent="0.3">
      <c r="A899" s="15">
        <v>10197</v>
      </c>
      <c r="B899" s="14">
        <v>37951</v>
      </c>
      <c r="C899" s="14" t="s">
        <v>293</v>
      </c>
      <c r="D899" s="15" t="s">
        <v>99</v>
      </c>
      <c r="E899" s="15" t="s">
        <v>100</v>
      </c>
      <c r="F899" s="15" t="s">
        <v>43</v>
      </c>
      <c r="G899" s="15" t="s">
        <v>25</v>
      </c>
      <c r="H899" s="15" t="s">
        <v>54</v>
      </c>
      <c r="I899" s="15" t="s">
        <v>55</v>
      </c>
      <c r="J899" s="15" t="s">
        <v>258</v>
      </c>
      <c r="K899" s="15">
        <v>35</v>
      </c>
      <c r="L899" s="16">
        <v>180</v>
      </c>
      <c r="M899" s="17">
        <v>6300</v>
      </c>
      <c r="N899" s="15" t="s">
        <v>367</v>
      </c>
      <c r="O899" s="15" t="s">
        <v>19</v>
      </c>
      <c r="Q899"/>
    </row>
    <row r="900" spans="1:17" ht="15.6" x14ac:dyDescent="0.3">
      <c r="A900" s="11">
        <v>10197</v>
      </c>
      <c r="B900" s="10">
        <v>37951</v>
      </c>
      <c r="C900" s="10" t="s">
        <v>293</v>
      </c>
      <c r="D900" s="11" t="s">
        <v>99</v>
      </c>
      <c r="E900" s="11" t="s">
        <v>100</v>
      </c>
      <c r="F900" s="11" t="s">
        <v>43</v>
      </c>
      <c r="G900" s="11" t="s">
        <v>25</v>
      </c>
      <c r="H900" s="11" t="s">
        <v>61</v>
      </c>
      <c r="I900" s="11" t="s">
        <v>62</v>
      </c>
      <c r="J900" s="11" t="s">
        <v>261</v>
      </c>
      <c r="K900" s="11">
        <v>29</v>
      </c>
      <c r="L900" s="12">
        <v>15</v>
      </c>
      <c r="M900" s="13">
        <v>435</v>
      </c>
      <c r="N900" s="11" t="s">
        <v>367</v>
      </c>
      <c r="O900" s="11" t="s">
        <v>19</v>
      </c>
      <c r="Q900"/>
    </row>
    <row r="901" spans="1:17" ht="15.6" x14ac:dyDescent="0.3">
      <c r="A901" s="15">
        <v>10197</v>
      </c>
      <c r="B901" s="14">
        <v>37951</v>
      </c>
      <c r="C901" s="14" t="s">
        <v>293</v>
      </c>
      <c r="D901" s="15" t="s">
        <v>99</v>
      </c>
      <c r="E901" s="15" t="s">
        <v>100</v>
      </c>
      <c r="F901" s="15" t="s">
        <v>43</v>
      </c>
      <c r="G901" s="15" t="s">
        <v>25</v>
      </c>
      <c r="H901" s="15" t="s">
        <v>54</v>
      </c>
      <c r="I901" s="15" t="s">
        <v>57</v>
      </c>
      <c r="J901" s="15" t="s">
        <v>260</v>
      </c>
      <c r="K901" s="15">
        <v>42</v>
      </c>
      <c r="L901" s="16">
        <v>220</v>
      </c>
      <c r="M901" s="17">
        <v>9240</v>
      </c>
      <c r="N901" s="15" t="s">
        <v>367</v>
      </c>
      <c r="O901" s="15" t="s">
        <v>19</v>
      </c>
      <c r="Q901"/>
    </row>
    <row r="902" spans="1:17" ht="15.6" x14ac:dyDescent="0.3">
      <c r="A902" s="11">
        <v>10198</v>
      </c>
      <c r="B902" s="10">
        <v>37952</v>
      </c>
      <c r="C902" s="10" t="s">
        <v>283</v>
      </c>
      <c r="D902" s="11" t="s">
        <v>71</v>
      </c>
      <c r="E902" s="11" t="s">
        <v>72</v>
      </c>
      <c r="F902" s="11" t="s">
        <v>73</v>
      </c>
      <c r="G902" s="11" t="s">
        <v>74</v>
      </c>
      <c r="H902" s="11" t="s">
        <v>61</v>
      </c>
      <c r="I902" s="11" t="s">
        <v>65</v>
      </c>
      <c r="J902" s="11" t="s">
        <v>264</v>
      </c>
      <c r="K902" s="11">
        <v>42</v>
      </c>
      <c r="L902" s="12">
        <v>30</v>
      </c>
      <c r="M902" s="13">
        <v>1260</v>
      </c>
      <c r="N902" s="11" t="s">
        <v>367</v>
      </c>
      <c r="O902" s="11" t="s">
        <v>19</v>
      </c>
      <c r="Q902"/>
    </row>
    <row r="903" spans="1:17" ht="15.6" x14ac:dyDescent="0.3">
      <c r="A903" s="15">
        <v>10198</v>
      </c>
      <c r="B903" s="14">
        <v>37952</v>
      </c>
      <c r="C903" s="14" t="s">
        <v>283</v>
      </c>
      <c r="D903" s="15" t="s">
        <v>71</v>
      </c>
      <c r="E903" s="15" t="s">
        <v>72</v>
      </c>
      <c r="F903" s="15" t="s">
        <v>73</v>
      </c>
      <c r="G903" s="15" t="s">
        <v>74</v>
      </c>
      <c r="H903" s="15" t="s">
        <v>61</v>
      </c>
      <c r="I903" s="15" t="s">
        <v>62</v>
      </c>
      <c r="J903" s="15" t="s">
        <v>261</v>
      </c>
      <c r="K903" s="15">
        <v>48</v>
      </c>
      <c r="L903" s="16">
        <v>15</v>
      </c>
      <c r="M903" s="17">
        <v>720</v>
      </c>
      <c r="N903" s="15" t="s">
        <v>367</v>
      </c>
      <c r="O903" s="15" t="s">
        <v>19</v>
      </c>
      <c r="Q903"/>
    </row>
    <row r="904" spans="1:17" ht="15.6" x14ac:dyDescent="0.3">
      <c r="A904" s="11">
        <v>10198</v>
      </c>
      <c r="B904" s="10">
        <v>37952</v>
      </c>
      <c r="C904" s="10" t="s">
        <v>283</v>
      </c>
      <c r="D904" s="11" t="s">
        <v>71</v>
      </c>
      <c r="E904" s="11" t="s">
        <v>72</v>
      </c>
      <c r="F904" s="11" t="s">
        <v>73</v>
      </c>
      <c r="G904" s="11" t="s">
        <v>74</v>
      </c>
      <c r="H904" s="11" t="s">
        <v>17</v>
      </c>
      <c r="I904" s="11" t="s">
        <v>26</v>
      </c>
      <c r="J904" s="11" t="s">
        <v>244</v>
      </c>
      <c r="K904" s="11">
        <v>27</v>
      </c>
      <c r="L904" s="12">
        <v>60</v>
      </c>
      <c r="M904" s="13">
        <v>1620</v>
      </c>
      <c r="N904" s="11" t="s">
        <v>367</v>
      </c>
      <c r="O904" s="11" t="s">
        <v>19</v>
      </c>
      <c r="Q904"/>
    </row>
    <row r="905" spans="1:17" ht="15.6" x14ac:dyDescent="0.3">
      <c r="A905" s="15">
        <v>10198</v>
      </c>
      <c r="B905" s="14">
        <v>37952</v>
      </c>
      <c r="C905" s="14" t="s">
        <v>283</v>
      </c>
      <c r="D905" s="15" t="s">
        <v>71</v>
      </c>
      <c r="E905" s="15" t="s">
        <v>72</v>
      </c>
      <c r="F905" s="15" t="s">
        <v>73</v>
      </c>
      <c r="G905" s="15" t="s">
        <v>74</v>
      </c>
      <c r="H905" s="15" t="s">
        <v>61</v>
      </c>
      <c r="I905" s="15" t="s">
        <v>64</v>
      </c>
      <c r="J905" s="15" t="s">
        <v>263</v>
      </c>
      <c r="K905" s="15">
        <v>43</v>
      </c>
      <c r="L905" s="16">
        <v>35</v>
      </c>
      <c r="M905" s="17">
        <v>1505</v>
      </c>
      <c r="N905" s="15" t="s">
        <v>367</v>
      </c>
      <c r="O905" s="15" t="s">
        <v>19</v>
      </c>
      <c r="Q905"/>
    </row>
    <row r="906" spans="1:17" ht="15.6" x14ac:dyDescent="0.3">
      <c r="A906" s="11">
        <v>10198</v>
      </c>
      <c r="B906" s="10">
        <v>37952</v>
      </c>
      <c r="C906" s="10" t="s">
        <v>283</v>
      </c>
      <c r="D906" s="11" t="s">
        <v>71</v>
      </c>
      <c r="E906" s="11" t="s">
        <v>72</v>
      </c>
      <c r="F906" s="11" t="s">
        <v>73</v>
      </c>
      <c r="G906" s="11" t="s">
        <v>74</v>
      </c>
      <c r="H906" s="11" t="s">
        <v>61</v>
      </c>
      <c r="I906" s="11" t="s">
        <v>62</v>
      </c>
      <c r="J906" s="11" t="s">
        <v>261</v>
      </c>
      <c r="K906" s="11">
        <v>42</v>
      </c>
      <c r="L906" s="12">
        <v>15</v>
      </c>
      <c r="M906" s="13">
        <v>630</v>
      </c>
      <c r="N906" s="11" t="s">
        <v>367</v>
      </c>
      <c r="O906" s="11" t="s">
        <v>19</v>
      </c>
      <c r="Q906"/>
    </row>
    <row r="907" spans="1:17" ht="15.6" x14ac:dyDescent="0.3">
      <c r="A907" s="15">
        <v>10198</v>
      </c>
      <c r="B907" s="14">
        <v>37952</v>
      </c>
      <c r="C907" s="14" t="s">
        <v>283</v>
      </c>
      <c r="D907" s="15" t="s">
        <v>71</v>
      </c>
      <c r="E907" s="15" t="s">
        <v>72</v>
      </c>
      <c r="F907" s="15" t="s">
        <v>73</v>
      </c>
      <c r="G907" s="15" t="s">
        <v>74</v>
      </c>
      <c r="H907" s="15" t="s">
        <v>61</v>
      </c>
      <c r="I907" s="15" t="s">
        <v>66</v>
      </c>
      <c r="J907" s="15" t="s">
        <v>265</v>
      </c>
      <c r="K907" s="15">
        <v>40</v>
      </c>
      <c r="L907" s="16">
        <v>35</v>
      </c>
      <c r="M907" s="17">
        <v>1400</v>
      </c>
      <c r="N907" s="15" t="s">
        <v>367</v>
      </c>
      <c r="O907" s="15" t="s">
        <v>19</v>
      </c>
      <c r="Q907"/>
    </row>
    <row r="908" spans="1:17" ht="15.6" x14ac:dyDescent="0.3">
      <c r="A908" s="11">
        <v>10201</v>
      </c>
      <c r="B908" s="10">
        <v>37956</v>
      </c>
      <c r="C908" s="10" t="s">
        <v>287</v>
      </c>
      <c r="D908" s="11" t="s">
        <v>86</v>
      </c>
      <c r="E908" s="11" t="s">
        <v>87</v>
      </c>
      <c r="F908" s="11" t="s">
        <v>15</v>
      </c>
      <c r="G908" s="11" t="s">
        <v>16</v>
      </c>
      <c r="H908" s="11" t="s">
        <v>68</v>
      </c>
      <c r="I908" s="11" t="s">
        <v>69</v>
      </c>
      <c r="J908" s="11" t="s">
        <v>266</v>
      </c>
      <c r="K908" s="11">
        <v>22</v>
      </c>
      <c r="L908" s="12">
        <v>25</v>
      </c>
      <c r="M908" s="13">
        <v>550</v>
      </c>
      <c r="N908" s="11" t="s">
        <v>367</v>
      </c>
      <c r="O908" s="11" t="s">
        <v>19</v>
      </c>
      <c r="Q908"/>
    </row>
    <row r="909" spans="1:17" ht="15.6" x14ac:dyDescent="0.3">
      <c r="A909" s="15">
        <v>10201</v>
      </c>
      <c r="B909" s="14">
        <v>37956</v>
      </c>
      <c r="C909" s="14" t="s">
        <v>287</v>
      </c>
      <c r="D909" s="15" t="s">
        <v>86</v>
      </c>
      <c r="E909" s="15" t="s">
        <v>87</v>
      </c>
      <c r="F909" s="15" t="s">
        <v>15</v>
      </c>
      <c r="G909" s="15" t="s">
        <v>16</v>
      </c>
      <c r="H909" s="15" t="s">
        <v>68</v>
      </c>
      <c r="I909" s="15" t="s">
        <v>69</v>
      </c>
      <c r="J909" s="15" t="s">
        <v>266</v>
      </c>
      <c r="K909" s="15">
        <v>24</v>
      </c>
      <c r="L909" s="16">
        <v>25</v>
      </c>
      <c r="M909" s="17">
        <v>600</v>
      </c>
      <c r="N909" s="15" t="s">
        <v>367</v>
      </c>
      <c r="O909" s="15" t="s">
        <v>19</v>
      </c>
      <c r="Q909"/>
    </row>
    <row r="910" spans="1:17" ht="15.6" x14ac:dyDescent="0.3">
      <c r="A910" s="11">
        <v>10201</v>
      </c>
      <c r="B910" s="10">
        <v>37956</v>
      </c>
      <c r="C910" s="10" t="s">
        <v>287</v>
      </c>
      <c r="D910" s="11" t="s">
        <v>86</v>
      </c>
      <c r="E910" s="11" t="s">
        <v>87</v>
      </c>
      <c r="F910" s="11" t="s">
        <v>15</v>
      </c>
      <c r="G910" s="11" t="s">
        <v>16</v>
      </c>
      <c r="H910" s="11" t="s">
        <v>68</v>
      </c>
      <c r="I910" s="11" t="s">
        <v>69</v>
      </c>
      <c r="J910" s="11" t="s">
        <v>266</v>
      </c>
      <c r="K910" s="11">
        <v>49</v>
      </c>
      <c r="L910" s="12">
        <v>25</v>
      </c>
      <c r="M910" s="13">
        <v>1225</v>
      </c>
      <c r="N910" s="11" t="s">
        <v>367</v>
      </c>
      <c r="O910" s="11" t="s">
        <v>19</v>
      </c>
      <c r="Q910"/>
    </row>
    <row r="911" spans="1:17" ht="15.6" x14ac:dyDescent="0.3">
      <c r="A911" s="15">
        <v>10201</v>
      </c>
      <c r="B911" s="14">
        <v>37956</v>
      </c>
      <c r="C911" s="14" t="s">
        <v>287</v>
      </c>
      <c r="D911" s="15" t="s">
        <v>86</v>
      </c>
      <c r="E911" s="15" t="s">
        <v>87</v>
      </c>
      <c r="F911" s="15" t="s">
        <v>15</v>
      </c>
      <c r="G911" s="15" t="s">
        <v>16</v>
      </c>
      <c r="H911" s="15" t="s">
        <v>68</v>
      </c>
      <c r="I911" s="15" t="s">
        <v>75</v>
      </c>
      <c r="J911" s="15" t="s">
        <v>268</v>
      </c>
      <c r="K911" s="15">
        <v>25</v>
      </c>
      <c r="L911" s="16">
        <v>35</v>
      </c>
      <c r="M911" s="17">
        <v>875</v>
      </c>
      <c r="N911" s="15" t="s">
        <v>367</v>
      </c>
      <c r="O911" s="15" t="s">
        <v>19</v>
      </c>
      <c r="Q911"/>
    </row>
    <row r="912" spans="1:17" ht="15.6" x14ac:dyDescent="0.3">
      <c r="A912" s="11">
        <v>10201</v>
      </c>
      <c r="B912" s="10">
        <v>37956</v>
      </c>
      <c r="C912" s="10" t="s">
        <v>287</v>
      </c>
      <c r="D912" s="11" t="s">
        <v>86</v>
      </c>
      <c r="E912" s="11" t="s">
        <v>87</v>
      </c>
      <c r="F912" s="11" t="s">
        <v>15</v>
      </c>
      <c r="G912" s="11" t="s">
        <v>16</v>
      </c>
      <c r="H912" s="11" t="s">
        <v>68</v>
      </c>
      <c r="I912" s="11" t="s">
        <v>69</v>
      </c>
      <c r="J912" s="11" t="s">
        <v>266</v>
      </c>
      <c r="K912" s="11">
        <v>30</v>
      </c>
      <c r="L912" s="12">
        <v>25</v>
      </c>
      <c r="M912" s="13">
        <v>750</v>
      </c>
      <c r="N912" s="11" t="s">
        <v>367</v>
      </c>
      <c r="O912" s="11" t="s">
        <v>19</v>
      </c>
      <c r="Q912"/>
    </row>
    <row r="913" spans="1:17" ht="15.6" x14ac:dyDescent="0.3">
      <c r="A913" s="15">
        <v>10201</v>
      </c>
      <c r="B913" s="14">
        <v>37956</v>
      </c>
      <c r="C913" s="14" t="s">
        <v>287</v>
      </c>
      <c r="D913" s="15" t="s">
        <v>86</v>
      </c>
      <c r="E913" s="15" t="s">
        <v>87</v>
      </c>
      <c r="F913" s="15" t="s">
        <v>15</v>
      </c>
      <c r="G913" s="15" t="s">
        <v>16</v>
      </c>
      <c r="H913" s="15" t="s">
        <v>68</v>
      </c>
      <c r="I913" s="15" t="s">
        <v>75</v>
      </c>
      <c r="J913" s="15" t="s">
        <v>268</v>
      </c>
      <c r="K913" s="15">
        <v>39</v>
      </c>
      <c r="L913" s="16">
        <v>35</v>
      </c>
      <c r="M913" s="17">
        <v>1365</v>
      </c>
      <c r="N913" s="15" t="s">
        <v>367</v>
      </c>
      <c r="O913" s="15" t="s">
        <v>19</v>
      </c>
      <c r="Q913"/>
    </row>
    <row r="914" spans="1:17" ht="15.6" x14ac:dyDescent="0.3">
      <c r="A914" s="11">
        <v>10201</v>
      </c>
      <c r="B914" s="10">
        <v>37956</v>
      </c>
      <c r="C914" s="10" t="s">
        <v>287</v>
      </c>
      <c r="D914" s="11" t="s">
        <v>86</v>
      </c>
      <c r="E914" s="11" t="s">
        <v>87</v>
      </c>
      <c r="F914" s="11" t="s">
        <v>15</v>
      </c>
      <c r="G914" s="11" t="s">
        <v>16</v>
      </c>
      <c r="H914" s="11" t="s">
        <v>68</v>
      </c>
      <c r="I914" s="11" t="s">
        <v>69</v>
      </c>
      <c r="J914" s="11" t="s">
        <v>266</v>
      </c>
      <c r="K914" s="11">
        <v>25</v>
      </c>
      <c r="L914" s="12">
        <v>25</v>
      </c>
      <c r="M914" s="13">
        <v>625</v>
      </c>
      <c r="N914" s="11" t="s">
        <v>367</v>
      </c>
      <c r="O914" s="11" t="s">
        <v>19</v>
      </c>
      <c r="Q914"/>
    </row>
    <row r="915" spans="1:17" ht="15.6" x14ac:dyDescent="0.3">
      <c r="A915" s="15">
        <v>10199</v>
      </c>
      <c r="B915" s="14">
        <v>37956</v>
      </c>
      <c r="C915" s="14" t="s">
        <v>341</v>
      </c>
      <c r="D915" s="15" t="s">
        <v>193</v>
      </c>
      <c r="E915" s="15" t="s">
        <v>194</v>
      </c>
      <c r="F915" s="15" t="s">
        <v>15</v>
      </c>
      <c r="G915" s="15" t="s">
        <v>16</v>
      </c>
      <c r="H915" s="15" t="s">
        <v>17</v>
      </c>
      <c r="I915" s="15" t="s">
        <v>18</v>
      </c>
      <c r="J915" s="15" t="s">
        <v>241</v>
      </c>
      <c r="K915" s="15">
        <v>29</v>
      </c>
      <c r="L915" s="16">
        <v>30</v>
      </c>
      <c r="M915" s="17">
        <v>870</v>
      </c>
      <c r="N915" s="15" t="s">
        <v>367</v>
      </c>
      <c r="O915" s="15" t="s">
        <v>19</v>
      </c>
      <c r="Q915"/>
    </row>
    <row r="916" spans="1:17" ht="15.6" x14ac:dyDescent="0.3">
      <c r="A916" s="11">
        <v>10199</v>
      </c>
      <c r="B916" s="10">
        <v>37956</v>
      </c>
      <c r="C916" s="10" t="s">
        <v>341</v>
      </c>
      <c r="D916" s="11" t="s">
        <v>193</v>
      </c>
      <c r="E916" s="11" t="s">
        <v>194</v>
      </c>
      <c r="F916" s="11" t="s">
        <v>15</v>
      </c>
      <c r="G916" s="11" t="s">
        <v>16</v>
      </c>
      <c r="H916" s="11" t="s">
        <v>61</v>
      </c>
      <c r="I916" s="11" t="s">
        <v>65</v>
      </c>
      <c r="J916" s="11" t="s">
        <v>264</v>
      </c>
      <c r="K916" s="11">
        <v>48</v>
      </c>
      <c r="L916" s="12">
        <v>30</v>
      </c>
      <c r="M916" s="13">
        <v>1440</v>
      </c>
      <c r="N916" s="11" t="s">
        <v>367</v>
      </c>
      <c r="O916" s="11" t="s">
        <v>19</v>
      </c>
      <c r="Q916"/>
    </row>
    <row r="917" spans="1:17" ht="15.6" x14ac:dyDescent="0.3">
      <c r="A917" s="15">
        <v>10199</v>
      </c>
      <c r="B917" s="14">
        <v>37956</v>
      </c>
      <c r="C917" s="14" t="s">
        <v>341</v>
      </c>
      <c r="D917" s="15" t="s">
        <v>193</v>
      </c>
      <c r="E917" s="15" t="s">
        <v>194</v>
      </c>
      <c r="F917" s="15" t="s">
        <v>15</v>
      </c>
      <c r="G917" s="15" t="s">
        <v>16</v>
      </c>
      <c r="H917" s="15" t="s">
        <v>61</v>
      </c>
      <c r="I917" s="15" t="s">
        <v>62</v>
      </c>
      <c r="J917" s="15" t="s">
        <v>261</v>
      </c>
      <c r="K917" s="15">
        <v>38</v>
      </c>
      <c r="L917" s="16">
        <v>15</v>
      </c>
      <c r="M917" s="17">
        <v>570</v>
      </c>
      <c r="N917" s="15" t="s">
        <v>367</v>
      </c>
      <c r="O917" s="15" t="s">
        <v>19</v>
      </c>
      <c r="Q917"/>
    </row>
    <row r="918" spans="1:17" ht="15.6" x14ac:dyDescent="0.3">
      <c r="A918" s="11">
        <v>10203</v>
      </c>
      <c r="B918" s="10">
        <v>37957</v>
      </c>
      <c r="C918" s="10" t="s">
        <v>279</v>
      </c>
      <c r="D918" s="11" t="s">
        <v>41</v>
      </c>
      <c r="E918" s="11" t="s">
        <v>42</v>
      </c>
      <c r="F918" s="11" t="s">
        <v>43</v>
      </c>
      <c r="G918" s="11" t="s">
        <v>25</v>
      </c>
      <c r="H918" s="11" t="s">
        <v>32</v>
      </c>
      <c r="I918" s="11" t="s">
        <v>44</v>
      </c>
      <c r="J918" s="11" t="s">
        <v>252</v>
      </c>
      <c r="K918" s="11">
        <v>20</v>
      </c>
      <c r="L918" s="12">
        <v>55</v>
      </c>
      <c r="M918" s="13">
        <v>1100</v>
      </c>
      <c r="N918" s="11" t="s">
        <v>367</v>
      </c>
      <c r="O918" s="11" t="s">
        <v>19</v>
      </c>
      <c r="Q918"/>
    </row>
    <row r="919" spans="1:17" ht="15.6" x14ac:dyDescent="0.3">
      <c r="A919" s="15">
        <v>10203</v>
      </c>
      <c r="B919" s="14">
        <v>37957</v>
      </c>
      <c r="C919" s="14" t="s">
        <v>279</v>
      </c>
      <c r="D919" s="15" t="s">
        <v>41</v>
      </c>
      <c r="E919" s="15" t="s">
        <v>42</v>
      </c>
      <c r="F919" s="15" t="s">
        <v>43</v>
      </c>
      <c r="G919" s="15" t="s">
        <v>25</v>
      </c>
      <c r="H919" s="15" t="s">
        <v>32</v>
      </c>
      <c r="I919" s="15" t="s">
        <v>34</v>
      </c>
      <c r="J919" s="15" t="s">
        <v>246</v>
      </c>
      <c r="K919" s="15">
        <v>20</v>
      </c>
      <c r="L919" s="16">
        <v>80</v>
      </c>
      <c r="M919" s="17">
        <v>1600</v>
      </c>
      <c r="N919" s="15" t="s">
        <v>367</v>
      </c>
      <c r="O919" s="15" t="s">
        <v>19</v>
      </c>
      <c r="Q919"/>
    </row>
    <row r="920" spans="1:17" ht="15.6" x14ac:dyDescent="0.3">
      <c r="A920" s="11">
        <v>10203</v>
      </c>
      <c r="B920" s="10">
        <v>37957</v>
      </c>
      <c r="C920" s="10" t="s">
        <v>279</v>
      </c>
      <c r="D920" s="11" t="s">
        <v>41</v>
      </c>
      <c r="E920" s="11" t="s">
        <v>42</v>
      </c>
      <c r="F920" s="11" t="s">
        <v>43</v>
      </c>
      <c r="G920" s="11" t="s">
        <v>25</v>
      </c>
      <c r="H920" s="11" t="s">
        <v>32</v>
      </c>
      <c r="I920" s="11" t="s">
        <v>44</v>
      </c>
      <c r="J920" s="11" t="s">
        <v>252</v>
      </c>
      <c r="K920" s="11">
        <v>44</v>
      </c>
      <c r="L920" s="12">
        <v>55</v>
      </c>
      <c r="M920" s="13">
        <v>2420</v>
      </c>
      <c r="N920" s="11" t="s">
        <v>367</v>
      </c>
      <c r="O920" s="11" t="s">
        <v>19</v>
      </c>
      <c r="Q920"/>
    </row>
    <row r="921" spans="1:17" ht="15.6" x14ac:dyDescent="0.3">
      <c r="A921" s="15">
        <v>10203</v>
      </c>
      <c r="B921" s="14">
        <v>37957</v>
      </c>
      <c r="C921" s="14" t="s">
        <v>279</v>
      </c>
      <c r="D921" s="15" t="s">
        <v>41</v>
      </c>
      <c r="E921" s="15" t="s">
        <v>42</v>
      </c>
      <c r="F921" s="15" t="s">
        <v>43</v>
      </c>
      <c r="G921" s="15" t="s">
        <v>25</v>
      </c>
      <c r="H921" s="15" t="s">
        <v>32</v>
      </c>
      <c r="I921" s="15" t="s">
        <v>34</v>
      </c>
      <c r="J921" s="15" t="s">
        <v>246</v>
      </c>
      <c r="K921" s="15">
        <v>47</v>
      </c>
      <c r="L921" s="16">
        <v>80</v>
      </c>
      <c r="M921" s="17">
        <v>3760</v>
      </c>
      <c r="N921" s="15" t="s">
        <v>367</v>
      </c>
      <c r="O921" s="15" t="s">
        <v>19</v>
      </c>
      <c r="Q921"/>
    </row>
    <row r="922" spans="1:17" ht="15.6" x14ac:dyDescent="0.3">
      <c r="A922" s="11">
        <v>10204</v>
      </c>
      <c r="B922" s="10">
        <v>37957</v>
      </c>
      <c r="C922" s="10" t="s">
        <v>301</v>
      </c>
      <c r="D922" s="11" t="s">
        <v>118</v>
      </c>
      <c r="E922" s="11" t="s">
        <v>28</v>
      </c>
      <c r="F922" s="11" t="s">
        <v>15</v>
      </c>
      <c r="G922" s="11" t="s">
        <v>16</v>
      </c>
      <c r="H922" s="11" t="s">
        <v>32</v>
      </c>
      <c r="I922" s="11" t="s">
        <v>33</v>
      </c>
      <c r="J922" s="11" t="s">
        <v>245</v>
      </c>
      <c r="K922" s="11">
        <v>42</v>
      </c>
      <c r="L922" s="12">
        <v>85</v>
      </c>
      <c r="M922" s="13">
        <v>3570</v>
      </c>
      <c r="N922" s="11" t="s">
        <v>367</v>
      </c>
      <c r="O922" s="11" t="s">
        <v>19</v>
      </c>
      <c r="Q922"/>
    </row>
    <row r="923" spans="1:17" ht="15.6" x14ac:dyDescent="0.3">
      <c r="A923" s="15">
        <v>10204</v>
      </c>
      <c r="B923" s="14">
        <v>37957</v>
      </c>
      <c r="C923" s="14" t="s">
        <v>301</v>
      </c>
      <c r="D923" s="15" t="s">
        <v>118</v>
      </c>
      <c r="E923" s="15" t="s">
        <v>28</v>
      </c>
      <c r="F923" s="15" t="s">
        <v>15</v>
      </c>
      <c r="G923" s="15" t="s">
        <v>16</v>
      </c>
      <c r="H923" s="15" t="s">
        <v>32</v>
      </c>
      <c r="I923" s="15" t="s">
        <v>34</v>
      </c>
      <c r="J923" s="15" t="s">
        <v>246</v>
      </c>
      <c r="K923" s="15">
        <v>40</v>
      </c>
      <c r="L923" s="16">
        <v>80</v>
      </c>
      <c r="M923" s="17">
        <v>3200</v>
      </c>
      <c r="N923" s="15" t="s">
        <v>367</v>
      </c>
      <c r="O923" s="15" t="s">
        <v>19</v>
      </c>
      <c r="Q923"/>
    </row>
    <row r="924" spans="1:17" ht="15.6" x14ac:dyDescent="0.3">
      <c r="A924" s="11">
        <v>10204</v>
      </c>
      <c r="B924" s="10">
        <v>37957</v>
      </c>
      <c r="C924" s="10" t="s">
        <v>301</v>
      </c>
      <c r="D924" s="11" t="s">
        <v>118</v>
      </c>
      <c r="E924" s="11" t="s">
        <v>28</v>
      </c>
      <c r="F924" s="11" t="s">
        <v>15</v>
      </c>
      <c r="G924" s="11" t="s">
        <v>16</v>
      </c>
      <c r="H924" s="11" t="s">
        <v>17</v>
      </c>
      <c r="I924" s="11" t="s">
        <v>20</v>
      </c>
      <c r="J924" s="11" t="s">
        <v>242</v>
      </c>
      <c r="K924" s="11">
        <v>33</v>
      </c>
      <c r="L924" s="12">
        <v>48</v>
      </c>
      <c r="M924" s="13">
        <v>1584</v>
      </c>
      <c r="N924" s="11" t="s">
        <v>367</v>
      </c>
      <c r="O924" s="11" t="s">
        <v>19</v>
      </c>
      <c r="Q924"/>
    </row>
    <row r="925" spans="1:17" ht="15.6" x14ac:dyDescent="0.3">
      <c r="A925" s="15">
        <v>10203</v>
      </c>
      <c r="B925" s="14">
        <v>37957</v>
      </c>
      <c r="C925" s="14" t="s">
        <v>279</v>
      </c>
      <c r="D925" s="15" t="s">
        <v>41</v>
      </c>
      <c r="E925" s="15" t="s">
        <v>42</v>
      </c>
      <c r="F925" s="15" t="s">
        <v>43</v>
      </c>
      <c r="G925" s="15" t="s">
        <v>25</v>
      </c>
      <c r="H925" s="15" t="s">
        <v>32</v>
      </c>
      <c r="I925" s="15" t="s">
        <v>45</v>
      </c>
      <c r="J925" s="15" t="s">
        <v>253</v>
      </c>
      <c r="K925" s="15">
        <v>45</v>
      </c>
      <c r="L925" s="16">
        <v>35</v>
      </c>
      <c r="M925" s="17">
        <v>1575</v>
      </c>
      <c r="N925" s="15" t="s">
        <v>367</v>
      </c>
      <c r="O925" s="15" t="s">
        <v>19</v>
      </c>
      <c r="Q925"/>
    </row>
    <row r="926" spans="1:17" ht="15.6" x14ac:dyDescent="0.3">
      <c r="A926" s="11">
        <v>10204</v>
      </c>
      <c r="B926" s="10">
        <v>37957</v>
      </c>
      <c r="C926" s="10" t="s">
        <v>301</v>
      </c>
      <c r="D926" s="11" t="s">
        <v>118</v>
      </c>
      <c r="E926" s="11" t="s">
        <v>28</v>
      </c>
      <c r="F926" s="11" t="s">
        <v>15</v>
      </c>
      <c r="G926" s="11" t="s">
        <v>16</v>
      </c>
      <c r="H926" s="11" t="s">
        <v>32</v>
      </c>
      <c r="I926" s="11" t="s">
        <v>33</v>
      </c>
      <c r="J926" s="11" t="s">
        <v>245</v>
      </c>
      <c r="K926" s="11">
        <v>38</v>
      </c>
      <c r="L926" s="12">
        <v>85</v>
      </c>
      <c r="M926" s="13">
        <v>3230</v>
      </c>
      <c r="N926" s="11" t="s">
        <v>367</v>
      </c>
      <c r="O926" s="11" t="s">
        <v>19</v>
      </c>
      <c r="Q926"/>
    </row>
    <row r="927" spans="1:17" ht="15.6" x14ac:dyDescent="0.3">
      <c r="A927" s="15">
        <v>10204</v>
      </c>
      <c r="B927" s="14">
        <v>37957</v>
      </c>
      <c r="C927" s="14" t="s">
        <v>301</v>
      </c>
      <c r="D927" s="15" t="s">
        <v>118</v>
      </c>
      <c r="E927" s="15" t="s">
        <v>28</v>
      </c>
      <c r="F927" s="15" t="s">
        <v>15</v>
      </c>
      <c r="G927" s="15" t="s">
        <v>16</v>
      </c>
      <c r="H927" s="15" t="s">
        <v>17</v>
      </c>
      <c r="I927" s="15" t="s">
        <v>20</v>
      </c>
      <c r="J927" s="15" t="s">
        <v>242</v>
      </c>
      <c r="K927" s="15">
        <v>23</v>
      </c>
      <c r="L927" s="16">
        <v>48</v>
      </c>
      <c r="M927" s="17">
        <v>1104</v>
      </c>
      <c r="N927" s="15" t="s">
        <v>367</v>
      </c>
      <c r="O927" s="15" t="s">
        <v>19</v>
      </c>
      <c r="Q927"/>
    </row>
    <row r="928" spans="1:17" ht="15.6" x14ac:dyDescent="0.3">
      <c r="A928" s="11">
        <v>10204</v>
      </c>
      <c r="B928" s="10">
        <v>37957</v>
      </c>
      <c r="C928" s="10" t="s">
        <v>301</v>
      </c>
      <c r="D928" s="11" t="s">
        <v>118</v>
      </c>
      <c r="E928" s="11" t="s">
        <v>28</v>
      </c>
      <c r="F928" s="11" t="s">
        <v>15</v>
      </c>
      <c r="G928" s="11" t="s">
        <v>16</v>
      </c>
      <c r="H928" s="11" t="s">
        <v>17</v>
      </c>
      <c r="I928" s="11" t="s">
        <v>20</v>
      </c>
      <c r="J928" s="11" t="s">
        <v>242</v>
      </c>
      <c r="K928" s="11">
        <v>26</v>
      </c>
      <c r="L928" s="12">
        <v>48</v>
      </c>
      <c r="M928" s="13">
        <v>1248</v>
      </c>
      <c r="N928" s="11" t="s">
        <v>367</v>
      </c>
      <c r="O928" s="11" t="s">
        <v>19</v>
      </c>
      <c r="Q928"/>
    </row>
    <row r="929" spans="1:17" ht="15.6" x14ac:dyDescent="0.3">
      <c r="A929" s="15">
        <v>10204</v>
      </c>
      <c r="B929" s="14">
        <v>37957</v>
      </c>
      <c r="C929" s="14" t="s">
        <v>301</v>
      </c>
      <c r="D929" s="15" t="s">
        <v>118</v>
      </c>
      <c r="E929" s="15" t="s">
        <v>28</v>
      </c>
      <c r="F929" s="15" t="s">
        <v>15</v>
      </c>
      <c r="G929" s="15" t="s">
        <v>16</v>
      </c>
      <c r="H929" s="15" t="s">
        <v>32</v>
      </c>
      <c r="I929" s="15" t="s">
        <v>45</v>
      </c>
      <c r="J929" s="15" t="s">
        <v>253</v>
      </c>
      <c r="K929" s="15">
        <v>27</v>
      </c>
      <c r="L929" s="16">
        <v>35</v>
      </c>
      <c r="M929" s="17">
        <v>945</v>
      </c>
      <c r="N929" s="15" t="s">
        <v>367</v>
      </c>
      <c r="O929" s="15" t="s">
        <v>19</v>
      </c>
      <c r="Q929"/>
    </row>
    <row r="930" spans="1:17" ht="15.6" x14ac:dyDescent="0.3">
      <c r="A930" s="11">
        <v>10203</v>
      </c>
      <c r="B930" s="10">
        <v>37957</v>
      </c>
      <c r="C930" s="10" t="s">
        <v>279</v>
      </c>
      <c r="D930" s="11" t="s">
        <v>41</v>
      </c>
      <c r="E930" s="11" t="s">
        <v>42</v>
      </c>
      <c r="F930" s="11" t="s">
        <v>43</v>
      </c>
      <c r="G930" s="11" t="s">
        <v>25</v>
      </c>
      <c r="H930" s="11" t="s">
        <v>32</v>
      </c>
      <c r="I930" s="11" t="s">
        <v>46</v>
      </c>
      <c r="J930" s="11" t="s">
        <v>254</v>
      </c>
      <c r="K930" s="11">
        <v>48</v>
      </c>
      <c r="L930" s="12">
        <v>90</v>
      </c>
      <c r="M930" s="13">
        <v>4320</v>
      </c>
      <c r="N930" s="11" t="s">
        <v>367</v>
      </c>
      <c r="O930" s="11" t="s">
        <v>19</v>
      </c>
      <c r="Q930"/>
    </row>
    <row r="931" spans="1:17" ht="15.6" x14ac:dyDescent="0.3">
      <c r="A931" s="15">
        <v>10203</v>
      </c>
      <c r="B931" s="14">
        <v>37957</v>
      </c>
      <c r="C931" s="14" t="s">
        <v>279</v>
      </c>
      <c r="D931" s="15" t="s">
        <v>41</v>
      </c>
      <c r="E931" s="15" t="s">
        <v>42</v>
      </c>
      <c r="F931" s="15" t="s">
        <v>43</v>
      </c>
      <c r="G931" s="15" t="s">
        <v>25</v>
      </c>
      <c r="H931" s="15" t="s">
        <v>32</v>
      </c>
      <c r="I931" s="15" t="s">
        <v>44</v>
      </c>
      <c r="J931" s="15" t="s">
        <v>252</v>
      </c>
      <c r="K931" s="15">
        <v>33</v>
      </c>
      <c r="L931" s="16">
        <v>55</v>
      </c>
      <c r="M931" s="17">
        <v>1815</v>
      </c>
      <c r="N931" s="15" t="s">
        <v>367</v>
      </c>
      <c r="O931" s="15" t="s">
        <v>19</v>
      </c>
      <c r="Q931"/>
    </row>
    <row r="932" spans="1:17" ht="15.6" x14ac:dyDescent="0.3">
      <c r="A932" s="11">
        <v>10203</v>
      </c>
      <c r="B932" s="10">
        <v>37957</v>
      </c>
      <c r="C932" s="10" t="s">
        <v>279</v>
      </c>
      <c r="D932" s="11" t="s">
        <v>41</v>
      </c>
      <c r="E932" s="11" t="s">
        <v>42</v>
      </c>
      <c r="F932" s="11" t="s">
        <v>43</v>
      </c>
      <c r="G932" s="11" t="s">
        <v>25</v>
      </c>
      <c r="H932" s="11" t="s">
        <v>32</v>
      </c>
      <c r="I932" s="11" t="s">
        <v>33</v>
      </c>
      <c r="J932" s="11" t="s">
        <v>245</v>
      </c>
      <c r="K932" s="11">
        <v>32</v>
      </c>
      <c r="L932" s="12">
        <v>85</v>
      </c>
      <c r="M932" s="13">
        <v>2720</v>
      </c>
      <c r="N932" s="11" t="s">
        <v>367</v>
      </c>
      <c r="O932" s="11" t="s">
        <v>19</v>
      </c>
      <c r="Q932"/>
    </row>
    <row r="933" spans="1:17" ht="15.6" x14ac:dyDescent="0.3">
      <c r="A933" s="15">
        <v>10204</v>
      </c>
      <c r="B933" s="14">
        <v>37957</v>
      </c>
      <c r="C933" s="14" t="s">
        <v>301</v>
      </c>
      <c r="D933" s="15" t="s">
        <v>118</v>
      </c>
      <c r="E933" s="15" t="s">
        <v>28</v>
      </c>
      <c r="F933" s="15" t="s">
        <v>15</v>
      </c>
      <c r="G933" s="15" t="s">
        <v>16</v>
      </c>
      <c r="H933" s="15" t="s">
        <v>32</v>
      </c>
      <c r="I933" s="15" t="s">
        <v>44</v>
      </c>
      <c r="J933" s="15" t="s">
        <v>252</v>
      </c>
      <c r="K933" s="15">
        <v>35</v>
      </c>
      <c r="L933" s="16">
        <v>55</v>
      </c>
      <c r="M933" s="17">
        <v>1925</v>
      </c>
      <c r="N933" s="15" t="s">
        <v>367</v>
      </c>
      <c r="O933" s="15" t="s">
        <v>19</v>
      </c>
      <c r="Q933"/>
    </row>
    <row r="934" spans="1:17" ht="15.6" x14ac:dyDescent="0.3">
      <c r="A934" s="11">
        <v>10204</v>
      </c>
      <c r="B934" s="10">
        <v>37957</v>
      </c>
      <c r="C934" s="10" t="s">
        <v>301</v>
      </c>
      <c r="D934" s="11" t="s">
        <v>118</v>
      </c>
      <c r="E934" s="11" t="s">
        <v>28</v>
      </c>
      <c r="F934" s="11" t="s">
        <v>15</v>
      </c>
      <c r="G934" s="11" t="s">
        <v>16</v>
      </c>
      <c r="H934" s="11" t="s">
        <v>17</v>
      </c>
      <c r="I934" s="11" t="s">
        <v>20</v>
      </c>
      <c r="J934" s="11" t="s">
        <v>242</v>
      </c>
      <c r="K934" s="11">
        <v>29</v>
      </c>
      <c r="L934" s="12">
        <v>48</v>
      </c>
      <c r="M934" s="13">
        <v>1392</v>
      </c>
      <c r="N934" s="11" t="s">
        <v>367</v>
      </c>
      <c r="O934" s="11" t="s">
        <v>19</v>
      </c>
      <c r="Q934"/>
    </row>
    <row r="935" spans="1:17" ht="15.6" x14ac:dyDescent="0.3">
      <c r="A935" s="15">
        <v>10204</v>
      </c>
      <c r="B935" s="14">
        <v>37957</v>
      </c>
      <c r="C935" s="14" t="s">
        <v>301</v>
      </c>
      <c r="D935" s="15" t="s">
        <v>118</v>
      </c>
      <c r="E935" s="15" t="s">
        <v>28</v>
      </c>
      <c r="F935" s="15" t="s">
        <v>15</v>
      </c>
      <c r="G935" s="15" t="s">
        <v>16</v>
      </c>
      <c r="H935" s="15" t="s">
        <v>32</v>
      </c>
      <c r="I935" s="15" t="s">
        <v>45</v>
      </c>
      <c r="J935" s="15" t="s">
        <v>253</v>
      </c>
      <c r="K935" s="15">
        <v>45</v>
      </c>
      <c r="L935" s="16">
        <v>35</v>
      </c>
      <c r="M935" s="17">
        <v>1575</v>
      </c>
      <c r="N935" s="15" t="s">
        <v>367</v>
      </c>
      <c r="O935" s="15" t="s">
        <v>19</v>
      </c>
      <c r="Q935"/>
    </row>
    <row r="936" spans="1:17" ht="15.6" x14ac:dyDescent="0.3">
      <c r="A936" s="11">
        <v>10204</v>
      </c>
      <c r="B936" s="10">
        <v>37957</v>
      </c>
      <c r="C936" s="10" t="s">
        <v>301</v>
      </c>
      <c r="D936" s="11" t="s">
        <v>118</v>
      </c>
      <c r="E936" s="11" t="s">
        <v>28</v>
      </c>
      <c r="F936" s="11" t="s">
        <v>15</v>
      </c>
      <c r="G936" s="11" t="s">
        <v>16</v>
      </c>
      <c r="H936" s="11" t="s">
        <v>32</v>
      </c>
      <c r="I936" s="11" t="s">
        <v>45</v>
      </c>
      <c r="J936" s="11" t="s">
        <v>253</v>
      </c>
      <c r="K936" s="11">
        <v>20</v>
      </c>
      <c r="L936" s="12">
        <v>35</v>
      </c>
      <c r="M936" s="13">
        <v>700</v>
      </c>
      <c r="N936" s="11" t="s">
        <v>367</v>
      </c>
      <c r="O936" s="11" t="s">
        <v>19</v>
      </c>
      <c r="Q936"/>
    </row>
    <row r="937" spans="1:17" ht="15.6" x14ac:dyDescent="0.3">
      <c r="A937" s="15">
        <v>10204</v>
      </c>
      <c r="B937" s="14">
        <v>37957</v>
      </c>
      <c r="C937" s="14" t="s">
        <v>301</v>
      </c>
      <c r="D937" s="15" t="s">
        <v>118</v>
      </c>
      <c r="E937" s="15" t="s">
        <v>28</v>
      </c>
      <c r="F937" s="15" t="s">
        <v>15</v>
      </c>
      <c r="G937" s="15" t="s">
        <v>16</v>
      </c>
      <c r="H937" s="15" t="s">
        <v>32</v>
      </c>
      <c r="I937" s="15" t="s">
        <v>44</v>
      </c>
      <c r="J937" s="15" t="s">
        <v>252</v>
      </c>
      <c r="K937" s="15">
        <v>45</v>
      </c>
      <c r="L937" s="16">
        <v>55</v>
      </c>
      <c r="M937" s="17">
        <v>2475</v>
      </c>
      <c r="N937" s="15" t="s">
        <v>367</v>
      </c>
      <c r="O937" s="15" t="s">
        <v>19</v>
      </c>
      <c r="Q937"/>
    </row>
    <row r="938" spans="1:17" ht="15.6" x14ac:dyDescent="0.3">
      <c r="A938" s="11">
        <v>10204</v>
      </c>
      <c r="B938" s="10">
        <v>37957</v>
      </c>
      <c r="C938" s="10" t="s">
        <v>301</v>
      </c>
      <c r="D938" s="11" t="s">
        <v>118</v>
      </c>
      <c r="E938" s="11" t="s">
        <v>28</v>
      </c>
      <c r="F938" s="11" t="s">
        <v>15</v>
      </c>
      <c r="G938" s="11" t="s">
        <v>16</v>
      </c>
      <c r="H938" s="11" t="s">
        <v>32</v>
      </c>
      <c r="I938" s="11" t="s">
        <v>33</v>
      </c>
      <c r="J938" s="11" t="s">
        <v>245</v>
      </c>
      <c r="K938" s="11">
        <v>47</v>
      </c>
      <c r="L938" s="12">
        <v>85</v>
      </c>
      <c r="M938" s="13">
        <v>3995</v>
      </c>
      <c r="N938" s="11" t="s">
        <v>367</v>
      </c>
      <c r="O938" s="11" t="s">
        <v>19</v>
      </c>
      <c r="Q938"/>
    </row>
    <row r="939" spans="1:17" ht="15.6" x14ac:dyDescent="0.3">
      <c r="A939" s="15">
        <v>10204</v>
      </c>
      <c r="B939" s="14">
        <v>37957</v>
      </c>
      <c r="C939" s="14" t="s">
        <v>301</v>
      </c>
      <c r="D939" s="15" t="s">
        <v>118</v>
      </c>
      <c r="E939" s="15" t="s">
        <v>28</v>
      </c>
      <c r="F939" s="15" t="s">
        <v>15</v>
      </c>
      <c r="G939" s="15" t="s">
        <v>16</v>
      </c>
      <c r="H939" s="15" t="s">
        <v>32</v>
      </c>
      <c r="I939" s="15" t="s">
        <v>44</v>
      </c>
      <c r="J939" s="15" t="s">
        <v>252</v>
      </c>
      <c r="K939" s="15">
        <v>42</v>
      </c>
      <c r="L939" s="16">
        <v>55</v>
      </c>
      <c r="M939" s="17">
        <v>2310</v>
      </c>
      <c r="N939" s="15" t="s">
        <v>367</v>
      </c>
      <c r="O939" s="15" t="s">
        <v>19</v>
      </c>
      <c r="Q939"/>
    </row>
    <row r="940" spans="1:17" ht="15.6" x14ac:dyDescent="0.3">
      <c r="A940" s="11">
        <v>10203</v>
      </c>
      <c r="B940" s="10">
        <v>37957</v>
      </c>
      <c r="C940" s="10" t="s">
        <v>279</v>
      </c>
      <c r="D940" s="11" t="s">
        <v>41</v>
      </c>
      <c r="E940" s="11" t="s">
        <v>42</v>
      </c>
      <c r="F940" s="11" t="s">
        <v>43</v>
      </c>
      <c r="G940" s="11" t="s">
        <v>25</v>
      </c>
      <c r="H940" s="11" t="s">
        <v>32</v>
      </c>
      <c r="I940" s="11" t="s">
        <v>33</v>
      </c>
      <c r="J940" s="11" t="s">
        <v>245</v>
      </c>
      <c r="K940" s="11">
        <v>21</v>
      </c>
      <c r="L940" s="12">
        <v>85</v>
      </c>
      <c r="M940" s="13">
        <v>1785</v>
      </c>
      <c r="N940" s="11" t="s">
        <v>367</v>
      </c>
      <c r="O940" s="11" t="s">
        <v>19</v>
      </c>
      <c r="Q940"/>
    </row>
    <row r="941" spans="1:17" ht="15.6" x14ac:dyDescent="0.3">
      <c r="A941" s="15">
        <v>10204</v>
      </c>
      <c r="B941" s="14">
        <v>37957</v>
      </c>
      <c r="C941" s="14" t="s">
        <v>301</v>
      </c>
      <c r="D941" s="15" t="s">
        <v>118</v>
      </c>
      <c r="E941" s="15" t="s">
        <v>28</v>
      </c>
      <c r="F941" s="15" t="s">
        <v>15</v>
      </c>
      <c r="G941" s="15" t="s">
        <v>16</v>
      </c>
      <c r="H941" s="15" t="s">
        <v>32</v>
      </c>
      <c r="I941" s="15" t="s">
        <v>44</v>
      </c>
      <c r="J941" s="15" t="s">
        <v>252</v>
      </c>
      <c r="K941" s="15">
        <v>40</v>
      </c>
      <c r="L941" s="16">
        <v>55</v>
      </c>
      <c r="M941" s="17">
        <v>2200</v>
      </c>
      <c r="N941" s="15" t="s">
        <v>367</v>
      </c>
      <c r="O941" s="15" t="s">
        <v>19</v>
      </c>
      <c r="Q941"/>
    </row>
    <row r="942" spans="1:17" ht="15.6" x14ac:dyDescent="0.3">
      <c r="A942" s="11">
        <v>10203</v>
      </c>
      <c r="B942" s="10">
        <v>37957</v>
      </c>
      <c r="C942" s="10" t="s">
        <v>279</v>
      </c>
      <c r="D942" s="11" t="s">
        <v>41</v>
      </c>
      <c r="E942" s="11" t="s">
        <v>42</v>
      </c>
      <c r="F942" s="11" t="s">
        <v>43</v>
      </c>
      <c r="G942" s="11" t="s">
        <v>25</v>
      </c>
      <c r="H942" s="11" t="s">
        <v>32</v>
      </c>
      <c r="I942" s="11" t="s">
        <v>33</v>
      </c>
      <c r="J942" s="11" t="s">
        <v>245</v>
      </c>
      <c r="K942" s="11">
        <v>34</v>
      </c>
      <c r="L942" s="12">
        <v>85</v>
      </c>
      <c r="M942" s="13">
        <v>2890</v>
      </c>
      <c r="N942" s="11" t="s">
        <v>367</v>
      </c>
      <c r="O942" s="11" t="s">
        <v>19</v>
      </c>
      <c r="Q942"/>
    </row>
    <row r="943" spans="1:17" ht="15.6" x14ac:dyDescent="0.3">
      <c r="A943" s="15">
        <v>10204</v>
      </c>
      <c r="B943" s="14">
        <v>37957</v>
      </c>
      <c r="C943" s="14" t="s">
        <v>301</v>
      </c>
      <c r="D943" s="15" t="s">
        <v>118</v>
      </c>
      <c r="E943" s="15" t="s">
        <v>28</v>
      </c>
      <c r="F943" s="15" t="s">
        <v>15</v>
      </c>
      <c r="G943" s="15" t="s">
        <v>16</v>
      </c>
      <c r="H943" s="15" t="s">
        <v>32</v>
      </c>
      <c r="I943" s="15" t="s">
        <v>45</v>
      </c>
      <c r="J943" s="15" t="s">
        <v>253</v>
      </c>
      <c r="K943" s="15">
        <v>48</v>
      </c>
      <c r="L943" s="16">
        <v>35</v>
      </c>
      <c r="M943" s="17">
        <v>1680</v>
      </c>
      <c r="N943" s="15" t="s">
        <v>367</v>
      </c>
      <c r="O943" s="15" t="s">
        <v>19</v>
      </c>
      <c r="Q943"/>
    </row>
    <row r="944" spans="1:17" ht="15.6" x14ac:dyDescent="0.3">
      <c r="A944" s="11">
        <v>10203</v>
      </c>
      <c r="B944" s="10">
        <v>37957</v>
      </c>
      <c r="C944" s="10" t="s">
        <v>279</v>
      </c>
      <c r="D944" s="11" t="s">
        <v>41</v>
      </c>
      <c r="E944" s="11" t="s">
        <v>42</v>
      </c>
      <c r="F944" s="11" t="s">
        <v>43</v>
      </c>
      <c r="G944" s="11" t="s">
        <v>25</v>
      </c>
      <c r="H944" s="11" t="s">
        <v>32</v>
      </c>
      <c r="I944" s="11" t="s">
        <v>34</v>
      </c>
      <c r="J944" s="11" t="s">
        <v>246</v>
      </c>
      <c r="K944" s="11">
        <v>47</v>
      </c>
      <c r="L944" s="12">
        <v>80</v>
      </c>
      <c r="M944" s="13">
        <v>3760</v>
      </c>
      <c r="N944" s="11" t="s">
        <v>367</v>
      </c>
      <c r="O944" s="11" t="s">
        <v>19</v>
      </c>
      <c r="Q944"/>
    </row>
    <row r="945" spans="1:17" ht="15.6" x14ac:dyDescent="0.3">
      <c r="A945" s="15">
        <v>10204</v>
      </c>
      <c r="B945" s="14">
        <v>37957</v>
      </c>
      <c r="C945" s="14" t="s">
        <v>301</v>
      </c>
      <c r="D945" s="15" t="s">
        <v>118</v>
      </c>
      <c r="E945" s="15" t="s">
        <v>28</v>
      </c>
      <c r="F945" s="15" t="s">
        <v>15</v>
      </c>
      <c r="G945" s="15" t="s">
        <v>16</v>
      </c>
      <c r="H945" s="15" t="s">
        <v>17</v>
      </c>
      <c r="I945" s="15" t="s">
        <v>20</v>
      </c>
      <c r="J945" s="15" t="s">
        <v>242</v>
      </c>
      <c r="K945" s="15">
        <v>39</v>
      </c>
      <c r="L945" s="16">
        <v>48</v>
      </c>
      <c r="M945" s="17">
        <v>1872</v>
      </c>
      <c r="N945" s="15" t="s">
        <v>367</v>
      </c>
      <c r="O945" s="15" t="s">
        <v>19</v>
      </c>
      <c r="Q945"/>
    </row>
    <row r="946" spans="1:17" ht="15.6" x14ac:dyDescent="0.3">
      <c r="A946" s="11">
        <v>10205</v>
      </c>
      <c r="B946" s="10">
        <v>37958</v>
      </c>
      <c r="C946" s="10" t="s">
        <v>279</v>
      </c>
      <c r="D946" s="11" t="s">
        <v>41</v>
      </c>
      <c r="E946" s="11" t="s">
        <v>42</v>
      </c>
      <c r="F946" s="11" t="s">
        <v>43</v>
      </c>
      <c r="G946" s="11" t="s">
        <v>25</v>
      </c>
      <c r="H946" s="11" t="s">
        <v>17</v>
      </c>
      <c r="I946" s="11" t="s">
        <v>18</v>
      </c>
      <c r="J946" s="11" t="s">
        <v>241</v>
      </c>
      <c r="K946" s="11">
        <v>36</v>
      </c>
      <c r="L946" s="12">
        <v>30</v>
      </c>
      <c r="M946" s="13">
        <v>1080</v>
      </c>
      <c r="N946" s="11" t="s">
        <v>367</v>
      </c>
      <c r="O946" s="11" t="s">
        <v>19</v>
      </c>
      <c r="Q946"/>
    </row>
    <row r="947" spans="1:17" ht="15.6" x14ac:dyDescent="0.3">
      <c r="A947" s="15">
        <v>10205</v>
      </c>
      <c r="B947" s="14">
        <v>37958</v>
      </c>
      <c r="C947" s="14" t="s">
        <v>279</v>
      </c>
      <c r="D947" s="15" t="s">
        <v>41</v>
      </c>
      <c r="E947" s="15" t="s">
        <v>42</v>
      </c>
      <c r="F947" s="15" t="s">
        <v>43</v>
      </c>
      <c r="G947" s="15" t="s">
        <v>25</v>
      </c>
      <c r="H947" s="15" t="s">
        <v>17</v>
      </c>
      <c r="I947" s="15" t="s">
        <v>26</v>
      </c>
      <c r="J947" s="15" t="s">
        <v>244</v>
      </c>
      <c r="K947" s="15">
        <v>48</v>
      </c>
      <c r="L947" s="16">
        <v>60</v>
      </c>
      <c r="M947" s="17">
        <v>2880</v>
      </c>
      <c r="N947" s="15" t="s">
        <v>367</v>
      </c>
      <c r="O947" s="15" t="s">
        <v>19</v>
      </c>
      <c r="Q947"/>
    </row>
    <row r="948" spans="1:17" ht="15.6" x14ac:dyDescent="0.3">
      <c r="A948" s="11">
        <v>10205</v>
      </c>
      <c r="B948" s="10">
        <v>37958</v>
      </c>
      <c r="C948" s="10" t="s">
        <v>279</v>
      </c>
      <c r="D948" s="11" t="s">
        <v>41</v>
      </c>
      <c r="E948" s="11" t="s">
        <v>42</v>
      </c>
      <c r="F948" s="11" t="s">
        <v>43</v>
      </c>
      <c r="G948" s="11" t="s">
        <v>25</v>
      </c>
      <c r="H948" s="11" t="s">
        <v>17</v>
      </c>
      <c r="I948" s="11" t="s">
        <v>21</v>
      </c>
      <c r="J948" s="11" t="s">
        <v>243</v>
      </c>
      <c r="K948" s="11">
        <v>40</v>
      </c>
      <c r="L948" s="12">
        <v>110</v>
      </c>
      <c r="M948" s="13">
        <v>4400</v>
      </c>
      <c r="N948" s="11" t="s">
        <v>367</v>
      </c>
      <c r="O948" s="11" t="s">
        <v>19</v>
      </c>
      <c r="Q948"/>
    </row>
    <row r="949" spans="1:17" ht="15.6" x14ac:dyDescent="0.3">
      <c r="A949" s="15">
        <v>10205</v>
      </c>
      <c r="B949" s="14">
        <v>37958</v>
      </c>
      <c r="C949" s="14" t="s">
        <v>279</v>
      </c>
      <c r="D949" s="15" t="s">
        <v>41</v>
      </c>
      <c r="E949" s="15" t="s">
        <v>42</v>
      </c>
      <c r="F949" s="15" t="s">
        <v>43</v>
      </c>
      <c r="G949" s="15" t="s">
        <v>25</v>
      </c>
      <c r="H949" s="15" t="s">
        <v>17</v>
      </c>
      <c r="I949" s="15" t="s">
        <v>20</v>
      </c>
      <c r="J949" s="15" t="s">
        <v>242</v>
      </c>
      <c r="K949" s="15">
        <v>32</v>
      </c>
      <c r="L949" s="16">
        <v>48</v>
      </c>
      <c r="M949" s="17">
        <v>1536</v>
      </c>
      <c r="N949" s="15" t="s">
        <v>367</v>
      </c>
      <c r="O949" s="15" t="s">
        <v>19</v>
      </c>
      <c r="Q949"/>
    </row>
    <row r="950" spans="1:17" ht="15.6" x14ac:dyDescent="0.3">
      <c r="A950" s="11">
        <v>10205</v>
      </c>
      <c r="B950" s="10">
        <v>37958</v>
      </c>
      <c r="C950" s="10" t="s">
        <v>279</v>
      </c>
      <c r="D950" s="11" t="s">
        <v>41</v>
      </c>
      <c r="E950" s="11" t="s">
        <v>42</v>
      </c>
      <c r="F950" s="11" t="s">
        <v>43</v>
      </c>
      <c r="G950" s="11" t="s">
        <v>25</v>
      </c>
      <c r="H950" s="11" t="s">
        <v>17</v>
      </c>
      <c r="I950" s="11" t="s">
        <v>20</v>
      </c>
      <c r="J950" s="11" t="s">
        <v>242</v>
      </c>
      <c r="K950" s="11">
        <v>24</v>
      </c>
      <c r="L950" s="12">
        <v>48</v>
      </c>
      <c r="M950" s="13">
        <v>1152</v>
      </c>
      <c r="N950" s="11" t="s">
        <v>367</v>
      </c>
      <c r="O950" s="11" t="s">
        <v>19</v>
      </c>
      <c r="Q950"/>
    </row>
    <row r="951" spans="1:17" ht="15.6" x14ac:dyDescent="0.3">
      <c r="A951" s="15">
        <v>10206</v>
      </c>
      <c r="B951" s="14">
        <v>37960</v>
      </c>
      <c r="C951" s="14" t="s">
        <v>342</v>
      </c>
      <c r="D951" s="15" t="s">
        <v>195</v>
      </c>
      <c r="E951" s="15" t="s">
        <v>196</v>
      </c>
      <c r="F951" s="15" t="s">
        <v>169</v>
      </c>
      <c r="G951" s="15" t="s">
        <v>16</v>
      </c>
      <c r="H951" s="15" t="s">
        <v>32</v>
      </c>
      <c r="I951" s="15" t="s">
        <v>44</v>
      </c>
      <c r="J951" s="15" t="s">
        <v>252</v>
      </c>
      <c r="K951" s="15">
        <v>47</v>
      </c>
      <c r="L951" s="16">
        <v>55</v>
      </c>
      <c r="M951" s="17">
        <v>2585</v>
      </c>
      <c r="N951" s="15" t="s">
        <v>367</v>
      </c>
      <c r="O951" s="15" t="s">
        <v>19</v>
      </c>
      <c r="Q951"/>
    </row>
    <row r="952" spans="1:17" ht="15.6" x14ac:dyDescent="0.3">
      <c r="A952" s="11">
        <v>10206</v>
      </c>
      <c r="B952" s="10">
        <v>37960</v>
      </c>
      <c r="C952" s="10" t="s">
        <v>342</v>
      </c>
      <c r="D952" s="11" t="s">
        <v>195</v>
      </c>
      <c r="E952" s="11" t="s">
        <v>196</v>
      </c>
      <c r="F952" s="11" t="s">
        <v>169</v>
      </c>
      <c r="G952" s="11" t="s">
        <v>16</v>
      </c>
      <c r="H952" s="11" t="s">
        <v>35</v>
      </c>
      <c r="I952" s="11" t="s">
        <v>39</v>
      </c>
      <c r="J952" s="11" t="s">
        <v>250</v>
      </c>
      <c r="K952" s="11">
        <v>28</v>
      </c>
      <c r="L952" s="12">
        <v>20</v>
      </c>
      <c r="M952" s="13">
        <v>560</v>
      </c>
      <c r="N952" s="11" t="s">
        <v>367</v>
      </c>
      <c r="O952" s="11" t="s">
        <v>19</v>
      </c>
      <c r="Q952"/>
    </row>
    <row r="953" spans="1:17" ht="15.6" x14ac:dyDescent="0.3">
      <c r="A953" s="15">
        <v>10206</v>
      </c>
      <c r="B953" s="14">
        <v>37960</v>
      </c>
      <c r="C953" s="14" t="s">
        <v>342</v>
      </c>
      <c r="D953" s="15" t="s">
        <v>195</v>
      </c>
      <c r="E953" s="15" t="s">
        <v>196</v>
      </c>
      <c r="F953" s="15" t="s">
        <v>169</v>
      </c>
      <c r="G953" s="15" t="s">
        <v>16</v>
      </c>
      <c r="H953" s="15" t="s">
        <v>35</v>
      </c>
      <c r="I953" s="15" t="s">
        <v>38</v>
      </c>
      <c r="J953" s="15" t="s">
        <v>249</v>
      </c>
      <c r="K953" s="15">
        <v>34</v>
      </c>
      <c r="L953" s="16">
        <v>20</v>
      </c>
      <c r="M953" s="17">
        <v>680</v>
      </c>
      <c r="N953" s="15" t="s">
        <v>367</v>
      </c>
      <c r="O953" s="15" t="s">
        <v>19</v>
      </c>
      <c r="Q953"/>
    </row>
    <row r="954" spans="1:17" ht="15.6" x14ac:dyDescent="0.3">
      <c r="A954" s="11">
        <v>10206</v>
      </c>
      <c r="B954" s="10">
        <v>37960</v>
      </c>
      <c r="C954" s="10" t="s">
        <v>342</v>
      </c>
      <c r="D954" s="11" t="s">
        <v>195</v>
      </c>
      <c r="E954" s="11" t="s">
        <v>196</v>
      </c>
      <c r="F954" s="11" t="s">
        <v>169</v>
      </c>
      <c r="G954" s="11" t="s">
        <v>16</v>
      </c>
      <c r="H954" s="11" t="s">
        <v>17</v>
      </c>
      <c r="I954" s="11" t="s">
        <v>26</v>
      </c>
      <c r="J954" s="11" t="s">
        <v>244</v>
      </c>
      <c r="K954" s="11">
        <v>37</v>
      </c>
      <c r="L954" s="12">
        <v>60</v>
      </c>
      <c r="M954" s="13">
        <v>2220</v>
      </c>
      <c r="N954" s="11" t="s">
        <v>367</v>
      </c>
      <c r="O954" s="11" t="s">
        <v>19</v>
      </c>
      <c r="Q954"/>
    </row>
    <row r="955" spans="1:17" ht="15.6" x14ac:dyDescent="0.3">
      <c r="A955" s="15">
        <v>10206</v>
      </c>
      <c r="B955" s="14">
        <v>37960</v>
      </c>
      <c r="C955" s="14" t="s">
        <v>342</v>
      </c>
      <c r="D955" s="15" t="s">
        <v>195</v>
      </c>
      <c r="E955" s="15" t="s">
        <v>196</v>
      </c>
      <c r="F955" s="15" t="s">
        <v>169</v>
      </c>
      <c r="G955" s="15" t="s">
        <v>16</v>
      </c>
      <c r="H955" s="15" t="s">
        <v>17</v>
      </c>
      <c r="I955" s="15" t="s">
        <v>82</v>
      </c>
      <c r="J955" s="15" t="s">
        <v>270</v>
      </c>
      <c r="K955" s="15">
        <v>28</v>
      </c>
      <c r="L955" s="16">
        <v>75</v>
      </c>
      <c r="M955" s="17">
        <v>2100</v>
      </c>
      <c r="N955" s="15" t="s">
        <v>367</v>
      </c>
      <c r="O955" s="15" t="s">
        <v>19</v>
      </c>
      <c r="Q955"/>
    </row>
    <row r="956" spans="1:17" ht="15.6" x14ac:dyDescent="0.3">
      <c r="A956" s="11">
        <v>10206</v>
      </c>
      <c r="B956" s="10">
        <v>37960</v>
      </c>
      <c r="C956" s="10" t="s">
        <v>342</v>
      </c>
      <c r="D956" s="11" t="s">
        <v>195</v>
      </c>
      <c r="E956" s="11" t="s">
        <v>196</v>
      </c>
      <c r="F956" s="11" t="s">
        <v>169</v>
      </c>
      <c r="G956" s="11" t="s">
        <v>16</v>
      </c>
      <c r="H956" s="11" t="s">
        <v>17</v>
      </c>
      <c r="I956" s="11" t="s">
        <v>20</v>
      </c>
      <c r="J956" s="11" t="s">
        <v>242</v>
      </c>
      <c r="K956" s="11">
        <v>30</v>
      </c>
      <c r="L956" s="12">
        <v>48</v>
      </c>
      <c r="M956" s="13">
        <v>1440</v>
      </c>
      <c r="N956" s="11" t="s">
        <v>367</v>
      </c>
      <c r="O956" s="11" t="s">
        <v>19</v>
      </c>
      <c r="Q956"/>
    </row>
    <row r="957" spans="1:17" ht="15.6" x14ac:dyDescent="0.3">
      <c r="A957" s="15">
        <v>10206</v>
      </c>
      <c r="B957" s="14">
        <v>37960</v>
      </c>
      <c r="C957" s="14" t="s">
        <v>342</v>
      </c>
      <c r="D957" s="15" t="s">
        <v>195</v>
      </c>
      <c r="E957" s="15" t="s">
        <v>196</v>
      </c>
      <c r="F957" s="15" t="s">
        <v>169</v>
      </c>
      <c r="G957" s="15" t="s">
        <v>16</v>
      </c>
      <c r="H957" s="15" t="s">
        <v>17</v>
      </c>
      <c r="I957" s="15" t="s">
        <v>21</v>
      </c>
      <c r="J957" s="15" t="s">
        <v>243</v>
      </c>
      <c r="K957" s="15">
        <v>28</v>
      </c>
      <c r="L957" s="16">
        <v>110</v>
      </c>
      <c r="M957" s="17">
        <v>3080</v>
      </c>
      <c r="N957" s="15" t="s">
        <v>367</v>
      </c>
      <c r="O957" s="15" t="s">
        <v>19</v>
      </c>
      <c r="Q957"/>
    </row>
    <row r="958" spans="1:17" ht="15.6" x14ac:dyDescent="0.3">
      <c r="A958" s="11">
        <v>10206</v>
      </c>
      <c r="B958" s="10">
        <v>37960</v>
      </c>
      <c r="C958" s="10" t="s">
        <v>342</v>
      </c>
      <c r="D958" s="11" t="s">
        <v>195</v>
      </c>
      <c r="E958" s="11" t="s">
        <v>196</v>
      </c>
      <c r="F958" s="11" t="s">
        <v>169</v>
      </c>
      <c r="G958" s="11" t="s">
        <v>16</v>
      </c>
      <c r="H958" s="11" t="s">
        <v>17</v>
      </c>
      <c r="I958" s="11" t="s">
        <v>20</v>
      </c>
      <c r="J958" s="11" t="s">
        <v>242</v>
      </c>
      <c r="K958" s="11">
        <v>21</v>
      </c>
      <c r="L958" s="12">
        <v>48</v>
      </c>
      <c r="M958" s="13">
        <v>1008</v>
      </c>
      <c r="N958" s="11" t="s">
        <v>367</v>
      </c>
      <c r="O958" s="11" t="s">
        <v>19</v>
      </c>
      <c r="Q958"/>
    </row>
    <row r="959" spans="1:17" ht="15.6" x14ac:dyDescent="0.3">
      <c r="A959" s="15">
        <v>10206</v>
      </c>
      <c r="B959" s="14">
        <v>37960</v>
      </c>
      <c r="C959" s="14" t="s">
        <v>342</v>
      </c>
      <c r="D959" s="15" t="s">
        <v>195</v>
      </c>
      <c r="E959" s="15" t="s">
        <v>196</v>
      </c>
      <c r="F959" s="15" t="s">
        <v>169</v>
      </c>
      <c r="G959" s="15" t="s">
        <v>16</v>
      </c>
      <c r="H959" s="15" t="s">
        <v>17</v>
      </c>
      <c r="I959" s="15" t="s">
        <v>20</v>
      </c>
      <c r="J959" s="15" t="s">
        <v>242</v>
      </c>
      <c r="K959" s="15">
        <v>33</v>
      </c>
      <c r="L959" s="16">
        <v>48</v>
      </c>
      <c r="M959" s="17">
        <v>1584</v>
      </c>
      <c r="N959" s="15" t="s">
        <v>367</v>
      </c>
      <c r="O959" s="15" t="s">
        <v>19</v>
      </c>
      <c r="Q959"/>
    </row>
    <row r="960" spans="1:17" ht="15.6" x14ac:dyDescent="0.3">
      <c r="A960" s="11">
        <v>10206</v>
      </c>
      <c r="B960" s="10">
        <v>37960</v>
      </c>
      <c r="C960" s="10" t="s">
        <v>342</v>
      </c>
      <c r="D960" s="11" t="s">
        <v>195</v>
      </c>
      <c r="E960" s="11" t="s">
        <v>196</v>
      </c>
      <c r="F960" s="11" t="s">
        <v>169</v>
      </c>
      <c r="G960" s="11" t="s">
        <v>16</v>
      </c>
      <c r="H960" s="11" t="s">
        <v>35</v>
      </c>
      <c r="I960" s="11" t="s">
        <v>39</v>
      </c>
      <c r="J960" s="11" t="s">
        <v>250</v>
      </c>
      <c r="K960" s="11">
        <v>36</v>
      </c>
      <c r="L960" s="12">
        <v>20</v>
      </c>
      <c r="M960" s="13">
        <v>720</v>
      </c>
      <c r="N960" s="11" t="s">
        <v>367</v>
      </c>
      <c r="O960" s="11" t="s">
        <v>19</v>
      </c>
      <c r="Q960"/>
    </row>
    <row r="961" spans="1:17" ht="15.6" x14ac:dyDescent="0.3">
      <c r="A961" s="15">
        <v>10206</v>
      </c>
      <c r="B961" s="14">
        <v>37960</v>
      </c>
      <c r="C961" s="14" t="s">
        <v>342</v>
      </c>
      <c r="D961" s="15" t="s">
        <v>195</v>
      </c>
      <c r="E961" s="15" t="s">
        <v>196</v>
      </c>
      <c r="F961" s="15" t="s">
        <v>169</v>
      </c>
      <c r="G961" s="15" t="s">
        <v>16</v>
      </c>
      <c r="H961" s="15" t="s">
        <v>32</v>
      </c>
      <c r="I961" s="15" t="s">
        <v>46</v>
      </c>
      <c r="J961" s="15" t="s">
        <v>254</v>
      </c>
      <c r="K961" s="15">
        <v>33</v>
      </c>
      <c r="L961" s="16">
        <v>90</v>
      </c>
      <c r="M961" s="17">
        <v>2970</v>
      </c>
      <c r="N961" s="15" t="s">
        <v>367</v>
      </c>
      <c r="O961" s="15" t="s">
        <v>19</v>
      </c>
      <c r="Q961"/>
    </row>
    <row r="962" spans="1:17" ht="15.6" x14ac:dyDescent="0.3">
      <c r="A962" s="11">
        <v>10207</v>
      </c>
      <c r="B962" s="10">
        <v>37964</v>
      </c>
      <c r="C962" s="10" t="s">
        <v>343</v>
      </c>
      <c r="D962" s="11" t="s">
        <v>197</v>
      </c>
      <c r="E962" s="11" t="s">
        <v>198</v>
      </c>
      <c r="F962" s="11" t="s">
        <v>15</v>
      </c>
      <c r="G962" s="11" t="s">
        <v>16</v>
      </c>
      <c r="H962" s="11" t="s">
        <v>32</v>
      </c>
      <c r="I962" s="11" t="s">
        <v>34</v>
      </c>
      <c r="J962" s="11" t="s">
        <v>246</v>
      </c>
      <c r="K962" s="11">
        <v>31</v>
      </c>
      <c r="L962" s="12">
        <v>80</v>
      </c>
      <c r="M962" s="13">
        <v>2480</v>
      </c>
      <c r="N962" s="11" t="s">
        <v>367</v>
      </c>
      <c r="O962" s="11" t="s">
        <v>19</v>
      </c>
      <c r="Q962"/>
    </row>
    <row r="963" spans="1:17" ht="15.6" x14ac:dyDescent="0.3">
      <c r="A963" s="15">
        <v>10207</v>
      </c>
      <c r="B963" s="14">
        <v>37964</v>
      </c>
      <c r="C963" s="14" t="s">
        <v>343</v>
      </c>
      <c r="D963" s="15" t="s">
        <v>197</v>
      </c>
      <c r="E963" s="15" t="s">
        <v>198</v>
      </c>
      <c r="F963" s="15" t="s">
        <v>15</v>
      </c>
      <c r="G963" s="15" t="s">
        <v>16</v>
      </c>
      <c r="H963" s="15" t="s">
        <v>35</v>
      </c>
      <c r="I963" s="15" t="s">
        <v>39</v>
      </c>
      <c r="J963" s="15" t="s">
        <v>250</v>
      </c>
      <c r="K963" s="15">
        <v>34</v>
      </c>
      <c r="L963" s="16">
        <v>20</v>
      </c>
      <c r="M963" s="17">
        <v>680</v>
      </c>
      <c r="N963" s="15" t="s">
        <v>367</v>
      </c>
      <c r="O963" s="15" t="s">
        <v>19</v>
      </c>
      <c r="Q963"/>
    </row>
    <row r="964" spans="1:17" ht="15.6" x14ac:dyDescent="0.3">
      <c r="A964" s="11">
        <v>10207</v>
      </c>
      <c r="B964" s="10">
        <v>37964</v>
      </c>
      <c r="C964" s="10" t="s">
        <v>343</v>
      </c>
      <c r="D964" s="11" t="s">
        <v>197</v>
      </c>
      <c r="E964" s="11" t="s">
        <v>198</v>
      </c>
      <c r="F964" s="11" t="s">
        <v>15</v>
      </c>
      <c r="G964" s="11" t="s">
        <v>16</v>
      </c>
      <c r="H964" s="11" t="s">
        <v>32</v>
      </c>
      <c r="I964" s="11" t="s">
        <v>33</v>
      </c>
      <c r="J964" s="11" t="s">
        <v>245</v>
      </c>
      <c r="K964" s="11">
        <v>44</v>
      </c>
      <c r="L964" s="12">
        <v>85</v>
      </c>
      <c r="M964" s="13">
        <v>3740</v>
      </c>
      <c r="N964" s="11" t="s">
        <v>367</v>
      </c>
      <c r="O964" s="11" t="s">
        <v>19</v>
      </c>
      <c r="Q964"/>
    </row>
    <row r="965" spans="1:17" ht="15.6" x14ac:dyDescent="0.3">
      <c r="A965" s="15">
        <v>10207</v>
      </c>
      <c r="B965" s="14">
        <v>37964</v>
      </c>
      <c r="C965" s="14" t="s">
        <v>343</v>
      </c>
      <c r="D965" s="15" t="s">
        <v>197</v>
      </c>
      <c r="E965" s="15" t="s">
        <v>198</v>
      </c>
      <c r="F965" s="15" t="s">
        <v>15</v>
      </c>
      <c r="G965" s="15" t="s">
        <v>16</v>
      </c>
      <c r="H965" s="15" t="s">
        <v>35</v>
      </c>
      <c r="I965" s="15" t="s">
        <v>38</v>
      </c>
      <c r="J965" s="15" t="s">
        <v>249</v>
      </c>
      <c r="K965" s="15">
        <v>43</v>
      </c>
      <c r="L965" s="16">
        <v>20</v>
      </c>
      <c r="M965" s="17">
        <v>860</v>
      </c>
      <c r="N965" s="15" t="s">
        <v>367</v>
      </c>
      <c r="O965" s="15" t="s">
        <v>19</v>
      </c>
      <c r="Q965"/>
    </row>
    <row r="966" spans="1:17" ht="15.6" x14ac:dyDescent="0.3">
      <c r="A966" s="11">
        <v>10207</v>
      </c>
      <c r="B966" s="10">
        <v>37964</v>
      </c>
      <c r="C966" s="10" t="s">
        <v>343</v>
      </c>
      <c r="D966" s="11" t="s">
        <v>197</v>
      </c>
      <c r="E966" s="11" t="s">
        <v>198</v>
      </c>
      <c r="F966" s="11" t="s">
        <v>15</v>
      </c>
      <c r="G966" s="11" t="s">
        <v>16</v>
      </c>
      <c r="H966" s="11" t="s">
        <v>35</v>
      </c>
      <c r="I966" s="11" t="s">
        <v>39</v>
      </c>
      <c r="J966" s="11" t="s">
        <v>250</v>
      </c>
      <c r="K966" s="11">
        <v>37</v>
      </c>
      <c r="L966" s="12">
        <v>20</v>
      </c>
      <c r="M966" s="13">
        <v>740</v>
      </c>
      <c r="N966" s="11" t="s">
        <v>367</v>
      </c>
      <c r="O966" s="11" t="s">
        <v>19</v>
      </c>
      <c r="Q966"/>
    </row>
    <row r="967" spans="1:17" ht="15.6" x14ac:dyDescent="0.3">
      <c r="A967" s="15">
        <v>10207</v>
      </c>
      <c r="B967" s="14">
        <v>37964</v>
      </c>
      <c r="C967" s="14" t="s">
        <v>343</v>
      </c>
      <c r="D967" s="15" t="s">
        <v>197</v>
      </c>
      <c r="E967" s="15" t="s">
        <v>198</v>
      </c>
      <c r="F967" s="15" t="s">
        <v>15</v>
      </c>
      <c r="G967" s="15" t="s">
        <v>16</v>
      </c>
      <c r="H967" s="15" t="s">
        <v>32</v>
      </c>
      <c r="I967" s="15" t="s">
        <v>33</v>
      </c>
      <c r="J967" s="15" t="s">
        <v>245</v>
      </c>
      <c r="K967" s="15">
        <v>25</v>
      </c>
      <c r="L967" s="16">
        <v>85</v>
      </c>
      <c r="M967" s="17">
        <v>2125</v>
      </c>
      <c r="N967" s="15" t="s">
        <v>367</v>
      </c>
      <c r="O967" s="15" t="s">
        <v>19</v>
      </c>
      <c r="Q967"/>
    </row>
    <row r="968" spans="1:17" ht="15.6" x14ac:dyDescent="0.3">
      <c r="A968" s="11">
        <v>10207</v>
      </c>
      <c r="B968" s="10">
        <v>37964</v>
      </c>
      <c r="C968" s="10" t="s">
        <v>343</v>
      </c>
      <c r="D968" s="11" t="s">
        <v>197</v>
      </c>
      <c r="E968" s="11" t="s">
        <v>198</v>
      </c>
      <c r="F968" s="11" t="s">
        <v>15</v>
      </c>
      <c r="G968" s="11" t="s">
        <v>16</v>
      </c>
      <c r="H968" s="11" t="s">
        <v>32</v>
      </c>
      <c r="I968" s="11" t="s">
        <v>46</v>
      </c>
      <c r="J968" s="11" t="s">
        <v>254</v>
      </c>
      <c r="K968" s="11">
        <v>40</v>
      </c>
      <c r="L968" s="12">
        <v>90</v>
      </c>
      <c r="M968" s="13">
        <v>3600</v>
      </c>
      <c r="N968" s="11" t="s">
        <v>367</v>
      </c>
      <c r="O968" s="11" t="s">
        <v>19</v>
      </c>
      <c r="Q968"/>
    </row>
    <row r="969" spans="1:17" ht="15.6" x14ac:dyDescent="0.3">
      <c r="A969" s="15">
        <v>10207</v>
      </c>
      <c r="B969" s="14">
        <v>37964</v>
      </c>
      <c r="C969" s="14" t="s">
        <v>343</v>
      </c>
      <c r="D969" s="15" t="s">
        <v>197</v>
      </c>
      <c r="E969" s="15" t="s">
        <v>198</v>
      </c>
      <c r="F969" s="15" t="s">
        <v>15</v>
      </c>
      <c r="G969" s="15" t="s">
        <v>16</v>
      </c>
      <c r="H969" s="15" t="s">
        <v>35</v>
      </c>
      <c r="I969" s="15" t="s">
        <v>39</v>
      </c>
      <c r="J969" s="15" t="s">
        <v>250</v>
      </c>
      <c r="K969" s="15">
        <v>47</v>
      </c>
      <c r="L969" s="16">
        <v>20</v>
      </c>
      <c r="M969" s="17">
        <v>940</v>
      </c>
      <c r="N969" s="15" t="s">
        <v>367</v>
      </c>
      <c r="O969" s="15" t="s">
        <v>19</v>
      </c>
      <c r="Q969"/>
    </row>
    <row r="970" spans="1:17" ht="15.6" x14ac:dyDescent="0.3">
      <c r="A970" s="11">
        <v>10207</v>
      </c>
      <c r="B970" s="10">
        <v>37964</v>
      </c>
      <c r="C970" s="10" t="s">
        <v>343</v>
      </c>
      <c r="D970" s="11" t="s">
        <v>197</v>
      </c>
      <c r="E970" s="11" t="s">
        <v>198</v>
      </c>
      <c r="F970" s="11" t="s">
        <v>15</v>
      </c>
      <c r="G970" s="11" t="s">
        <v>16</v>
      </c>
      <c r="H970" s="11" t="s">
        <v>32</v>
      </c>
      <c r="I970" s="11" t="s">
        <v>34</v>
      </c>
      <c r="J970" s="11" t="s">
        <v>246</v>
      </c>
      <c r="K970" s="11">
        <v>49</v>
      </c>
      <c r="L970" s="12">
        <v>80</v>
      </c>
      <c r="M970" s="13">
        <v>3920</v>
      </c>
      <c r="N970" s="11" t="s">
        <v>367</v>
      </c>
      <c r="O970" s="11" t="s">
        <v>19</v>
      </c>
      <c r="Q970"/>
    </row>
    <row r="971" spans="1:17" ht="15.6" x14ac:dyDescent="0.3">
      <c r="A971" s="15">
        <v>10207</v>
      </c>
      <c r="B971" s="14">
        <v>37964</v>
      </c>
      <c r="C971" s="14" t="s">
        <v>343</v>
      </c>
      <c r="D971" s="15" t="s">
        <v>197</v>
      </c>
      <c r="E971" s="15" t="s">
        <v>198</v>
      </c>
      <c r="F971" s="15" t="s">
        <v>15</v>
      </c>
      <c r="G971" s="15" t="s">
        <v>16</v>
      </c>
      <c r="H971" s="15" t="s">
        <v>35</v>
      </c>
      <c r="I971" s="15" t="s">
        <v>39</v>
      </c>
      <c r="J971" s="15" t="s">
        <v>250</v>
      </c>
      <c r="K971" s="15">
        <v>46</v>
      </c>
      <c r="L971" s="16">
        <v>20</v>
      </c>
      <c r="M971" s="17">
        <v>920</v>
      </c>
      <c r="N971" s="15" t="s">
        <v>367</v>
      </c>
      <c r="O971" s="15" t="s">
        <v>19</v>
      </c>
      <c r="Q971"/>
    </row>
    <row r="972" spans="1:17" ht="15.6" x14ac:dyDescent="0.3">
      <c r="A972" s="11">
        <v>10207</v>
      </c>
      <c r="B972" s="10">
        <v>37964</v>
      </c>
      <c r="C972" s="10" t="s">
        <v>343</v>
      </c>
      <c r="D972" s="11" t="s">
        <v>197</v>
      </c>
      <c r="E972" s="11" t="s">
        <v>198</v>
      </c>
      <c r="F972" s="11" t="s">
        <v>15</v>
      </c>
      <c r="G972" s="11" t="s">
        <v>16</v>
      </c>
      <c r="H972" s="11" t="s">
        <v>32</v>
      </c>
      <c r="I972" s="11" t="s">
        <v>46</v>
      </c>
      <c r="J972" s="11" t="s">
        <v>254</v>
      </c>
      <c r="K972" s="11">
        <v>42</v>
      </c>
      <c r="L972" s="12">
        <v>90</v>
      </c>
      <c r="M972" s="13">
        <v>3780</v>
      </c>
      <c r="N972" s="11" t="s">
        <v>367</v>
      </c>
      <c r="O972" s="11" t="s">
        <v>19</v>
      </c>
      <c r="Q972"/>
    </row>
    <row r="973" spans="1:17" ht="15.6" x14ac:dyDescent="0.3">
      <c r="A973" s="15">
        <v>10207</v>
      </c>
      <c r="B973" s="14">
        <v>37964</v>
      </c>
      <c r="C973" s="14" t="s">
        <v>343</v>
      </c>
      <c r="D973" s="15" t="s">
        <v>197</v>
      </c>
      <c r="E973" s="15" t="s">
        <v>198</v>
      </c>
      <c r="F973" s="15" t="s">
        <v>15</v>
      </c>
      <c r="G973" s="15" t="s">
        <v>16</v>
      </c>
      <c r="H973" s="15" t="s">
        <v>32</v>
      </c>
      <c r="I973" s="15" t="s">
        <v>34</v>
      </c>
      <c r="J973" s="15" t="s">
        <v>246</v>
      </c>
      <c r="K973" s="15">
        <v>28</v>
      </c>
      <c r="L973" s="16">
        <v>80</v>
      </c>
      <c r="M973" s="17">
        <v>2240</v>
      </c>
      <c r="N973" s="15" t="s">
        <v>367</v>
      </c>
      <c r="O973" s="15" t="s">
        <v>19</v>
      </c>
      <c r="Q973"/>
    </row>
    <row r="974" spans="1:17" ht="15.6" x14ac:dyDescent="0.3">
      <c r="A974" s="11">
        <v>10207</v>
      </c>
      <c r="B974" s="10">
        <v>37964</v>
      </c>
      <c r="C974" s="10" t="s">
        <v>343</v>
      </c>
      <c r="D974" s="11" t="s">
        <v>197</v>
      </c>
      <c r="E974" s="11" t="s">
        <v>198</v>
      </c>
      <c r="F974" s="11" t="s">
        <v>15</v>
      </c>
      <c r="G974" s="11" t="s">
        <v>16</v>
      </c>
      <c r="H974" s="11" t="s">
        <v>35</v>
      </c>
      <c r="I974" s="11" t="s">
        <v>38</v>
      </c>
      <c r="J974" s="11" t="s">
        <v>249</v>
      </c>
      <c r="K974" s="11">
        <v>49</v>
      </c>
      <c r="L974" s="12">
        <v>20</v>
      </c>
      <c r="M974" s="13">
        <v>980</v>
      </c>
      <c r="N974" s="11" t="s">
        <v>367</v>
      </c>
      <c r="O974" s="11" t="s">
        <v>19</v>
      </c>
      <c r="Q974"/>
    </row>
    <row r="975" spans="1:17" ht="15.6" x14ac:dyDescent="0.3">
      <c r="A975" s="15">
        <v>10207</v>
      </c>
      <c r="B975" s="14">
        <v>37964</v>
      </c>
      <c r="C975" s="14" t="s">
        <v>343</v>
      </c>
      <c r="D975" s="15" t="s">
        <v>197</v>
      </c>
      <c r="E975" s="15" t="s">
        <v>198</v>
      </c>
      <c r="F975" s="15" t="s">
        <v>15</v>
      </c>
      <c r="G975" s="15" t="s">
        <v>16</v>
      </c>
      <c r="H975" s="15" t="s">
        <v>35</v>
      </c>
      <c r="I975" s="15" t="s">
        <v>36</v>
      </c>
      <c r="J975" s="15" t="s">
        <v>247</v>
      </c>
      <c r="K975" s="15">
        <v>27</v>
      </c>
      <c r="L975" s="16">
        <v>30</v>
      </c>
      <c r="M975" s="17">
        <v>810</v>
      </c>
      <c r="N975" s="15" t="s">
        <v>367</v>
      </c>
      <c r="O975" s="15" t="s">
        <v>19</v>
      </c>
      <c r="Q975"/>
    </row>
    <row r="976" spans="1:17" ht="15.6" x14ac:dyDescent="0.3">
      <c r="A976" s="11">
        <v>10207</v>
      </c>
      <c r="B976" s="10">
        <v>37964</v>
      </c>
      <c r="C976" s="10" t="s">
        <v>343</v>
      </c>
      <c r="D976" s="11" t="s">
        <v>197</v>
      </c>
      <c r="E976" s="11" t="s">
        <v>198</v>
      </c>
      <c r="F976" s="11" t="s">
        <v>15</v>
      </c>
      <c r="G976" s="11" t="s">
        <v>16</v>
      </c>
      <c r="H976" s="11" t="s">
        <v>47</v>
      </c>
      <c r="I976" s="11" t="s">
        <v>48</v>
      </c>
      <c r="J976" s="11" t="s">
        <v>255</v>
      </c>
      <c r="K976" s="11">
        <v>45</v>
      </c>
      <c r="L976" s="12">
        <v>70</v>
      </c>
      <c r="M976" s="13">
        <v>3150</v>
      </c>
      <c r="N976" s="11" t="s">
        <v>367</v>
      </c>
      <c r="O976" s="11" t="s">
        <v>19</v>
      </c>
      <c r="Q976"/>
    </row>
    <row r="977" spans="1:17" ht="15.6" x14ac:dyDescent="0.3">
      <c r="A977" s="15">
        <v>10207</v>
      </c>
      <c r="B977" s="14">
        <v>37964</v>
      </c>
      <c r="C977" s="14" t="s">
        <v>343</v>
      </c>
      <c r="D977" s="15" t="s">
        <v>197</v>
      </c>
      <c r="E977" s="15" t="s">
        <v>198</v>
      </c>
      <c r="F977" s="15" t="s">
        <v>15</v>
      </c>
      <c r="G977" s="15" t="s">
        <v>16</v>
      </c>
      <c r="H977" s="15" t="s">
        <v>35</v>
      </c>
      <c r="I977" s="15" t="s">
        <v>39</v>
      </c>
      <c r="J977" s="15" t="s">
        <v>250</v>
      </c>
      <c r="K977" s="15">
        <v>28</v>
      </c>
      <c r="L977" s="16">
        <v>20</v>
      </c>
      <c r="M977" s="17">
        <v>560</v>
      </c>
      <c r="N977" s="15" t="s">
        <v>367</v>
      </c>
      <c r="O977" s="15" t="s">
        <v>19</v>
      </c>
      <c r="Q977"/>
    </row>
    <row r="978" spans="1:17" ht="15.6" x14ac:dyDescent="0.3">
      <c r="A978" s="11">
        <v>10208</v>
      </c>
      <c r="B978" s="10">
        <v>37988</v>
      </c>
      <c r="C978" s="10" t="s">
        <v>338</v>
      </c>
      <c r="D978" s="11" t="s">
        <v>187</v>
      </c>
      <c r="E978" s="11" t="s">
        <v>188</v>
      </c>
      <c r="F978" s="11" t="s">
        <v>92</v>
      </c>
      <c r="G978" s="11" t="s">
        <v>25</v>
      </c>
      <c r="H978" s="11" t="s">
        <v>32</v>
      </c>
      <c r="I978" s="11" t="s">
        <v>34</v>
      </c>
      <c r="J978" s="11" t="s">
        <v>246</v>
      </c>
      <c r="K978" s="11">
        <v>46</v>
      </c>
      <c r="L978" s="12">
        <v>80</v>
      </c>
      <c r="M978" s="13">
        <v>3680</v>
      </c>
      <c r="N978" s="11" t="s">
        <v>367</v>
      </c>
      <c r="O978" s="11" t="s">
        <v>19</v>
      </c>
      <c r="Q978"/>
    </row>
    <row r="979" spans="1:17" ht="15.6" x14ac:dyDescent="0.3">
      <c r="A979" s="15">
        <v>10208</v>
      </c>
      <c r="B979" s="14">
        <v>37988</v>
      </c>
      <c r="C979" s="14" t="s">
        <v>338</v>
      </c>
      <c r="D979" s="15" t="s">
        <v>187</v>
      </c>
      <c r="E979" s="15" t="s">
        <v>188</v>
      </c>
      <c r="F979" s="15" t="s">
        <v>92</v>
      </c>
      <c r="G979" s="15" t="s">
        <v>25</v>
      </c>
      <c r="H979" s="15" t="s">
        <v>32</v>
      </c>
      <c r="I979" s="15" t="s">
        <v>33</v>
      </c>
      <c r="J979" s="15" t="s">
        <v>245</v>
      </c>
      <c r="K979" s="15">
        <v>26</v>
      </c>
      <c r="L979" s="16">
        <v>85</v>
      </c>
      <c r="M979" s="17">
        <v>2210</v>
      </c>
      <c r="N979" s="15" t="s">
        <v>367</v>
      </c>
      <c r="O979" s="15" t="s">
        <v>19</v>
      </c>
      <c r="Q979"/>
    </row>
    <row r="980" spans="1:17" ht="15.6" x14ac:dyDescent="0.3">
      <c r="A980" s="11">
        <v>10208</v>
      </c>
      <c r="B980" s="10">
        <v>37988</v>
      </c>
      <c r="C980" s="10" t="s">
        <v>338</v>
      </c>
      <c r="D980" s="11" t="s">
        <v>187</v>
      </c>
      <c r="E980" s="11" t="s">
        <v>188</v>
      </c>
      <c r="F980" s="11" t="s">
        <v>92</v>
      </c>
      <c r="G980" s="11" t="s">
        <v>25</v>
      </c>
      <c r="H980" s="11" t="s">
        <v>32</v>
      </c>
      <c r="I980" s="11" t="s">
        <v>33</v>
      </c>
      <c r="J980" s="11" t="s">
        <v>245</v>
      </c>
      <c r="K980" s="11">
        <v>20</v>
      </c>
      <c r="L980" s="12">
        <v>85</v>
      </c>
      <c r="M980" s="13">
        <v>1700</v>
      </c>
      <c r="N980" s="11" t="s">
        <v>367</v>
      </c>
      <c r="O980" s="11" t="s">
        <v>19</v>
      </c>
      <c r="Q980"/>
    </row>
    <row r="981" spans="1:17" ht="15.6" x14ac:dyDescent="0.3">
      <c r="A981" s="15">
        <v>10208</v>
      </c>
      <c r="B981" s="14">
        <v>37988</v>
      </c>
      <c r="C981" s="14" t="s">
        <v>338</v>
      </c>
      <c r="D981" s="15" t="s">
        <v>187</v>
      </c>
      <c r="E981" s="15" t="s">
        <v>188</v>
      </c>
      <c r="F981" s="15" t="s">
        <v>92</v>
      </c>
      <c r="G981" s="15" t="s">
        <v>25</v>
      </c>
      <c r="H981" s="15" t="s">
        <v>17</v>
      </c>
      <c r="I981" s="15" t="s">
        <v>21</v>
      </c>
      <c r="J981" s="15" t="s">
        <v>243</v>
      </c>
      <c r="K981" s="15">
        <v>24</v>
      </c>
      <c r="L981" s="16">
        <v>110</v>
      </c>
      <c r="M981" s="17">
        <v>2640</v>
      </c>
      <c r="N981" s="15" t="s">
        <v>367</v>
      </c>
      <c r="O981" s="15" t="s">
        <v>19</v>
      </c>
      <c r="Q981"/>
    </row>
    <row r="982" spans="1:17" ht="15.6" x14ac:dyDescent="0.3">
      <c r="A982" s="11">
        <v>10208</v>
      </c>
      <c r="B982" s="10">
        <v>37988</v>
      </c>
      <c r="C982" s="10" t="s">
        <v>338</v>
      </c>
      <c r="D982" s="11" t="s">
        <v>187</v>
      </c>
      <c r="E982" s="11" t="s">
        <v>188</v>
      </c>
      <c r="F982" s="11" t="s">
        <v>92</v>
      </c>
      <c r="G982" s="11" t="s">
        <v>25</v>
      </c>
      <c r="H982" s="11" t="s">
        <v>47</v>
      </c>
      <c r="I982" s="11" t="s">
        <v>53</v>
      </c>
      <c r="J982" s="11" t="s">
        <v>257</v>
      </c>
      <c r="K982" s="11">
        <v>48</v>
      </c>
      <c r="L982" s="12">
        <v>90</v>
      </c>
      <c r="M982" s="13">
        <v>4320</v>
      </c>
      <c r="N982" s="11" t="s">
        <v>367</v>
      </c>
      <c r="O982" s="11" t="s">
        <v>19</v>
      </c>
      <c r="Q982"/>
    </row>
    <row r="983" spans="1:17" ht="15.6" x14ac:dyDescent="0.3">
      <c r="A983" s="15">
        <v>10208</v>
      </c>
      <c r="B983" s="14">
        <v>37988</v>
      </c>
      <c r="C983" s="14" t="s">
        <v>338</v>
      </c>
      <c r="D983" s="15" t="s">
        <v>187</v>
      </c>
      <c r="E983" s="15" t="s">
        <v>188</v>
      </c>
      <c r="F983" s="15" t="s">
        <v>92</v>
      </c>
      <c r="G983" s="15" t="s">
        <v>25</v>
      </c>
      <c r="H983" s="15" t="s">
        <v>17</v>
      </c>
      <c r="I983" s="15" t="s">
        <v>20</v>
      </c>
      <c r="J983" s="15" t="s">
        <v>242</v>
      </c>
      <c r="K983" s="15">
        <v>45</v>
      </c>
      <c r="L983" s="16">
        <v>48</v>
      </c>
      <c r="M983" s="17">
        <v>2160</v>
      </c>
      <c r="N983" s="15" t="s">
        <v>367</v>
      </c>
      <c r="O983" s="15" t="s">
        <v>19</v>
      </c>
      <c r="Q983"/>
    </row>
    <row r="984" spans="1:17" ht="15.6" x14ac:dyDescent="0.3">
      <c r="A984" s="11">
        <v>10208</v>
      </c>
      <c r="B984" s="10">
        <v>37988</v>
      </c>
      <c r="C984" s="10" t="s">
        <v>338</v>
      </c>
      <c r="D984" s="11" t="s">
        <v>187</v>
      </c>
      <c r="E984" s="11" t="s">
        <v>188</v>
      </c>
      <c r="F984" s="11" t="s">
        <v>92</v>
      </c>
      <c r="G984" s="11" t="s">
        <v>25</v>
      </c>
      <c r="H984" s="11" t="s">
        <v>54</v>
      </c>
      <c r="I984" s="11" t="s">
        <v>56</v>
      </c>
      <c r="J984" s="11" t="s">
        <v>259</v>
      </c>
      <c r="K984" s="11">
        <v>35</v>
      </c>
      <c r="L984" s="12">
        <v>250</v>
      </c>
      <c r="M984" s="13">
        <v>8750</v>
      </c>
      <c r="N984" s="11" t="s">
        <v>367</v>
      </c>
      <c r="O984" s="11" t="s">
        <v>19</v>
      </c>
      <c r="Q984"/>
    </row>
    <row r="985" spans="1:17" ht="15.6" x14ac:dyDescent="0.3">
      <c r="A985" s="15">
        <v>10208</v>
      </c>
      <c r="B985" s="14">
        <v>37988</v>
      </c>
      <c r="C985" s="14" t="s">
        <v>338</v>
      </c>
      <c r="D985" s="15" t="s">
        <v>187</v>
      </c>
      <c r="E985" s="15" t="s">
        <v>188</v>
      </c>
      <c r="F985" s="15" t="s">
        <v>92</v>
      </c>
      <c r="G985" s="15" t="s">
        <v>25</v>
      </c>
      <c r="H985" s="15" t="s">
        <v>17</v>
      </c>
      <c r="I985" s="15" t="s">
        <v>20</v>
      </c>
      <c r="J985" s="15" t="s">
        <v>242</v>
      </c>
      <c r="K985" s="15">
        <v>20</v>
      </c>
      <c r="L985" s="16">
        <v>48</v>
      </c>
      <c r="M985" s="17">
        <v>960</v>
      </c>
      <c r="N985" s="15" t="s">
        <v>367</v>
      </c>
      <c r="O985" s="15" t="s">
        <v>19</v>
      </c>
      <c r="Q985"/>
    </row>
    <row r="986" spans="1:17" ht="15.6" x14ac:dyDescent="0.3">
      <c r="A986" s="11">
        <v>10208</v>
      </c>
      <c r="B986" s="10">
        <v>37988</v>
      </c>
      <c r="C986" s="10" t="s">
        <v>338</v>
      </c>
      <c r="D986" s="11" t="s">
        <v>187</v>
      </c>
      <c r="E986" s="11" t="s">
        <v>188</v>
      </c>
      <c r="F986" s="11" t="s">
        <v>92</v>
      </c>
      <c r="G986" s="11" t="s">
        <v>25</v>
      </c>
      <c r="H986" s="11" t="s">
        <v>47</v>
      </c>
      <c r="I986" s="11" t="s">
        <v>48</v>
      </c>
      <c r="J986" s="11" t="s">
        <v>255</v>
      </c>
      <c r="K986" s="11">
        <v>30</v>
      </c>
      <c r="L986" s="12">
        <v>70</v>
      </c>
      <c r="M986" s="13">
        <v>2100</v>
      </c>
      <c r="N986" s="11" t="s">
        <v>367</v>
      </c>
      <c r="O986" s="11" t="s">
        <v>19</v>
      </c>
      <c r="Q986"/>
    </row>
    <row r="987" spans="1:17" ht="15.6" x14ac:dyDescent="0.3">
      <c r="A987" s="15">
        <v>10208</v>
      </c>
      <c r="B987" s="14">
        <v>37988</v>
      </c>
      <c r="C987" s="14" t="s">
        <v>338</v>
      </c>
      <c r="D987" s="15" t="s">
        <v>187</v>
      </c>
      <c r="E987" s="15" t="s">
        <v>188</v>
      </c>
      <c r="F987" s="15" t="s">
        <v>92</v>
      </c>
      <c r="G987" s="15" t="s">
        <v>25</v>
      </c>
      <c r="H987" s="15" t="s">
        <v>54</v>
      </c>
      <c r="I987" s="15" t="s">
        <v>57</v>
      </c>
      <c r="J987" s="15" t="s">
        <v>260</v>
      </c>
      <c r="K987" s="15">
        <v>38</v>
      </c>
      <c r="L987" s="16">
        <v>220</v>
      </c>
      <c r="M987" s="17">
        <v>8360</v>
      </c>
      <c r="N987" s="15" t="s">
        <v>367</v>
      </c>
      <c r="O987" s="15" t="s">
        <v>19</v>
      </c>
      <c r="Q987"/>
    </row>
    <row r="988" spans="1:17" ht="15.6" x14ac:dyDescent="0.3">
      <c r="A988" s="11">
        <v>10208</v>
      </c>
      <c r="B988" s="10">
        <v>37988</v>
      </c>
      <c r="C988" s="10" t="s">
        <v>338</v>
      </c>
      <c r="D988" s="11" t="s">
        <v>187</v>
      </c>
      <c r="E988" s="11" t="s">
        <v>188</v>
      </c>
      <c r="F988" s="11" t="s">
        <v>92</v>
      </c>
      <c r="G988" s="11" t="s">
        <v>25</v>
      </c>
      <c r="H988" s="11" t="s">
        <v>54</v>
      </c>
      <c r="I988" s="11" t="s">
        <v>57</v>
      </c>
      <c r="J988" s="11" t="s">
        <v>260</v>
      </c>
      <c r="K988" s="11">
        <v>40</v>
      </c>
      <c r="L988" s="12">
        <v>220</v>
      </c>
      <c r="M988" s="13">
        <v>8800</v>
      </c>
      <c r="N988" s="11" t="s">
        <v>367</v>
      </c>
      <c r="O988" s="11" t="s">
        <v>19</v>
      </c>
      <c r="Q988"/>
    </row>
    <row r="989" spans="1:17" ht="15.6" x14ac:dyDescent="0.3">
      <c r="A989" s="15">
        <v>10208</v>
      </c>
      <c r="B989" s="14">
        <v>37988</v>
      </c>
      <c r="C989" s="14" t="s">
        <v>338</v>
      </c>
      <c r="D989" s="15" t="s">
        <v>187</v>
      </c>
      <c r="E989" s="15" t="s">
        <v>188</v>
      </c>
      <c r="F989" s="15" t="s">
        <v>92</v>
      </c>
      <c r="G989" s="15" t="s">
        <v>25</v>
      </c>
      <c r="H989" s="15" t="s">
        <v>54</v>
      </c>
      <c r="I989" s="15" t="s">
        <v>57</v>
      </c>
      <c r="J989" s="15" t="s">
        <v>260</v>
      </c>
      <c r="K989" s="15">
        <v>46</v>
      </c>
      <c r="L989" s="16">
        <v>220</v>
      </c>
      <c r="M989" s="17">
        <v>10120</v>
      </c>
      <c r="N989" s="15" t="s">
        <v>367</v>
      </c>
      <c r="O989" s="15" t="s">
        <v>19</v>
      </c>
      <c r="Q989"/>
    </row>
    <row r="990" spans="1:17" ht="15.6" x14ac:dyDescent="0.3">
      <c r="A990" s="11">
        <v>10208</v>
      </c>
      <c r="B990" s="10">
        <v>37988</v>
      </c>
      <c r="C990" s="10" t="s">
        <v>338</v>
      </c>
      <c r="D990" s="11" t="s">
        <v>187</v>
      </c>
      <c r="E990" s="11" t="s">
        <v>188</v>
      </c>
      <c r="F990" s="11" t="s">
        <v>92</v>
      </c>
      <c r="G990" s="11" t="s">
        <v>25</v>
      </c>
      <c r="H990" s="11" t="s">
        <v>54</v>
      </c>
      <c r="I990" s="11" t="s">
        <v>57</v>
      </c>
      <c r="J990" s="11" t="s">
        <v>260</v>
      </c>
      <c r="K990" s="11">
        <v>37</v>
      </c>
      <c r="L990" s="12">
        <v>220</v>
      </c>
      <c r="M990" s="13">
        <v>8140</v>
      </c>
      <c r="N990" s="11" t="s">
        <v>367</v>
      </c>
      <c r="O990" s="11" t="s">
        <v>19</v>
      </c>
      <c r="Q990"/>
    </row>
    <row r="991" spans="1:17" ht="15.6" x14ac:dyDescent="0.3">
      <c r="A991" s="15">
        <v>10208</v>
      </c>
      <c r="B991" s="14">
        <v>37988</v>
      </c>
      <c r="C991" s="14" t="s">
        <v>338</v>
      </c>
      <c r="D991" s="15" t="s">
        <v>187</v>
      </c>
      <c r="E991" s="15" t="s">
        <v>188</v>
      </c>
      <c r="F991" s="15" t="s">
        <v>92</v>
      </c>
      <c r="G991" s="15" t="s">
        <v>25</v>
      </c>
      <c r="H991" s="15" t="s">
        <v>54</v>
      </c>
      <c r="I991" s="15" t="s">
        <v>56</v>
      </c>
      <c r="J991" s="15" t="s">
        <v>259</v>
      </c>
      <c r="K991" s="15">
        <v>33</v>
      </c>
      <c r="L991" s="16">
        <v>250</v>
      </c>
      <c r="M991" s="17">
        <v>8250</v>
      </c>
      <c r="N991" s="15" t="s">
        <v>367</v>
      </c>
      <c r="O991" s="15" t="s">
        <v>19</v>
      </c>
      <c r="Q991"/>
    </row>
    <row r="992" spans="1:17" ht="15.6" x14ac:dyDescent="0.3">
      <c r="A992" s="11">
        <v>10208</v>
      </c>
      <c r="B992" s="10">
        <v>37988</v>
      </c>
      <c r="C992" s="10" t="s">
        <v>338</v>
      </c>
      <c r="D992" s="11" t="s">
        <v>187</v>
      </c>
      <c r="E992" s="11" t="s">
        <v>188</v>
      </c>
      <c r="F992" s="11" t="s">
        <v>92</v>
      </c>
      <c r="G992" s="11" t="s">
        <v>25</v>
      </c>
      <c r="H992" s="11" t="s">
        <v>54</v>
      </c>
      <c r="I992" s="11" t="s">
        <v>57</v>
      </c>
      <c r="J992" s="11" t="s">
        <v>260</v>
      </c>
      <c r="K992" s="11">
        <v>42</v>
      </c>
      <c r="L992" s="12">
        <v>220</v>
      </c>
      <c r="M992" s="13">
        <v>9240</v>
      </c>
      <c r="N992" s="11" t="s">
        <v>367</v>
      </c>
      <c r="O992" s="11" t="s">
        <v>19</v>
      </c>
      <c r="Q992"/>
    </row>
    <row r="993" spans="1:17" ht="15.6" x14ac:dyDescent="0.3">
      <c r="A993" s="15">
        <v>10209</v>
      </c>
      <c r="B993" s="14">
        <v>37995</v>
      </c>
      <c r="C993" s="14" t="s">
        <v>322</v>
      </c>
      <c r="D993" s="15" t="s">
        <v>157</v>
      </c>
      <c r="E993" s="15" t="s">
        <v>158</v>
      </c>
      <c r="F993" s="15" t="s">
        <v>15</v>
      </c>
      <c r="G993" s="15" t="s">
        <v>16</v>
      </c>
      <c r="H993" s="15" t="s">
        <v>32</v>
      </c>
      <c r="I993" s="15" t="s">
        <v>46</v>
      </c>
      <c r="J993" s="15" t="s">
        <v>254</v>
      </c>
      <c r="K993" s="15">
        <v>39</v>
      </c>
      <c r="L993" s="16">
        <v>90</v>
      </c>
      <c r="M993" s="17">
        <v>3510</v>
      </c>
      <c r="N993" s="15" t="s">
        <v>367</v>
      </c>
      <c r="O993" s="15" t="s">
        <v>19</v>
      </c>
      <c r="Q993"/>
    </row>
    <row r="994" spans="1:17" ht="15.6" x14ac:dyDescent="0.3">
      <c r="A994" s="11">
        <v>10209</v>
      </c>
      <c r="B994" s="10">
        <v>37995</v>
      </c>
      <c r="C994" s="10" t="s">
        <v>322</v>
      </c>
      <c r="D994" s="11" t="s">
        <v>157</v>
      </c>
      <c r="E994" s="11" t="s">
        <v>158</v>
      </c>
      <c r="F994" s="11" t="s">
        <v>15</v>
      </c>
      <c r="G994" s="11" t="s">
        <v>16</v>
      </c>
      <c r="H994" s="11" t="s">
        <v>54</v>
      </c>
      <c r="I994" s="11" t="s">
        <v>56</v>
      </c>
      <c r="J994" s="11" t="s">
        <v>259</v>
      </c>
      <c r="K994" s="11">
        <v>28</v>
      </c>
      <c r="L994" s="12">
        <v>250</v>
      </c>
      <c r="M994" s="13">
        <v>7000</v>
      </c>
      <c r="N994" s="11" t="s">
        <v>367</v>
      </c>
      <c r="O994" s="11" t="s">
        <v>19</v>
      </c>
      <c r="Q994"/>
    </row>
    <row r="995" spans="1:17" ht="15.6" x14ac:dyDescent="0.3">
      <c r="A995" s="15">
        <v>10209</v>
      </c>
      <c r="B995" s="14">
        <v>37995</v>
      </c>
      <c r="C995" s="14" t="s">
        <v>322</v>
      </c>
      <c r="D995" s="15" t="s">
        <v>157</v>
      </c>
      <c r="E995" s="15" t="s">
        <v>158</v>
      </c>
      <c r="F995" s="15" t="s">
        <v>15</v>
      </c>
      <c r="G995" s="15" t="s">
        <v>16</v>
      </c>
      <c r="H995" s="15" t="s">
        <v>17</v>
      </c>
      <c r="I995" s="15" t="s">
        <v>20</v>
      </c>
      <c r="J995" s="15" t="s">
        <v>242</v>
      </c>
      <c r="K995" s="15">
        <v>20</v>
      </c>
      <c r="L995" s="16">
        <v>48</v>
      </c>
      <c r="M995" s="17">
        <v>960</v>
      </c>
      <c r="N995" s="15" t="s">
        <v>367</v>
      </c>
      <c r="O995" s="15" t="s">
        <v>19</v>
      </c>
      <c r="Q995"/>
    </row>
    <row r="996" spans="1:17" ht="15.6" x14ac:dyDescent="0.3">
      <c r="A996" s="11">
        <v>10209</v>
      </c>
      <c r="B996" s="10">
        <v>37995</v>
      </c>
      <c r="C996" s="10" t="s">
        <v>322</v>
      </c>
      <c r="D996" s="11" t="s">
        <v>157</v>
      </c>
      <c r="E996" s="11" t="s">
        <v>158</v>
      </c>
      <c r="F996" s="11" t="s">
        <v>15</v>
      </c>
      <c r="G996" s="11" t="s">
        <v>16</v>
      </c>
      <c r="H996" s="11" t="s">
        <v>61</v>
      </c>
      <c r="I996" s="11" t="s">
        <v>66</v>
      </c>
      <c r="J996" s="11" t="s">
        <v>265</v>
      </c>
      <c r="K996" s="11">
        <v>43</v>
      </c>
      <c r="L996" s="12">
        <v>35</v>
      </c>
      <c r="M996" s="13">
        <v>1505</v>
      </c>
      <c r="N996" s="11" t="s">
        <v>367</v>
      </c>
      <c r="O996" s="11" t="s">
        <v>19</v>
      </c>
      <c r="Q996"/>
    </row>
    <row r="997" spans="1:17" ht="15.6" x14ac:dyDescent="0.3">
      <c r="A997" s="15">
        <v>10209</v>
      </c>
      <c r="B997" s="14">
        <v>37995</v>
      </c>
      <c r="C997" s="14" t="s">
        <v>322</v>
      </c>
      <c r="D997" s="15" t="s">
        <v>157</v>
      </c>
      <c r="E997" s="15" t="s">
        <v>158</v>
      </c>
      <c r="F997" s="15" t="s">
        <v>15</v>
      </c>
      <c r="G997" s="15" t="s">
        <v>16</v>
      </c>
      <c r="H997" s="15" t="s">
        <v>17</v>
      </c>
      <c r="I997" s="15" t="s">
        <v>26</v>
      </c>
      <c r="J997" s="15" t="s">
        <v>244</v>
      </c>
      <c r="K997" s="15">
        <v>36</v>
      </c>
      <c r="L997" s="16">
        <v>60</v>
      </c>
      <c r="M997" s="17">
        <v>2160</v>
      </c>
      <c r="N997" s="15" t="s">
        <v>367</v>
      </c>
      <c r="O997" s="15" t="s">
        <v>19</v>
      </c>
      <c r="Q997"/>
    </row>
    <row r="998" spans="1:17" ht="15.6" x14ac:dyDescent="0.3">
      <c r="A998" s="11">
        <v>10209</v>
      </c>
      <c r="B998" s="10">
        <v>37995</v>
      </c>
      <c r="C998" s="10" t="s">
        <v>322</v>
      </c>
      <c r="D998" s="11" t="s">
        <v>157</v>
      </c>
      <c r="E998" s="11" t="s">
        <v>158</v>
      </c>
      <c r="F998" s="11" t="s">
        <v>15</v>
      </c>
      <c r="G998" s="11" t="s">
        <v>16</v>
      </c>
      <c r="H998" s="11" t="s">
        <v>17</v>
      </c>
      <c r="I998" s="11" t="s">
        <v>26</v>
      </c>
      <c r="J998" s="11" t="s">
        <v>244</v>
      </c>
      <c r="K998" s="11">
        <v>22</v>
      </c>
      <c r="L998" s="12">
        <v>60</v>
      </c>
      <c r="M998" s="13">
        <v>1320</v>
      </c>
      <c r="N998" s="11" t="s">
        <v>367</v>
      </c>
      <c r="O998" s="11" t="s">
        <v>19</v>
      </c>
      <c r="Q998"/>
    </row>
    <row r="999" spans="1:17" ht="15.6" x14ac:dyDescent="0.3">
      <c r="A999" s="15">
        <v>10209</v>
      </c>
      <c r="B999" s="14">
        <v>37995</v>
      </c>
      <c r="C999" s="14" t="s">
        <v>322</v>
      </c>
      <c r="D999" s="15" t="s">
        <v>157</v>
      </c>
      <c r="E999" s="15" t="s">
        <v>158</v>
      </c>
      <c r="F999" s="15" t="s">
        <v>15</v>
      </c>
      <c r="G999" s="15" t="s">
        <v>16</v>
      </c>
      <c r="H999" s="15" t="s">
        <v>54</v>
      </c>
      <c r="I999" s="15" t="s">
        <v>56</v>
      </c>
      <c r="J999" s="15" t="s">
        <v>259</v>
      </c>
      <c r="K999" s="15">
        <v>33</v>
      </c>
      <c r="L999" s="16">
        <v>250</v>
      </c>
      <c r="M999" s="17">
        <v>8250</v>
      </c>
      <c r="N999" s="15" t="s">
        <v>367</v>
      </c>
      <c r="O999" s="15" t="s">
        <v>19</v>
      </c>
      <c r="Q999"/>
    </row>
    <row r="1000" spans="1:17" ht="15.6" x14ac:dyDescent="0.3">
      <c r="A1000" s="11">
        <v>10209</v>
      </c>
      <c r="B1000" s="10">
        <v>37995</v>
      </c>
      <c r="C1000" s="10" t="s">
        <v>322</v>
      </c>
      <c r="D1000" s="11" t="s">
        <v>157</v>
      </c>
      <c r="E1000" s="11" t="s">
        <v>158</v>
      </c>
      <c r="F1000" s="11" t="s">
        <v>15</v>
      </c>
      <c r="G1000" s="11" t="s">
        <v>16</v>
      </c>
      <c r="H1000" s="11" t="s">
        <v>61</v>
      </c>
      <c r="I1000" s="11" t="s">
        <v>62</v>
      </c>
      <c r="J1000" s="11" t="s">
        <v>261</v>
      </c>
      <c r="K1000" s="11">
        <v>48</v>
      </c>
      <c r="L1000" s="12">
        <v>15</v>
      </c>
      <c r="M1000" s="13">
        <v>720</v>
      </c>
      <c r="N1000" s="11" t="s">
        <v>367</v>
      </c>
      <c r="O1000" s="11" t="s">
        <v>19</v>
      </c>
      <c r="Q1000"/>
    </row>
    <row r="1001" spans="1:17" ht="15.6" x14ac:dyDescent="0.3">
      <c r="A1001" s="15">
        <v>10210</v>
      </c>
      <c r="B1001" s="14">
        <v>37998</v>
      </c>
      <c r="C1001" s="14" t="s">
        <v>344</v>
      </c>
      <c r="D1001" s="15" t="s">
        <v>199</v>
      </c>
      <c r="E1001" s="15" t="s">
        <v>200</v>
      </c>
      <c r="F1001" s="15" t="s">
        <v>74</v>
      </c>
      <c r="G1001" s="15" t="s">
        <v>74</v>
      </c>
      <c r="H1001" s="15" t="s">
        <v>68</v>
      </c>
      <c r="I1001" s="15" t="s">
        <v>70</v>
      </c>
      <c r="J1001" s="15" t="s">
        <v>267</v>
      </c>
      <c r="K1001" s="15">
        <v>23</v>
      </c>
      <c r="L1001" s="16">
        <v>50</v>
      </c>
      <c r="M1001" s="17">
        <v>1150</v>
      </c>
      <c r="N1001" s="15" t="s">
        <v>367</v>
      </c>
      <c r="O1001" s="15" t="s">
        <v>19</v>
      </c>
      <c r="Q1001"/>
    </row>
    <row r="1002" spans="1:17" ht="15.6" x14ac:dyDescent="0.3">
      <c r="A1002" s="11">
        <v>10210</v>
      </c>
      <c r="B1002" s="10">
        <v>37998</v>
      </c>
      <c r="C1002" s="10" t="s">
        <v>344</v>
      </c>
      <c r="D1002" s="11" t="s">
        <v>199</v>
      </c>
      <c r="E1002" s="11" t="s">
        <v>200</v>
      </c>
      <c r="F1002" s="11" t="s">
        <v>74</v>
      </c>
      <c r="G1002" s="11" t="s">
        <v>74</v>
      </c>
      <c r="H1002" s="11" t="s">
        <v>68</v>
      </c>
      <c r="I1002" s="11" t="s">
        <v>69</v>
      </c>
      <c r="J1002" s="11" t="s">
        <v>266</v>
      </c>
      <c r="K1002" s="11">
        <v>34</v>
      </c>
      <c r="L1002" s="12">
        <v>25</v>
      </c>
      <c r="M1002" s="13">
        <v>850</v>
      </c>
      <c r="N1002" s="11" t="s">
        <v>367</v>
      </c>
      <c r="O1002" s="11" t="s">
        <v>19</v>
      </c>
      <c r="Q1002"/>
    </row>
    <row r="1003" spans="1:17" ht="15.6" x14ac:dyDescent="0.3">
      <c r="A1003" s="15">
        <v>10210</v>
      </c>
      <c r="B1003" s="14">
        <v>37998</v>
      </c>
      <c r="C1003" s="14" t="s">
        <v>344</v>
      </c>
      <c r="D1003" s="15" t="s">
        <v>199</v>
      </c>
      <c r="E1003" s="15" t="s">
        <v>200</v>
      </c>
      <c r="F1003" s="15" t="s">
        <v>74</v>
      </c>
      <c r="G1003" s="15" t="s">
        <v>74</v>
      </c>
      <c r="H1003" s="15" t="s">
        <v>61</v>
      </c>
      <c r="I1003" s="15" t="s">
        <v>62</v>
      </c>
      <c r="J1003" s="15" t="s">
        <v>261</v>
      </c>
      <c r="K1003" s="15">
        <v>31</v>
      </c>
      <c r="L1003" s="16">
        <v>15</v>
      </c>
      <c r="M1003" s="17">
        <v>465</v>
      </c>
      <c r="N1003" s="15" t="s">
        <v>367</v>
      </c>
      <c r="O1003" s="15" t="s">
        <v>19</v>
      </c>
      <c r="Q1003"/>
    </row>
    <row r="1004" spans="1:17" ht="15.6" x14ac:dyDescent="0.3">
      <c r="A1004" s="11">
        <v>10210</v>
      </c>
      <c r="B1004" s="10">
        <v>37998</v>
      </c>
      <c r="C1004" s="10" t="s">
        <v>344</v>
      </c>
      <c r="D1004" s="11" t="s">
        <v>199</v>
      </c>
      <c r="E1004" s="11" t="s">
        <v>200</v>
      </c>
      <c r="F1004" s="11" t="s">
        <v>74</v>
      </c>
      <c r="G1004" s="11" t="s">
        <v>74</v>
      </c>
      <c r="H1004" s="11" t="s">
        <v>61</v>
      </c>
      <c r="I1004" s="11" t="s">
        <v>62</v>
      </c>
      <c r="J1004" s="11" t="s">
        <v>261</v>
      </c>
      <c r="K1004" s="11">
        <v>50</v>
      </c>
      <c r="L1004" s="12">
        <v>15</v>
      </c>
      <c r="M1004" s="13">
        <v>750</v>
      </c>
      <c r="N1004" s="11" t="s">
        <v>368</v>
      </c>
      <c r="O1004" s="11" t="s">
        <v>19</v>
      </c>
      <c r="Q1004"/>
    </row>
    <row r="1005" spans="1:17" ht="15.6" x14ac:dyDescent="0.3">
      <c r="A1005" s="15">
        <v>10210</v>
      </c>
      <c r="B1005" s="14">
        <v>37998</v>
      </c>
      <c r="C1005" s="14" t="s">
        <v>344</v>
      </c>
      <c r="D1005" s="15" t="s">
        <v>199</v>
      </c>
      <c r="E1005" s="15" t="s">
        <v>200</v>
      </c>
      <c r="F1005" s="15" t="s">
        <v>74</v>
      </c>
      <c r="G1005" s="15" t="s">
        <v>74</v>
      </c>
      <c r="H1005" s="15" t="s">
        <v>68</v>
      </c>
      <c r="I1005" s="15" t="s">
        <v>70</v>
      </c>
      <c r="J1005" s="15" t="s">
        <v>267</v>
      </c>
      <c r="K1005" s="15">
        <v>40</v>
      </c>
      <c r="L1005" s="16">
        <v>50</v>
      </c>
      <c r="M1005" s="17">
        <v>2000</v>
      </c>
      <c r="N1005" s="15" t="s">
        <v>367</v>
      </c>
      <c r="O1005" s="15" t="s">
        <v>19</v>
      </c>
      <c r="Q1005"/>
    </row>
    <row r="1006" spans="1:17" ht="15.6" x14ac:dyDescent="0.3">
      <c r="A1006" s="11">
        <v>10210</v>
      </c>
      <c r="B1006" s="10">
        <v>37998</v>
      </c>
      <c r="C1006" s="10" t="s">
        <v>344</v>
      </c>
      <c r="D1006" s="11" t="s">
        <v>199</v>
      </c>
      <c r="E1006" s="11" t="s">
        <v>200</v>
      </c>
      <c r="F1006" s="11" t="s">
        <v>74</v>
      </c>
      <c r="G1006" s="11" t="s">
        <v>74</v>
      </c>
      <c r="H1006" s="11" t="s">
        <v>61</v>
      </c>
      <c r="I1006" s="11" t="s">
        <v>62</v>
      </c>
      <c r="J1006" s="11" t="s">
        <v>261</v>
      </c>
      <c r="K1006" s="11">
        <v>27</v>
      </c>
      <c r="L1006" s="12">
        <v>15</v>
      </c>
      <c r="M1006" s="13">
        <v>405</v>
      </c>
      <c r="N1006" s="11" t="s">
        <v>367</v>
      </c>
      <c r="O1006" s="11" t="s">
        <v>19</v>
      </c>
      <c r="Q1006"/>
    </row>
    <row r="1007" spans="1:17" ht="15.6" x14ac:dyDescent="0.3">
      <c r="A1007" s="15">
        <v>10210</v>
      </c>
      <c r="B1007" s="14">
        <v>37998</v>
      </c>
      <c r="C1007" s="14" t="s">
        <v>344</v>
      </c>
      <c r="D1007" s="15" t="s">
        <v>199</v>
      </c>
      <c r="E1007" s="15" t="s">
        <v>200</v>
      </c>
      <c r="F1007" s="15" t="s">
        <v>74</v>
      </c>
      <c r="G1007" s="15" t="s">
        <v>74</v>
      </c>
      <c r="H1007" s="15" t="s">
        <v>68</v>
      </c>
      <c r="I1007" s="15" t="s">
        <v>69</v>
      </c>
      <c r="J1007" s="15" t="s">
        <v>266</v>
      </c>
      <c r="K1007" s="15">
        <v>30</v>
      </c>
      <c r="L1007" s="16">
        <v>25</v>
      </c>
      <c r="M1007" s="17">
        <v>750</v>
      </c>
      <c r="N1007" s="15" t="s">
        <v>367</v>
      </c>
      <c r="O1007" s="15" t="s">
        <v>19</v>
      </c>
      <c r="Q1007"/>
    </row>
    <row r="1008" spans="1:17" ht="15.6" x14ac:dyDescent="0.3">
      <c r="A1008" s="11">
        <v>10210</v>
      </c>
      <c r="B1008" s="10">
        <v>37998</v>
      </c>
      <c r="C1008" s="10" t="s">
        <v>344</v>
      </c>
      <c r="D1008" s="11" t="s">
        <v>199</v>
      </c>
      <c r="E1008" s="11" t="s">
        <v>200</v>
      </c>
      <c r="F1008" s="11" t="s">
        <v>74</v>
      </c>
      <c r="G1008" s="11" t="s">
        <v>74</v>
      </c>
      <c r="H1008" s="11" t="s">
        <v>61</v>
      </c>
      <c r="I1008" s="11" t="s">
        <v>62</v>
      </c>
      <c r="J1008" s="11" t="s">
        <v>261</v>
      </c>
      <c r="K1008" s="11">
        <v>29</v>
      </c>
      <c r="L1008" s="12">
        <v>15</v>
      </c>
      <c r="M1008" s="13">
        <v>435</v>
      </c>
      <c r="N1008" s="11" t="s">
        <v>367</v>
      </c>
      <c r="O1008" s="11" t="s">
        <v>19</v>
      </c>
      <c r="Q1008"/>
    </row>
    <row r="1009" spans="1:17" ht="15.6" x14ac:dyDescent="0.3">
      <c r="A1009" s="15">
        <v>10210</v>
      </c>
      <c r="B1009" s="14">
        <v>37998</v>
      </c>
      <c r="C1009" s="14" t="s">
        <v>344</v>
      </c>
      <c r="D1009" s="15" t="s">
        <v>199</v>
      </c>
      <c r="E1009" s="15" t="s">
        <v>200</v>
      </c>
      <c r="F1009" s="15" t="s">
        <v>74</v>
      </c>
      <c r="G1009" s="15" t="s">
        <v>74</v>
      </c>
      <c r="H1009" s="15" t="s">
        <v>61</v>
      </c>
      <c r="I1009" s="15" t="s">
        <v>63</v>
      </c>
      <c r="J1009" s="15" t="s">
        <v>262</v>
      </c>
      <c r="K1009" s="15">
        <v>40</v>
      </c>
      <c r="L1009" s="16">
        <v>40</v>
      </c>
      <c r="M1009" s="17">
        <v>1600</v>
      </c>
      <c r="N1009" s="15" t="s">
        <v>367</v>
      </c>
      <c r="O1009" s="15" t="s">
        <v>19</v>
      </c>
      <c r="Q1009"/>
    </row>
    <row r="1010" spans="1:17" ht="15.6" x14ac:dyDescent="0.3">
      <c r="A1010" s="11">
        <v>10210</v>
      </c>
      <c r="B1010" s="10">
        <v>37998</v>
      </c>
      <c r="C1010" s="10" t="s">
        <v>344</v>
      </c>
      <c r="D1010" s="11" t="s">
        <v>199</v>
      </c>
      <c r="E1010" s="11" t="s">
        <v>200</v>
      </c>
      <c r="F1010" s="11" t="s">
        <v>74</v>
      </c>
      <c r="G1010" s="11" t="s">
        <v>74</v>
      </c>
      <c r="H1010" s="11" t="s">
        <v>68</v>
      </c>
      <c r="I1010" s="11" t="s">
        <v>69</v>
      </c>
      <c r="J1010" s="11" t="s">
        <v>266</v>
      </c>
      <c r="K1010" s="11">
        <v>46</v>
      </c>
      <c r="L1010" s="12">
        <v>25</v>
      </c>
      <c r="M1010" s="13">
        <v>1150</v>
      </c>
      <c r="N1010" s="11" t="s">
        <v>367</v>
      </c>
      <c r="O1010" s="11" t="s">
        <v>19</v>
      </c>
      <c r="Q1010"/>
    </row>
    <row r="1011" spans="1:17" ht="15.6" x14ac:dyDescent="0.3">
      <c r="A1011" s="15">
        <v>10210</v>
      </c>
      <c r="B1011" s="14">
        <v>37998</v>
      </c>
      <c r="C1011" s="14" t="s">
        <v>344</v>
      </c>
      <c r="D1011" s="15" t="s">
        <v>199</v>
      </c>
      <c r="E1011" s="15" t="s">
        <v>200</v>
      </c>
      <c r="F1011" s="15" t="s">
        <v>74</v>
      </c>
      <c r="G1011" s="15" t="s">
        <v>74</v>
      </c>
      <c r="H1011" s="15" t="s">
        <v>17</v>
      </c>
      <c r="I1011" s="15" t="s">
        <v>20</v>
      </c>
      <c r="J1011" s="15" t="s">
        <v>242</v>
      </c>
      <c r="K1011" s="15">
        <v>39</v>
      </c>
      <c r="L1011" s="16">
        <v>48</v>
      </c>
      <c r="M1011" s="17">
        <v>1872</v>
      </c>
      <c r="N1011" s="15" t="s">
        <v>367</v>
      </c>
      <c r="O1011" s="15" t="s">
        <v>19</v>
      </c>
      <c r="Q1011"/>
    </row>
    <row r="1012" spans="1:17" ht="15.6" x14ac:dyDescent="0.3">
      <c r="A1012" s="11">
        <v>10210</v>
      </c>
      <c r="B1012" s="10">
        <v>37998</v>
      </c>
      <c r="C1012" s="10" t="s">
        <v>344</v>
      </c>
      <c r="D1012" s="11" t="s">
        <v>199</v>
      </c>
      <c r="E1012" s="11" t="s">
        <v>200</v>
      </c>
      <c r="F1012" s="11" t="s">
        <v>74</v>
      </c>
      <c r="G1012" s="11" t="s">
        <v>74</v>
      </c>
      <c r="H1012" s="11" t="s">
        <v>17</v>
      </c>
      <c r="I1012" s="11" t="s">
        <v>20</v>
      </c>
      <c r="J1012" s="11" t="s">
        <v>242</v>
      </c>
      <c r="K1012" s="11">
        <v>43</v>
      </c>
      <c r="L1012" s="12">
        <v>48</v>
      </c>
      <c r="M1012" s="13">
        <v>2064</v>
      </c>
      <c r="N1012" s="11" t="s">
        <v>367</v>
      </c>
      <c r="O1012" s="11" t="s">
        <v>19</v>
      </c>
      <c r="Q1012"/>
    </row>
    <row r="1013" spans="1:17" ht="15.6" x14ac:dyDescent="0.3">
      <c r="A1013" s="15">
        <v>10210</v>
      </c>
      <c r="B1013" s="14">
        <v>37998</v>
      </c>
      <c r="C1013" s="14" t="s">
        <v>344</v>
      </c>
      <c r="D1013" s="15" t="s">
        <v>199</v>
      </c>
      <c r="E1013" s="15" t="s">
        <v>200</v>
      </c>
      <c r="F1013" s="15" t="s">
        <v>74</v>
      </c>
      <c r="G1013" s="15" t="s">
        <v>74</v>
      </c>
      <c r="H1013" s="15" t="s">
        <v>61</v>
      </c>
      <c r="I1013" s="15" t="s">
        <v>62</v>
      </c>
      <c r="J1013" s="15" t="s">
        <v>261</v>
      </c>
      <c r="K1013" s="15">
        <v>21</v>
      </c>
      <c r="L1013" s="16">
        <v>15</v>
      </c>
      <c r="M1013" s="17">
        <v>315</v>
      </c>
      <c r="N1013" s="15" t="s">
        <v>367</v>
      </c>
      <c r="O1013" s="15" t="s">
        <v>19</v>
      </c>
      <c r="Q1013"/>
    </row>
    <row r="1014" spans="1:17" ht="15.6" x14ac:dyDescent="0.3">
      <c r="A1014" s="11">
        <v>10210</v>
      </c>
      <c r="B1014" s="10">
        <v>37998</v>
      </c>
      <c r="C1014" s="10" t="s">
        <v>344</v>
      </c>
      <c r="D1014" s="11" t="s">
        <v>199</v>
      </c>
      <c r="E1014" s="11" t="s">
        <v>200</v>
      </c>
      <c r="F1014" s="11" t="s">
        <v>74</v>
      </c>
      <c r="G1014" s="11" t="s">
        <v>74</v>
      </c>
      <c r="H1014" s="11" t="s">
        <v>61</v>
      </c>
      <c r="I1014" s="11" t="s">
        <v>65</v>
      </c>
      <c r="J1014" s="11" t="s">
        <v>264</v>
      </c>
      <c r="K1014" s="11">
        <v>26</v>
      </c>
      <c r="L1014" s="12">
        <v>30</v>
      </c>
      <c r="M1014" s="13">
        <v>780</v>
      </c>
      <c r="N1014" s="11" t="s">
        <v>367</v>
      </c>
      <c r="O1014" s="11" t="s">
        <v>19</v>
      </c>
      <c r="Q1014"/>
    </row>
    <row r="1015" spans="1:17" ht="15.6" x14ac:dyDescent="0.3">
      <c r="A1015" s="15">
        <v>10210</v>
      </c>
      <c r="B1015" s="14">
        <v>37998</v>
      </c>
      <c r="C1015" s="14" t="s">
        <v>344</v>
      </c>
      <c r="D1015" s="15" t="s">
        <v>199</v>
      </c>
      <c r="E1015" s="15" t="s">
        <v>200</v>
      </c>
      <c r="F1015" s="15" t="s">
        <v>74</v>
      </c>
      <c r="G1015" s="15" t="s">
        <v>74</v>
      </c>
      <c r="H1015" s="15" t="s">
        <v>61</v>
      </c>
      <c r="I1015" s="15" t="s">
        <v>62</v>
      </c>
      <c r="J1015" s="15" t="s">
        <v>261</v>
      </c>
      <c r="K1015" s="15">
        <v>25</v>
      </c>
      <c r="L1015" s="16">
        <v>15</v>
      </c>
      <c r="M1015" s="17">
        <v>375</v>
      </c>
      <c r="N1015" s="15" t="s">
        <v>367</v>
      </c>
      <c r="O1015" s="15" t="s">
        <v>19</v>
      </c>
      <c r="Q1015"/>
    </row>
    <row r="1016" spans="1:17" ht="15.6" x14ac:dyDescent="0.3">
      <c r="A1016" s="11">
        <v>10210</v>
      </c>
      <c r="B1016" s="10">
        <v>37998</v>
      </c>
      <c r="C1016" s="10" t="s">
        <v>344</v>
      </c>
      <c r="D1016" s="11" t="s">
        <v>199</v>
      </c>
      <c r="E1016" s="11" t="s">
        <v>200</v>
      </c>
      <c r="F1016" s="11" t="s">
        <v>74</v>
      </c>
      <c r="G1016" s="11" t="s">
        <v>74</v>
      </c>
      <c r="H1016" s="11" t="s">
        <v>61</v>
      </c>
      <c r="I1016" s="11" t="s">
        <v>62</v>
      </c>
      <c r="J1016" s="11" t="s">
        <v>261</v>
      </c>
      <c r="K1016" s="11">
        <v>31</v>
      </c>
      <c r="L1016" s="12">
        <v>15</v>
      </c>
      <c r="M1016" s="13">
        <v>465</v>
      </c>
      <c r="N1016" s="11" t="s">
        <v>367</v>
      </c>
      <c r="O1016" s="11" t="s">
        <v>19</v>
      </c>
      <c r="Q1016"/>
    </row>
    <row r="1017" spans="1:17" ht="15.6" x14ac:dyDescent="0.3">
      <c r="A1017" s="15">
        <v>10210</v>
      </c>
      <c r="B1017" s="14">
        <v>37998</v>
      </c>
      <c r="C1017" s="14" t="s">
        <v>344</v>
      </c>
      <c r="D1017" s="15" t="s">
        <v>199</v>
      </c>
      <c r="E1017" s="15" t="s">
        <v>200</v>
      </c>
      <c r="F1017" s="15" t="s">
        <v>74</v>
      </c>
      <c r="G1017" s="15" t="s">
        <v>74</v>
      </c>
      <c r="H1017" s="15" t="s">
        <v>61</v>
      </c>
      <c r="I1017" s="15" t="s">
        <v>62</v>
      </c>
      <c r="J1017" s="15" t="s">
        <v>261</v>
      </c>
      <c r="K1017" s="15">
        <v>42</v>
      </c>
      <c r="L1017" s="16">
        <v>15</v>
      </c>
      <c r="M1017" s="17">
        <v>630</v>
      </c>
      <c r="N1017" s="15" t="s">
        <v>367</v>
      </c>
      <c r="O1017" s="15" t="s">
        <v>19</v>
      </c>
      <c r="Q1017"/>
    </row>
    <row r="1018" spans="1:17" ht="15.6" x14ac:dyDescent="0.3">
      <c r="A1018" s="11">
        <v>10211</v>
      </c>
      <c r="B1018" s="10">
        <v>38001</v>
      </c>
      <c r="C1018" s="10" t="s">
        <v>345</v>
      </c>
      <c r="D1018" s="11" t="s">
        <v>201</v>
      </c>
      <c r="E1018" s="11" t="s">
        <v>91</v>
      </c>
      <c r="F1018" s="11" t="s">
        <v>92</v>
      </c>
      <c r="G1018" s="11" t="s">
        <v>25</v>
      </c>
      <c r="H1018" s="11" t="s">
        <v>68</v>
      </c>
      <c r="I1018" s="11" t="s">
        <v>108</v>
      </c>
      <c r="J1018" s="11" t="s">
        <v>271</v>
      </c>
      <c r="K1018" s="11">
        <v>41</v>
      </c>
      <c r="L1018" s="12">
        <v>45</v>
      </c>
      <c r="M1018" s="13">
        <v>1845</v>
      </c>
      <c r="N1018" s="11" t="s">
        <v>367</v>
      </c>
      <c r="O1018" s="11" t="s">
        <v>19</v>
      </c>
      <c r="Q1018"/>
    </row>
    <row r="1019" spans="1:17" ht="15.6" x14ac:dyDescent="0.3">
      <c r="A1019" s="15">
        <v>10211</v>
      </c>
      <c r="B1019" s="14">
        <v>38001</v>
      </c>
      <c r="C1019" s="14" t="s">
        <v>345</v>
      </c>
      <c r="D1019" s="15" t="s">
        <v>201</v>
      </c>
      <c r="E1019" s="15" t="s">
        <v>91</v>
      </c>
      <c r="F1019" s="15" t="s">
        <v>92</v>
      </c>
      <c r="G1019" s="15" t="s">
        <v>25</v>
      </c>
      <c r="H1019" s="15" t="s">
        <v>32</v>
      </c>
      <c r="I1019" s="15" t="s">
        <v>46</v>
      </c>
      <c r="J1019" s="15" t="s">
        <v>254</v>
      </c>
      <c r="K1019" s="15">
        <v>41</v>
      </c>
      <c r="L1019" s="16">
        <v>90</v>
      </c>
      <c r="M1019" s="17">
        <v>3690</v>
      </c>
      <c r="N1019" s="15" t="s">
        <v>367</v>
      </c>
      <c r="O1019" s="15" t="s">
        <v>19</v>
      </c>
      <c r="Q1019"/>
    </row>
    <row r="1020" spans="1:17" ht="15.6" x14ac:dyDescent="0.3">
      <c r="A1020" s="11">
        <v>10211</v>
      </c>
      <c r="B1020" s="10">
        <v>38001</v>
      </c>
      <c r="C1020" s="10" t="s">
        <v>345</v>
      </c>
      <c r="D1020" s="11" t="s">
        <v>201</v>
      </c>
      <c r="E1020" s="11" t="s">
        <v>91</v>
      </c>
      <c r="F1020" s="11" t="s">
        <v>92</v>
      </c>
      <c r="G1020" s="11" t="s">
        <v>25</v>
      </c>
      <c r="H1020" s="11" t="s">
        <v>68</v>
      </c>
      <c r="I1020" s="11" t="s">
        <v>69</v>
      </c>
      <c r="J1020" s="11" t="s">
        <v>266</v>
      </c>
      <c r="K1020" s="11">
        <v>36</v>
      </c>
      <c r="L1020" s="12">
        <v>25</v>
      </c>
      <c r="M1020" s="13">
        <v>900</v>
      </c>
      <c r="N1020" s="11" t="s">
        <v>367</v>
      </c>
      <c r="O1020" s="11" t="s">
        <v>19</v>
      </c>
      <c r="Q1020"/>
    </row>
    <row r="1021" spans="1:17" ht="15.6" x14ac:dyDescent="0.3">
      <c r="A1021" s="15">
        <v>10211</v>
      </c>
      <c r="B1021" s="14">
        <v>38001</v>
      </c>
      <c r="C1021" s="14" t="s">
        <v>345</v>
      </c>
      <c r="D1021" s="15" t="s">
        <v>201</v>
      </c>
      <c r="E1021" s="15" t="s">
        <v>91</v>
      </c>
      <c r="F1021" s="15" t="s">
        <v>92</v>
      </c>
      <c r="G1021" s="15" t="s">
        <v>25</v>
      </c>
      <c r="H1021" s="15" t="s">
        <v>32</v>
      </c>
      <c r="I1021" s="15" t="s">
        <v>44</v>
      </c>
      <c r="J1021" s="15" t="s">
        <v>252</v>
      </c>
      <c r="K1021" s="15">
        <v>28</v>
      </c>
      <c r="L1021" s="16">
        <v>55</v>
      </c>
      <c r="M1021" s="17">
        <v>1540</v>
      </c>
      <c r="N1021" s="15" t="s">
        <v>367</v>
      </c>
      <c r="O1021" s="15" t="s">
        <v>19</v>
      </c>
      <c r="Q1021"/>
    </row>
    <row r="1022" spans="1:17" ht="15.6" x14ac:dyDescent="0.3">
      <c r="A1022" s="11">
        <v>10211</v>
      </c>
      <c r="B1022" s="10">
        <v>38001</v>
      </c>
      <c r="C1022" s="10" t="s">
        <v>345</v>
      </c>
      <c r="D1022" s="11" t="s">
        <v>201</v>
      </c>
      <c r="E1022" s="11" t="s">
        <v>91</v>
      </c>
      <c r="F1022" s="11" t="s">
        <v>92</v>
      </c>
      <c r="G1022" s="11" t="s">
        <v>25</v>
      </c>
      <c r="H1022" s="11" t="s">
        <v>32</v>
      </c>
      <c r="I1022" s="11" t="s">
        <v>45</v>
      </c>
      <c r="J1022" s="11" t="s">
        <v>253</v>
      </c>
      <c r="K1022" s="11">
        <v>35</v>
      </c>
      <c r="L1022" s="12">
        <v>35</v>
      </c>
      <c r="M1022" s="13">
        <v>1225</v>
      </c>
      <c r="N1022" s="11" t="s">
        <v>367</v>
      </c>
      <c r="O1022" s="11" t="s">
        <v>19</v>
      </c>
      <c r="Q1022"/>
    </row>
    <row r="1023" spans="1:17" ht="15.6" x14ac:dyDescent="0.3">
      <c r="A1023" s="15">
        <v>10211</v>
      </c>
      <c r="B1023" s="14">
        <v>38001</v>
      </c>
      <c r="C1023" s="14" t="s">
        <v>345</v>
      </c>
      <c r="D1023" s="15" t="s">
        <v>201</v>
      </c>
      <c r="E1023" s="15" t="s">
        <v>91</v>
      </c>
      <c r="F1023" s="15" t="s">
        <v>92</v>
      </c>
      <c r="G1023" s="15" t="s">
        <v>25</v>
      </c>
      <c r="H1023" s="15" t="s">
        <v>32</v>
      </c>
      <c r="I1023" s="15" t="s">
        <v>45</v>
      </c>
      <c r="J1023" s="15" t="s">
        <v>253</v>
      </c>
      <c r="K1023" s="15">
        <v>28</v>
      </c>
      <c r="L1023" s="16">
        <v>35</v>
      </c>
      <c r="M1023" s="17">
        <v>980</v>
      </c>
      <c r="N1023" s="15" t="s">
        <v>367</v>
      </c>
      <c r="O1023" s="15" t="s">
        <v>19</v>
      </c>
      <c r="Q1023"/>
    </row>
    <row r="1024" spans="1:17" ht="15.6" x14ac:dyDescent="0.3">
      <c r="A1024" s="11">
        <v>10211</v>
      </c>
      <c r="B1024" s="10">
        <v>38001</v>
      </c>
      <c r="C1024" s="10" t="s">
        <v>345</v>
      </c>
      <c r="D1024" s="11" t="s">
        <v>201</v>
      </c>
      <c r="E1024" s="11" t="s">
        <v>91</v>
      </c>
      <c r="F1024" s="11" t="s">
        <v>92</v>
      </c>
      <c r="G1024" s="11" t="s">
        <v>25</v>
      </c>
      <c r="H1024" s="11" t="s">
        <v>68</v>
      </c>
      <c r="I1024" s="11" t="s">
        <v>70</v>
      </c>
      <c r="J1024" s="11" t="s">
        <v>267</v>
      </c>
      <c r="K1024" s="11">
        <v>46</v>
      </c>
      <c r="L1024" s="12">
        <v>50</v>
      </c>
      <c r="M1024" s="13">
        <v>2300</v>
      </c>
      <c r="N1024" s="11" t="s">
        <v>367</v>
      </c>
      <c r="O1024" s="11" t="s">
        <v>19</v>
      </c>
      <c r="Q1024"/>
    </row>
    <row r="1025" spans="1:17" ht="15.6" x14ac:dyDescent="0.3">
      <c r="A1025" s="15">
        <v>10211</v>
      </c>
      <c r="B1025" s="14">
        <v>38001</v>
      </c>
      <c r="C1025" s="14" t="s">
        <v>345</v>
      </c>
      <c r="D1025" s="15" t="s">
        <v>201</v>
      </c>
      <c r="E1025" s="15" t="s">
        <v>91</v>
      </c>
      <c r="F1025" s="15" t="s">
        <v>92</v>
      </c>
      <c r="G1025" s="15" t="s">
        <v>25</v>
      </c>
      <c r="H1025" s="15" t="s">
        <v>32</v>
      </c>
      <c r="I1025" s="15" t="s">
        <v>34</v>
      </c>
      <c r="J1025" s="15" t="s">
        <v>246</v>
      </c>
      <c r="K1025" s="15">
        <v>41</v>
      </c>
      <c r="L1025" s="16">
        <v>80</v>
      </c>
      <c r="M1025" s="17">
        <v>3280</v>
      </c>
      <c r="N1025" s="15" t="s">
        <v>367</v>
      </c>
      <c r="O1025" s="15" t="s">
        <v>19</v>
      </c>
      <c r="Q1025"/>
    </row>
    <row r="1026" spans="1:17" ht="15.6" x14ac:dyDescent="0.3">
      <c r="A1026" s="11">
        <v>10211</v>
      </c>
      <c r="B1026" s="10">
        <v>38001</v>
      </c>
      <c r="C1026" s="10" t="s">
        <v>345</v>
      </c>
      <c r="D1026" s="11" t="s">
        <v>201</v>
      </c>
      <c r="E1026" s="11" t="s">
        <v>91</v>
      </c>
      <c r="F1026" s="11" t="s">
        <v>92</v>
      </c>
      <c r="G1026" s="11" t="s">
        <v>25</v>
      </c>
      <c r="H1026" s="11" t="s">
        <v>68</v>
      </c>
      <c r="I1026" s="11" t="s">
        <v>69</v>
      </c>
      <c r="J1026" s="11" t="s">
        <v>266</v>
      </c>
      <c r="K1026" s="11">
        <v>25</v>
      </c>
      <c r="L1026" s="12">
        <v>25</v>
      </c>
      <c r="M1026" s="13">
        <v>625</v>
      </c>
      <c r="N1026" s="11" t="s">
        <v>367</v>
      </c>
      <c r="O1026" s="11" t="s">
        <v>19</v>
      </c>
      <c r="Q1026"/>
    </row>
    <row r="1027" spans="1:17" ht="15.6" x14ac:dyDescent="0.3">
      <c r="A1027" s="15">
        <v>10211</v>
      </c>
      <c r="B1027" s="14">
        <v>38001</v>
      </c>
      <c r="C1027" s="14" t="s">
        <v>345</v>
      </c>
      <c r="D1027" s="15" t="s">
        <v>201</v>
      </c>
      <c r="E1027" s="15" t="s">
        <v>91</v>
      </c>
      <c r="F1027" s="15" t="s">
        <v>92</v>
      </c>
      <c r="G1027" s="15" t="s">
        <v>25</v>
      </c>
      <c r="H1027" s="15" t="s">
        <v>68</v>
      </c>
      <c r="I1027" s="15" t="s">
        <v>69</v>
      </c>
      <c r="J1027" s="15" t="s">
        <v>266</v>
      </c>
      <c r="K1027" s="15">
        <v>21</v>
      </c>
      <c r="L1027" s="16">
        <v>25</v>
      </c>
      <c r="M1027" s="17">
        <v>525</v>
      </c>
      <c r="N1027" s="15" t="s">
        <v>367</v>
      </c>
      <c r="O1027" s="15" t="s">
        <v>19</v>
      </c>
      <c r="Q1027"/>
    </row>
    <row r="1028" spans="1:17" ht="15.6" x14ac:dyDescent="0.3">
      <c r="A1028" s="11">
        <v>10211</v>
      </c>
      <c r="B1028" s="10">
        <v>38001</v>
      </c>
      <c r="C1028" s="10" t="s">
        <v>345</v>
      </c>
      <c r="D1028" s="11" t="s">
        <v>201</v>
      </c>
      <c r="E1028" s="11" t="s">
        <v>91</v>
      </c>
      <c r="F1028" s="11" t="s">
        <v>92</v>
      </c>
      <c r="G1028" s="11" t="s">
        <v>25</v>
      </c>
      <c r="H1028" s="11" t="s">
        <v>32</v>
      </c>
      <c r="I1028" s="11" t="s">
        <v>45</v>
      </c>
      <c r="J1028" s="11" t="s">
        <v>253</v>
      </c>
      <c r="K1028" s="11">
        <v>48</v>
      </c>
      <c r="L1028" s="12">
        <v>35</v>
      </c>
      <c r="M1028" s="13">
        <v>1680</v>
      </c>
      <c r="N1028" s="11" t="s">
        <v>367</v>
      </c>
      <c r="O1028" s="11" t="s">
        <v>19</v>
      </c>
      <c r="Q1028"/>
    </row>
    <row r="1029" spans="1:17" ht="15.6" x14ac:dyDescent="0.3">
      <c r="A1029" s="15">
        <v>10211</v>
      </c>
      <c r="B1029" s="14">
        <v>38001</v>
      </c>
      <c r="C1029" s="14" t="s">
        <v>345</v>
      </c>
      <c r="D1029" s="15" t="s">
        <v>201</v>
      </c>
      <c r="E1029" s="15" t="s">
        <v>91</v>
      </c>
      <c r="F1029" s="15" t="s">
        <v>92</v>
      </c>
      <c r="G1029" s="15" t="s">
        <v>25</v>
      </c>
      <c r="H1029" s="15" t="s">
        <v>32</v>
      </c>
      <c r="I1029" s="15" t="s">
        <v>33</v>
      </c>
      <c r="J1029" s="15" t="s">
        <v>245</v>
      </c>
      <c r="K1029" s="15">
        <v>22</v>
      </c>
      <c r="L1029" s="16">
        <v>85</v>
      </c>
      <c r="M1029" s="17">
        <v>1870</v>
      </c>
      <c r="N1029" s="15" t="s">
        <v>367</v>
      </c>
      <c r="O1029" s="15" t="s">
        <v>19</v>
      </c>
      <c r="Q1029"/>
    </row>
    <row r="1030" spans="1:17" ht="15.6" x14ac:dyDescent="0.3">
      <c r="A1030" s="11">
        <v>10211</v>
      </c>
      <c r="B1030" s="10">
        <v>38001</v>
      </c>
      <c r="C1030" s="10" t="s">
        <v>345</v>
      </c>
      <c r="D1030" s="11" t="s">
        <v>201</v>
      </c>
      <c r="E1030" s="11" t="s">
        <v>91</v>
      </c>
      <c r="F1030" s="11" t="s">
        <v>92</v>
      </c>
      <c r="G1030" s="11" t="s">
        <v>25</v>
      </c>
      <c r="H1030" s="11" t="s">
        <v>68</v>
      </c>
      <c r="I1030" s="11" t="s">
        <v>76</v>
      </c>
      <c r="J1030" s="11" t="s">
        <v>269</v>
      </c>
      <c r="K1030" s="11">
        <v>41</v>
      </c>
      <c r="L1030" s="12">
        <v>30</v>
      </c>
      <c r="M1030" s="13">
        <v>1230</v>
      </c>
      <c r="N1030" s="11" t="s">
        <v>367</v>
      </c>
      <c r="O1030" s="11" t="s">
        <v>19</v>
      </c>
      <c r="Q1030"/>
    </row>
    <row r="1031" spans="1:17" ht="15.6" x14ac:dyDescent="0.3">
      <c r="A1031" s="15">
        <v>10211</v>
      </c>
      <c r="B1031" s="14">
        <v>38001</v>
      </c>
      <c r="C1031" s="14" t="s">
        <v>345</v>
      </c>
      <c r="D1031" s="15" t="s">
        <v>201</v>
      </c>
      <c r="E1031" s="15" t="s">
        <v>91</v>
      </c>
      <c r="F1031" s="15" t="s">
        <v>92</v>
      </c>
      <c r="G1031" s="15" t="s">
        <v>25</v>
      </c>
      <c r="H1031" s="15" t="s">
        <v>68</v>
      </c>
      <c r="I1031" s="15" t="s">
        <v>69</v>
      </c>
      <c r="J1031" s="15" t="s">
        <v>266</v>
      </c>
      <c r="K1031" s="15">
        <v>37</v>
      </c>
      <c r="L1031" s="16">
        <v>25</v>
      </c>
      <c r="M1031" s="17">
        <v>925</v>
      </c>
      <c r="N1031" s="15" t="s">
        <v>367</v>
      </c>
      <c r="O1031" s="15" t="s">
        <v>19</v>
      </c>
      <c r="Q1031"/>
    </row>
    <row r="1032" spans="1:17" ht="15.6" x14ac:dyDescent="0.3">
      <c r="A1032" s="11">
        <v>10211</v>
      </c>
      <c r="B1032" s="10">
        <v>38001</v>
      </c>
      <c r="C1032" s="10" t="s">
        <v>345</v>
      </c>
      <c r="D1032" s="11" t="s">
        <v>201</v>
      </c>
      <c r="E1032" s="11" t="s">
        <v>91</v>
      </c>
      <c r="F1032" s="11" t="s">
        <v>92</v>
      </c>
      <c r="G1032" s="11" t="s">
        <v>25</v>
      </c>
      <c r="H1032" s="11" t="s">
        <v>68</v>
      </c>
      <c r="I1032" s="11" t="s">
        <v>70</v>
      </c>
      <c r="J1032" s="11" t="s">
        <v>267</v>
      </c>
      <c r="K1032" s="11">
        <v>40</v>
      </c>
      <c r="L1032" s="12">
        <v>50</v>
      </c>
      <c r="M1032" s="13">
        <v>2000</v>
      </c>
      <c r="N1032" s="11" t="s">
        <v>367</v>
      </c>
      <c r="O1032" s="11" t="s">
        <v>19</v>
      </c>
      <c r="Q1032"/>
    </row>
    <row r="1033" spans="1:17" ht="15.6" x14ac:dyDescent="0.3">
      <c r="A1033" s="15">
        <v>10212</v>
      </c>
      <c r="B1033" s="14">
        <v>38002</v>
      </c>
      <c r="C1033" s="14" t="s">
        <v>279</v>
      </c>
      <c r="D1033" s="15" t="s">
        <v>41</v>
      </c>
      <c r="E1033" s="15" t="s">
        <v>42</v>
      </c>
      <c r="F1033" s="15" t="s">
        <v>43</v>
      </c>
      <c r="G1033" s="15" t="s">
        <v>25</v>
      </c>
      <c r="H1033" s="15" t="s">
        <v>32</v>
      </c>
      <c r="I1033" s="15" t="s">
        <v>34</v>
      </c>
      <c r="J1033" s="15" t="s">
        <v>246</v>
      </c>
      <c r="K1033" s="15">
        <v>39</v>
      </c>
      <c r="L1033" s="16">
        <v>80</v>
      </c>
      <c r="M1033" s="17">
        <v>3120</v>
      </c>
      <c r="N1033" s="15" t="s">
        <v>367</v>
      </c>
      <c r="O1033" s="15" t="s">
        <v>19</v>
      </c>
      <c r="Q1033"/>
    </row>
    <row r="1034" spans="1:17" ht="15.6" x14ac:dyDescent="0.3">
      <c r="A1034" s="11">
        <v>10212</v>
      </c>
      <c r="B1034" s="10">
        <v>38002</v>
      </c>
      <c r="C1034" s="10" t="s">
        <v>279</v>
      </c>
      <c r="D1034" s="11" t="s">
        <v>41</v>
      </c>
      <c r="E1034" s="11" t="s">
        <v>42</v>
      </c>
      <c r="F1034" s="11" t="s">
        <v>43</v>
      </c>
      <c r="G1034" s="11" t="s">
        <v>25</v>
      </c>
      <c r="H1034" s="11" t="s">
        <v>32</v>
      </c>
      <c r="I1034" s="11" t="s">
        <v>46</v>
      </c>
      <c r="J1034" s="11" t="s">
        <v>254</v>
      </c>
      <c r="K1034" s="11">
        <v>33</v>
      </c>
      <c r="L1034" s="12">
        <v>90</v>
      </c>
      <c r="M1034" s="13">
        <v>2970</v>
      </c>
      <c r="N1034" s="11" t="s">
        <v>367</v>
      </c>
      <c r="O1034" s="11" t="s">
        <v>19</v>
      </c>
      <c r="Q1034"/>
    </row>
    <row r="1035" spans="1:17" ht="15.6" x14ac:dyDescent="0.3">
      <c r="A1035" s="15">
        <v>10212</v>
      </c>
      <c r="B1035" s="14">
        <v>38002</v>
      </c>
      <c r="C1035" s="14" t="s">
        <v>279</v>
      </c>
      <c r="D1035" s="15" t="s">
        <v>41</v>
      </c>
      <c r="E1035" s="15" t="s">
        <v>42</v>
      </c>
      <c r="F1035" s="15" t="s">
        <v>43</v>
      </c>
      <c r="G1035" s="15" t="s">
        <v>25</v>
      </c>
      <c r="H1035" s="15" t="s">
        <v>32</v>
      </c>
      <c r="I1035" s="15" t="s">
        <v>33</v>
      </c>
      <c r="J1035" s="15" t="s">
        <v>245</v>
      </c>
      <c r="K1035" s="15">
        <v>29</v>
      </c>
      <c r="L1035" s="16">
        <v>85</v>
      </c>
      <c r="M1035" s="17">
        <v>2465</v>
      </c>
      <c r="N1035" s="15" t="s">
        <v>367</v>
      </c>
      <c r="O1035" s="15" t="s">
        <v>19</v>
      </c>
      <c r="Q1035"/>
    </row>
    <row r="1036" spans="1:17" ht="15.6" x14ac:dyDescent="0.3">
      <c r="A1036" s="11">
        <v>10212</v>
      </c>
      <c r="B1036" s="10">
        <v>38002</v>
      </c>
      <c r="C1036" s="10" t="s">
        <v>279</v>
      </c>
      <c r="D1036" s="11" t="s">
        <v>41</v>
      </c>
      <c r="E1036" s="11" t="s">
        <v>42</v>
      </c>
      <c r="F1036" s="11" t="s">
        <v>43</v>
      </c>
      <c r="G1036" s="11" t="s">
        <v>25</v>
      </c>
      <c r="H1036" s="11" t="s">
        <v>32</v>
      </c>
      <c r="I1036" s="11" t="s">
        <v>45</v>
      </c>
      <c r="J1036" s="11" t="s">
        <v>253</v>
      </c>
      <c r="K1036" s="11">
        <v>38</v>
      </c>
      <c r="L1036" s="12">
        <v>35</v>
      </c>
      <c r="M1036" s="13">
        <v>1330</v>
      </c>
      <c r="N1036" s="11" t="s">
        <v>367</v>
      </c>
      <c r="O1036" s="11" t="s">
        <v>19</v>
      </c>
      <c r="Q1036"/>
    </row>
    <row r="1037" spans="1:17" ht="15.6" x14ac:dyDescent="0.3">
      <c r="A1037" s="15">
        <v>10212</v>
      </c>
      <c r="B1037" s="14">
        <v>38002</v>
      </c>
      <c r="C1037" s="14" t="s">
        <v>279</v>
      </c>
      <c r="D1037" s="15" t="s">
        <v>41</v>
      </c>
      <c r="E1037" s="15" t="s">
        <v>42</v>
      </c>
      <c r="F1037" s="15" t="s">
        <v>43</v>
      </c>
      <c r="G1037" s="15" t="s">
        <v>25</v>
      </c>
      <c r="H1037" s="15" t="s">
        <v>32</v>
      </c>
      <c r="I1037" s="15" t="s">
        <v>45</v>
      </c>
      <c r="J1037" s="15" t="s">
        <v>253</v>
      </c>
      <c r="K1037" s="15">
        <v>20</v>
      </c>
      <c r="L1037" s="16">
        <v>35</v>
      </c>
      <c r="M1037" s="17">
        <v>700</v>
      </c>
      <c r="N1037" s="15" t="s">
        <v>367</v>
      </c>
      <c r="O1037" s="15" t="s">
        <v>19</v>
      </c>
      <c r="Q1037"/>
    </row>
    <row r="1038" spans="1:17" ht="15.6" x14ac:dyDescent="0.3">
      <c r="A1038" s="11">
        <v>10212</v>
      </c>
      <c r="B1038" s="10">
        <v>38002</v>
      </c>
      <c r="C1038" s="10" t="s">
        <v>279</v>
      </c>
      <c r="D1038" s="11" t="s">
        <v>41</v>
      </c>
      <c r="E1038" s="11" t="s">
        <v>42</v>
      </c>
      <c r="F1038" s="11" t="s">
        <v>43</v>
      </c>
      <c r="G1038" s="11" t="s">
        <v>25</v>
      </c>
      <c r="H1038" s="11" t="s">
        <v>32</v>
      </c>
      <c r="I1038" s="11" t="s">
        <v>33</v>
      </c>
      <c r="J1038" s="11" t="s">
        <v>245</v>
      </c>
      <c r="K1038" s="11">
        <v>41</v>
      </c>
      <c r="L1038" s="12">
        <v>85</v>
      </c>
      <c r="M1038" s="13">
        <v>3485</v>
      </c>
      <c r="N1038" s="11" t="s">
        <v>367</v>
      </c>
      <c r="O1038" s="11" t="s">
        <v>19</v>
      </c>
      <c r="Q1038"/>
    </row>
    <row r="1039" spans="1:17" ht="15.6" x14ac:dyDescent="0.3">
      <c r="A1039" s="15">
        <v>10212</v>
      </c>
      <c r="B1039" s="14">
        <v>38002</v>
      </c>
      <c r="C1039" s="14" t="s">
        <v>279</v>
      </c>
      <c r="D1039" s="15" t="s">
        <v>41</v>
      </c>
      <c r="E1039" s="15" t="s">
        <v>42</v>
      </c>
      <c r="F1039" s="15" t="s">
        <v>43</v>
      </c>
      <c r="G1039" s="15" t="s">
        <v>25</v>
      </c>
      <c r="H1039" s="15" t="s">
        <v>32</v>
      </c>
      <c r="I1039" s="15" t="s">
        <v>34</v>
      </c>
      <c r="J1039" s="15" t="s">
        <v>246</v>
      </c>
      <c r="K1039" s="15">
        <v>40</v>
      </c>
      <c r="L1039" s="16">
        <v>80</v>
      </c>
      <c r="M1039" s="17">
        <v>3200</v>
      </c>
      <c r="N1039" s="15" t="s">
        <v>367</v>
      </c>
      <c r="O1039" s="15" t="s">
        <v>19</v>
      </c>
      <c r="Q1039"/>
    </row>
    <row r="1040" spans="1:17" ht="15.6" x14ac:dyDescent="0.3">
      <c r="A1040" s="11">
        <v>10212</v>
      </c>
      <c r="B1040" s="10">
        <v>38002</v>
      </c>
      <c r="C1040" s="10" t="s">
        <v>279</v>
      </c>
      <c r="D1040" s="11" t="s">
        <v>41</v>
      </c>
      <c r="E1040" s="11" t="s">
        <v>42</v>
      </c>
      <c r="F1040" s="11" t="s">
        <v>43</v>
      </c>
      <c r="G1040" s="11" t="s">
        <v>25</v>
      </c>
      <c r="H1040" s="11" t="s">
        <v>32</v>
      </c>
      <c r="I1040" s="11" t="s">
        <v>34</v>
      </c>
      <c r="J1040" s="11" t="s">
        <v>246</v>
      </c>
      <c r="K1040" s="11">
        <v>40</v>
      </c>
      <c r="L1040" s="12">
        <v>80</v>
      </c>
      <c r="M1040" s="13">
        <v>3200</v>
      </c>
      <c r="N1040" s="11" t="s">
        <v>367</v>
      </c>
      <c r="O1040" s="11" t="s">
        <v>19</v>
      </c>
      <c r="Q1040"/>
    </row>
    <row r="1041" spans="1:17" ht="15.6" x14ac:dyDescent="0.3">
      <c r="A1041" s="15">
        <v>10212</v>
      </c>
      <c r="B1041" s="14">
        <v>38002</v>
      </c>
      <c r="C1041" s="14" t="s">
        <v>279</v>
      </c>
      <c r="D1041" s="15" t="s">
        <v>41</v>
      </c>
      <c r="E1041" s="15" t="s">
        <v>42</v>
      </c>
      <c r="F1041" s="15" t="s">
        <v>43</v>
      </c>
      <c r="G1041" s="15" t="s">
        <v>25</v>
      </c>
      <c r="H1041" s="15" t="s">
        <v>32</v>
      </c>
      <c r="I1041" s="15" t="s">
        <v>34</v>
      </c>
      <c r="J1041" s="15" t="s">
        <v>246</v>
      </c>
      <c r="K1041" s="15">
        <v>45</v>
      </c>
      <c r="L1041" s="16">
        <v>80</v>
      </c>
      <c r="M1041" s="17">
        <v>3600</v>
      </c>
      <c r="N1041" s="15" t="s">
        <v>367</v>
      </c>
      <c r="O1041" s="15" t="s">
        <v>19</v>
      </c>
      <c r="Q1041"/>
    </row>
    <row r="1042" spans="1:17" ht="15.6" x14ac:dyDescent="0.3">
      <c r="A1042" s="11">
        <v>10212</v>
      </c>
      <c r="B1042" s="10">
        <v>38002</v>
      </c>
      <c r="C1042" s="10" t="s">
        <v>279</v>
      </c>
      <c r="D1042" s="11" t="s">
        <v>41</v>
      </c>
      <c r="E1042" s="11" t="s">
        <v>42</v>
      </c>
      <c r="F1042" s="11" t="s">
        <v>43</v>
      </c>
      <c r="G1042" s="11" t="s">
        <v>25</v>
      </c>
      <c r="H1042" s="11" t="s">
        <v>32</v>
      </c>
      <c r="I1042" s="11" t="s">
        <v>34</v>
      </c>
      <c r="J1042" s="11" t="s">
        <v>246</v>
      </c>
      <c r="K1042" s="11">
        <v>41</v>
      </c>
      <c r="L1042" s="12">
        <v>80</v>
      </c>
      <c r="M1042" s="13">
        <v>3280</v>
      </c>
      <c r="N1042" s="11" t="s">
        <v>367</v>
      </c>
      <c r="O1042" s="11" t="s">
        <v>19</v>
      </c>
      <c r="Q1042"/>
    </row>
    <row r="1043" spans="1:17" ht="15.6" x14ac:dyDescent="0.3">
      <c r="A1043" s="15">
        <v>10212</v>
      </c>
      <c r="B1043" s="14">
        <v>38002</v>
      </c>
      <c r="C1043" s="14" t="s">
        <v>279</v>
      </c>
      <c r="D1043" s="15" t="s">
        <v>41</v>
      </c>
      <c r="E1043" s="15" t="s">
        <v>42</v>
      </c>
      <c r="F1043" s="15" t="s">
        <v>43</v>
      </c>
      <c r="G1043" s="15" t="s">
        <v>25</v>
      </c>
      <c r="H1043" s="15" t="s">
        <v>32</v>
      </c>
      <c r="I1043" s="15" t="s">
        <v>45</v>
      </c>
      <c r="J1043" s="15" t="s">
        <v>253</v>
      </c>
      <c r="K1043" s="15">
        <v>45</v>
      </c>
      <c r="L1043" s="16">
        <v>35</v>
      </c>
      <c r="M1043" s="17">
        <v>1575</v>
      </c>
      <c r="N1043" s="15" t="s">
        <v>367</v>
      </c>
      <c r="O1043" s="15" t="s">
        <v>19</v>
      </c>
      <c r="Q1043"/>
    </row>
    <row r="1044" spans="1:17" ht="15.6" x14ac:dyDescent="0.3">
      <c r="A1044" s="11">
        <v>10212</v>
      </c>
      <c r="B1044" s="10">
        <v>38002</v>
      </c>
      <c r="C1044" s="10" t="s">
        <v>279</v>
      </c>
      <c r="D1044" s="11" t="s">
        <v>41</v>
      </c>
      <c r="E1044" s="11" t="s">
        <v>42</v>
      </c>
      <c r="F1044" s="11" t="s">
        <v>43</v>
      </c>
      <c r="G1044" s="11" t="s">
        <v>25</v>
      </c>
      <c r="H1044" s="11" t="s">
        <v>32</v>
      </c>
      <c r="I1044" s="11" t="s">
        <v>34</v>
      </c>
      <c r="J1044" s="11" t="s">
        <v>246</v>
      </c>
      <c r="K1044" s="11">
        <v>45</v>
      </c>
      <c r="L1044" s="12">
        <v>80</v>
      </c>
      <c r="M1044" s="13">
        <v>3600</v>
      </c>
      <c r="N1044" s="11" t="s">
        <v>367</v>
      </c>
      <c r="O1044" s="11" t="s">
        <v>19</v>
      </c>
      <c r="Q1044"/>
    </row>
    <row r="1045" spans="1:17" ht="15.6" x14ac:dyDescent="0.3">
      <c r="A1045" s="15">
        <v>10212</v>
      </c>
      <c r="B1045" s="14">
        <v>38002</v>
      </c>
      <c r="C1045" s="14" t="s">
        <v>279</v>
      </c>
      <c r="D1045" s="15" t="s">
        <v>41</v>
      </c>
      <c r="E1045" s="15" t="s">
        <v>42</v>
      </c>
      <c r="F1045" s="15" t="s">
        <v>43</v>
      </c>
      <c r="G1045" s="15" t="s">
        <v>25</v>
      </c>
      <c r="H1045" s="15" t="s">
        <v>32</v>
      </c>
      <c r="I1045" s="15" t="s">
        <v>45</v>
      </c>
      <c r="J1045" s="15" t="s">
        <v>253</v>
      </c>
      <c r="K1045" s="15">
        <v>34</v>
      </c>
      <c r="L1045" s="16">
        <v>35</v>
      </c>
      <c r="M1045" s="17">
        <v>1190</v>
      </c>
      <c r="N1045" s="15" t="s">
        <v>367</v>
      </c>
      <c r="O1045" s="15" t="s">
        <v>19</v>
      </c>
      <c r="Q1045"/>
    </row>
    <row r="1046" spans="1:17" ht="15.6" x14ac:dyDescent="0.3">
      <c r="A1046" s="11">
        <v>10212</v>
      </c>
      <c r="B1046" s="10">
        <v>38002</v>
      </c>
      <c r="C1046" s="10" t="s">
        <v>279</v>
      </c>
      <c r="D1046" s="11" t="s">
        <v>41</v>
      </c>
      <c r="E1046" s="11" t="s">
        <v>42</v>
      </c>
      <c r="F1046" s="11" t="s">
        <v>43</v>
      </c>
      <c r="G1046" s="11" t="s">
        <v>25</v>
      </c>
      <c r="H1046" s="11" t="s">
        <v>32</v>
      </c>
      <c r="I1046" s="11" t="s">
        <v>34</v>
      </c>
      <c r="J1046" s="11" t="s">
        <v>246</v>
      </c>
      <c r="K1046" s="11">
        <v>27</v>
      </c>
      <c r="L1046" s="12">
        <v>80</v>
      </c>
      <c r="M1046" s="13">
        <v>2160</v>
      </c>
      <c r="N1046" s="11" t="s">
        <v>367</v>
      </c>
      <c r="O1046" s="11" t="s">
        <v>19</v>
      </c>
      <c r="Q1046"/>
    </row>
    <row r="1047" spans="1:17" ht="15.6" x14ac:dyDescent="0.3">
      <c r="A1047" s="15">
        <v>10212</v>
      </c>
      <c r="B1047" s="14">
        <v>38002</v>
      </c>
      <c r="C1047" s="14" t="s">
        <v>279</v>
      </c>
      <c r="D1047" s="15" t="s">
        <v>41</v>
      </c>
      <c r="E1047" s="15" t="s">
        <v>42</v>
      </c>
      <c r="F1047" s="15" t="s">
        <v>43</v>
      </c>
      <c r="G1047" s="15" t="s">
        <v>25</v>
      </c>
      <c r="H1047" s="15" t="s">
        <v>32</v>
      </c>
      <c r="I1047" s="15" t="s">
        <v>44</v>
      </c>
      <c r="J1047" s="15" t="s">
        <v>252</v>
      </c>
      <c r="K1047" s="15">
        <v>46</v>
      </c>
      <c r="L1047" s="16">
        <v>55</v>
      </c>
      <c r="M1047" s="17">
        <v>2530</v>
      </c>
      <c r="N1047" s="15" t="s">
        <v>367</v>
      </c>
      <c r="O1047" s="15" t="s">
        <v>19</v>
      </c>
      <c r="Q1047"/>
    </row>
    <row r="1048" spans="1:17" ht="15.6" x14ac:dyDescent="0.3">
      <c r="A1048" s="11">
        <v>10212</v>
      </c>
      <c r="B1048" s="10">
        <v>38002</v>
      </c>
      <c r="C1048" s="10" t="s">
        <v>279</v>
      </c>
      <c r="D1048" s="11" t="s">
        <v>41</v>
      </c>
      <c r="E1048" s="11" t="s">
        <v>42</v>
      </c>
      <c r="F1048" s="11" t="s">
        <v>43</v>
      </c>
      <c r="G1048" s="11" t="s">
        <v>25</v>
      </c>
      <c r="H1048" s="11" t="s">
        <v>32</v>
      </c>
      <c r="I1048" s="11" t="s">
        <v>34</v>
      </c>
      <c r="J1048" s="11" t="s">
        <v>246</v>
      </c>
      <c r="K1048" s="11">
        <v>49</v>
      </c>
      <c r="L1048" s="12">
        <v>80</v>
      </c>
      <c r="M1048" s="13">
        <v>3920</v>
      </c>
      <c r="N1048" s="11" t="s">
        <v>367</v>
      </c>
      <c r="O1048" s="11" t="s">
        <v>19</v>
      </c>
      <c r="Q1048"/>
    </row>
    <row r="1049" spans="1:17" ht="15.6" x14ac:dyDescent="0.3">
      <c r="A1049" s="15">
        <v>10213</v>
      </c>
      <c r="B1049" s="14">
        <v>38008</v>
      </c>
      <c r="C1049" s="14" t="s">
        <v>334</v>
      </c>
      <c r="D1049" s="15" t="s">
        <v>180</v>
      </c>
      <c r="E1049" s="15" t="s">
        <v>121</v>
      </c>
      <c r="F1049" s="15" t="s">
        <v>81</v>
      </c>
      <c r="G1049" s="15" t="s">
        <v>25</v>
      </c>
      <c r="H1049" s="15" t="s">
        <v>17</v>
      </c>
      <c r="I1049" s="15" t="s">
        <v>82</v>
      </c>
      <c r="J1049" s="15" t="s">
        <v>270</v>
      </c>
      <c r="K1049" s="15">
        <v>38</v>
      </c>
      <c r="L1049" s="16">
        <v>75</v>
      </c>
      <c r="M1049" s="17">
        <v>2850</v>
      </c>
      <c r="N1049" s="15" t="s">
        <v>367</v>
      </c>
      <c r="O1049" s="15" t="s">
        <v>19</v>
      </c>
      <c r="Q1049"/>
    </row>
    <row r="1050" spans="1:17" ht="15.6" x14ac:dyDescent="0.3">
      <c r="A1050" s="11">
        <v>10213</v>
      </c>
      <c r="B1050" s="10">
        <v>38008</v>
      </c>
      <c r="C1050" s="10" t="s">
        <v>334</v>
      </c>
      <c r="D1050" s="11" t="s">
        <v>180</v>
      </c>
      <c r="E1050" s="11" t="s">
        <v>121</v>
      </c>
      <c r="F1050" s="11" t="s">
        <v>81</v>
      </c>
      <c r="G1050" s="11" t="s">
        <v>25</v>
      </c>
      <c r="H1050" s="11" t="s">
        <v>32</v>
      </c>
      <c r="I1050" s="11" t="s">
        <v>44</v>
      </c>
      <c r="J1050" s="11" t="s">
        <v>252</v>
      </c>
      <c r="K1050" s="11">
        <v>25</v>
      </c>
      <c r="L1050" s="12">
        <v>55</v>
      </c>
      <c r="M1050" s="13">
        <v>1375</v>
      </c>
      <c r="N1050" s="11" t="s">
        <v>367</v>
      </c>
      <c r="O1050" s="11" t="s">
        <v>19</v>
      </c>
      <c r="Q1050"/>
    </row>
    <row r="1051" spans="1:17" ht="15.6" x14ac:dyDescent="0.3">
      <c r="A1051" s="15">
        <v>10213</v>
      </c>
      <c r="B1051" s="14">
        <v>38008</v>
      </c>
      <c r="C1051" s="14" t="s">
        <v>334</v>
      </c>
      <c r="D1051" s="15" t="s">
        <v>180</v>
      </c>
      <c r="E1051" s="15" t="s">
        <v>121</v>
      </c>
      <c r="F1051" s="15" t="s">
        <v>81</v>
      </c>
      <c r="G1051" s="15" t="s">
        <v>25</v>
      </c>
      <c r="H1051" s="15" t="s">
        <v>32</v>
      </c>
      <c r="I1051" s="15" t="s">
        <v>34</v>
      </c>
      <c r="J1051" s="15" t="s">
        <v>246</v>
      </c>
      <c r="K1051" s="15">
        <v>27</v>
      </c>
      <c r="L1051" s="16">
        <v>80</v>
      </c>
      <c r="M1051" s="17">
        <v>2160</v>
      </c>
      <c r="N1051" s="15" t="s">
        <v>367</v>
      </c>
      <c r="O1051" s="15" t="s">
        <v>19</v>
      </c>
      <c r="Q1051"/>
    </row>
    <row r="1052" spans="1:17" ht="15.6" x14ac:dyDescent="0.3">
      <c r="A1052" s="11">
        <v>10214</v>
      </c>
      <c r="B1052" s="10">
        <v>38012</v>
      </c>
      <c r="C1052" s="10" t="s">
        <v>300</v>
      </c>
      <c r="D1052" s="11" t="s">
        <v>117</v>
      </c>
      <c r="E1052" s="11" t="s">
        <v>42</v>
      </c>
      <c r="F1052" s="11" t="s">
        <v>43</v>
      </c>
      <c r="G1052" s="11" t="s">
        <v>25</v>
      </c>
      <c r="H1052" s="11" t="s">
        <v>17</v>
      </c>
      <c r="I1052" s="11" t="s">
        <v>20</v>
      </c>
      <c r="J1052" s="11" t="s">
        <v>242</v>
      </c>
      <c r="K1052" s="11">
        <v>30</v>
      </c>
      <c r="L1052" s="12">
        <v>48</v>
      </c>
      <c r="M1052" s="13">
        <v>1440</v>
      </c>
      <c r="N1052" s="11" t="s">
        <v>367</v>
      </c>
      <c r="O1052" s="11" t="s">
        <v>19</v>
      </c>
      <c r="Q1052"/>
    </row>
    <row r="1053" spans="1:17" ht="15.6" x14ac:dyDescent="0.3">
      <c r="A1053" s="15">
        <v>10214</v>
      </c>
      <c r="B1053" s="14">
        <v>38012</v>
      </c>
      <c r="C1053" s="14" t="s">
        <v>300</v>
      </c>
      <c r="D1053" s="15" t="s">
        <v>117</v>
      </c>
      <c r="E1053" s="15" t="s">
        <v>42</v>
      </c>
      <c r="F1053" s="15" t="s">
        <v>43</v>
      </c>
      <c r="G1053" s="15" t="s">
        <v>25</v>
      </c>
      <c r="H1053" s="15" t="s">
        <v>17</v>
      </c>
      <c r="I1053" s="15" t="s">
        <v>20</v>
      </c>
      <c r="J1053" s="15" t="s">
        <v>242</v>
      </c>
      <c r="K1053" s="15">
        <v>21</v>
      </c>
      <c r="L1053" s="16">
        <v>48</v>
      </c>
      <c r="M1053" s="17">
        <v>1008</v>
      </c>
      <c r="N1053" s="15" t="s">
        <v>367</v>
      </c>
      <c r="O1053" s="15" t="s">
        <v>19</v>
      </c>
      <c r="Q1053"/>
    </row>
    <row r="1054" spans="1:17" ht="15.6" x14ac:dyDescent="0.3">
      <c r="A1054" s="11">
        <v>10214</v>
      </c>
      <c r="B1054" s="10">
        <v>38012</v>
      </c>
      <c r="C1054" s="10" t="s">
        <v>300</v>
      </c>
      <c r="D1054" s="11" t="s">
        <v>117</v>
      </c>
      <c r="E1054" s="11" t="s">
        <v>42</v>
      </c>
      <c r="F1054" s="11" t="s">
        <v>43</v>
      </c>
      <c r="G1054" s="11" t="s">
        <v>25</v>
      </c>
      <c r="H1054" s="11" t="s">
        <v>17</v>
      </c>
      <c r="I1054" s="11" t="s">
        <v>21</v>
      </c>
      <c r="J1054" s="11" t="s">
        <v>243</v>
      </c>
      <c r="K1054" s="11">
        <v>27</v>
      </c>
      <c r="L1054" s="12">
        <v>110</v>
      </c>
      <c r="M1054" s="13">
        <v>2970</v>
      </c>
      <c r="N1054" s="11" t="s">
        <v>367</v>
      </c>
      <c r="O1054" s="11" t="s">
        <v>19</v>
      </c>
      <c r="Q1054"/>
    </row>
    <row r="1055" spans="1:17" ht="15.6" x14ac:dyDescent="0.3">
      <c r="A1055" s="15">
        <v>10214</v>
      </c>
      <c r="B1055" s="14">
        <v>38012</v>
      </c>
      <c r="C1055" s="14" t="s">
        <v>300</v>
      </c>
      <c r="D1055" s="15" t="s">
        <v>117</v>
      </c>
      <c r="E1055" s="15" t="s">
        <v>42</v>
      </c>
      <c r="F1055" s="15" t="s">
        <v>43</v>
      </c>
      <c r="G1055" s="15" t="s">
        <v>25</v>
      </c>
      <c r="H1055" s="15" t="s">
        <v>17</v>
      </c>
      <c r="I1055" s="15" t="s">
        <v>21</v>
      </c>
      <c r="J1055" s="15" t="s">
        <v>243</v>
      </c>
      <c r="K1055" s="15">
        <v>50</v>
      </c>
      <c r="L1055" s="16">
        <v>110</v>
      </c>
      <c r="M1055" s="17">
        <v>5500</v>
      </c>
      <c r="N1055" s="15" t="s">
        <v>368</v>
      </c>
      <c r="O1055" s="15" t="s">
        <v>19</v>
      </c>
      <c r="Q1055"/>
    </row>
    <row r="1056" spans="1:17" ht="15.6" x14ac:dyDescent="0.3">
      <c r="A1056" s="11">
        <v>10214</v>
      </c>
      <c r="B1056" s="10">
        <v>38012</v>
      </c>
      <c r="C1056" s="10" t="s">
        <v>300</v>
      </c>
      <c r="D1056" s="11" t="s">
        <v>117</v>
      </c>
      <c r="E1056" s="11" t="s">
        <v>42</v>
      </c>
      <c r="F1056" s="11" t="s">
        <v>43</v>
      </c>
      <c r="G1056" s="11" t="s">
        <v>25</v>
      </c>
      <c r="H1056" s="11" t="s">
        <v>17</v>
      </c>
      <c r="I1056" s="11" t="s">
        <v>26</v>
      </c>
      <c r="J1056" s="11" t="s">
        <v>244</v>
      </c>
      <c r="K1056" s="11">
        <v>20</v>
      </c>
      <c r="L1056" s="12">
        <v>60</v>
      </c>
      <c r="M1056" s="13">
        <v>1200</v>
      </c>
      <c r="N1056" s="11" t="s">
        <v>367</v>
      </c>
      <c r="O1056" s="11" t="s">
        <v>19</v>
      </c>
      <c r="Q1056"/>
    </row>
    <row r="1057" spans="1:17" ht="15.6" x14ac:dyDescent="0.3">
      <c r="A1057" s="15">
        <v>10214</v>
      </c>
      <c r="B1057" s="14">
        <v>38012</v>
      </c>
      <c r="C1057" s="14" t="s">
        <v>300</v>
      </c>
      <c r="D1057" s="15" t="s">
        <v>117</v>
      </c>
      <c r="E1057" s="15" t="s">
        <v>42</v>
      </c>
      <c r="F1057" s="15" t="s">
        <v>43</v>
      </c>
      <c r="G1057" s="15" t="s">
        <v>25</v>
      </c>
      <c r="H1057" s="15" t="s">
        <v>17</v>
      </c>
      <c r="I1057" s="15" t="s">
        <v>20</v>
      </c>
      <c r="J1057" s="15" t="s">
        <v>242</v>
      </c>
      <c r="K1057" s="15">
        <v>49</v>
      </c>
      <c r="L1057" s="16">
        <v>48</v>
      </c>
      <c r="M1057" s="17">
        <v>2352</v>
      </c>
      <c r="N1057" s="15" t="s">
        <v>367</v>
      </c>
      <c r="O1057" s="15" t="s">
        <v>19</v>
      </c>
      <c r="Q1057"/>
    </row>
    <row r="1058" spans="1:17" ht="15.6" x14ac:dyDescent="0.3">
      <c r="A1058" s="11">
        <v>10214</v>
      </c>
      <c r="B1058" s="10">
        <v>38012</v>
      </c>
      <c r="C1058" s="10" t="s">
        <v>300</v>
      </c>
      <c r="D1058" s="11" t="s">
        <v>117</v>
      </c>
      <c r="E1058" s="11" t="s">
        <v>42</v>
      </c>
      <c r="F1058" s="11" t="s">
        <v>43</v>
      </c>
      <c r="G1058" s="11" t="s">
        <v>25</v>
      </c>
      <c r="H1058" s="11" t="s">
        <v>17</v>
      </c>
      <c r="I1058" s="11" t="s">
        <v>20</v>
      </c>
      <c r="J1058" s="11" t="s">
        <v>242</v>
      </c>
      <c r="K1058" s="11">
        <v>44</v>
      </c>
      <c r="L1058" s="12">
        <v>48</v>
      </c>
      <c r="M1058" s="13">
        <v>2112</v>
      </c>
      <c r="N1058" s="11" t="s">
        <v>367</v>
      </c>
      <c r="O1058" s="11" t="s">
        <v>19</v>
      </c>
      <c r="Q1058"/>
    </row>
    <row r="1059" spans="1:17" ht="15.6" x14ac:dyDescent="0.3">
      <c r="A1059" s="15">
        <v>10215</v>
      </c>
      <c r="B1059" s="14">
        <v>38015</v>
      </c>
      <c r="C1059" s="14" t="s">
        <v>341</v>
      </c>
      <c r="D1059" s="15" t="s">
        <v>193</v>
      </c>
      <c r="E1059" s="15" t="s">
        <v>194</v>
      </c>
      <c r="F1059" s="15" t="s">
        <v>15</v>
      </c>
      <c r="G1059" s="15" t="s">
        <v>16</v>
      </c>
      <c r="H1059" s="15" t="s">
        <v>32</v>
      </c>
      <c r="I1059" s="15" t="s">
        <v>33</v>
      </c>
      <c r="J1059" s="15" t="s">
        <v>245</v>
      </c>
      <c r="K1059" s="15">
        <v>35</v>
      </c>
      <c r="L1059" s="16">
        <v>85</v>
      </c>
      <c r="M1059" s="17">
        <v>2975</v>
      </c>
      <c r="N1059" s="15" t="s">
        <v>367</v>
      </c>
      <c r="O1059" s="15" t="s">
        <v>19</v>
      </c>
      <c r="Q1059"/>
    </row>
    <row r="1060" spans="1:17" ht="15.6" x14ac:dyDescent="0.3">
      <c r="A1060" s="11">
        <v>10215</v>
      </c>
      <c r="B1060" s="10">
        <v>38015</v>
      </c>
      <c r="C1060" s="10" t="s">
        <v>341</v>
      </c>
      <c r="D1060" s="11" t="s">
        <v>193</v>
      </c>
      <c r="E1060" s="11" t="s">
        <v>194</v>
      </c>
      <c r="F1060" s="11" t="s">
        <v>15</v>
      </c>
      <c r="G1060" s="11" t="s">
        <v>16</v>
      </c>
      <c r="H1060" s="11" t="s">
        <v>35</v>
      </c>
      <c r="I1060" s="11" t="s">
        <v>36</v>
      </c>
      <c r="J1060" s="11" t="s">
        <v>247</v>
      </c>
      <c r="K1060" s="11">
        <v>46</v>
      </c>
      <c r="L1060" s="12">
        <v>30</v>
      </c>
      <c r="M1060" s="13">
        <v>1380</v>
      </c>
      <c r="N1060" s="11" t="s">
        <v>367</v>
      </c>
      <c r="O1060" s="11" t="s">
        <v>19</v>
      </c>
      <c r="Q1060"/>
    </row>
    <row r="1061" spans="1:17" ht="15.6" x14ac:dyDescent="0.3">
      <c r="A1061" s="15">
        <v>10215</v>
      </c>
      <c r="B1061" s="14">
        <v>38015</v>
      </c>
      <c r="C1061" s="14" t="s">
        <v>341</v>
      </c>
      <c r="D1061" s="15" t="s">
        <v>193</v>
      </c>
      <c r="E1061" s="15" t="s">
        <v>194</v>
      </c>
      <c r="F1061" s="15" t="s">
        <v>15</v>
      </c>
      <c r="G1061" s="15" t="s">
        <v>16</v>
      </c>
      <c r="H1061" s="15" t="s">
        <v>17</v>
      </c>
      <c r="I1061" s="15" t="s">
        <v>20</v>
      </c>
      <c r="J1061" s="15" t="s">
        <v>242</v>
      </c>
      <c r="K1061" s="15">
        <v>27</v>
      </c>
      <c r="L1061" s="16">
        <v>48</v>
      </c>
      <c r="M1061" s="17">
        <v>1296</v>
      </c>
      <c r="N1061" s="15" t="s">
        <v>367</v>
      </c>
      <c r="O1061" s="15" t="s">
        <v>19</v>
      </c>
      <c r="Q1061"/>
    </row>
    <row r="1062" spans="1:17" ht="15.6" x14ac:dyDescent="0.3">
      <c r="A1062" s="11">
        <v>10215</v>
      </c>
      <c r="B1062" s="10">
        <v>38015</v>
      </c>
      <c r="C1062" s="10" t="s">
        <v>341</v>
      </c>
      <c r="D1062" s="11" t="s">
        <v>193</v>
      </c>
      <c r="E1062" s="11" t="s">
        <v>194</v>
      </c>
      <c r="F1062" s="11" t="s">
        <v>15</v>
      </c>
      <c r="G1062" s="11" t="s">
        <v>16</v>
      </c>
      <c r="H1062" s="11" t="s">
        <v>17</v>
      </c>
      <c r="I1062" s="11" t="s">
        <v>21</v>
      </c>
      <c r="J1062" s="11" t="s">
        <v>243</v>
      </c>
      <c r="K1062" s="11">
        <v>33</v>
      </c>
      <c r="L1062" s="12">
        <v>110</v>
      </c>
      <c r="M1062" s="13">
        <v>3630</v>
      </c>
      <c r="N1062" s="11" t="s">
        <v>367</v>
      </c>
      <c r="O1062" s="11" t="s">
        <v>19</v>
      </c>
      <c r="Q1062"/>
    </row>
    <row r="1063" spans="1:17" ht="15.6" x14ac:dyDescent="0.3">
      <c r="A1063" s="15">
        <v>10215</v>
      </c>
      <c r="B1063" s="14">
        <v>38015</v>
      </c>
      <c r="C1063" s="14" t="s">
        <v>341</v>
      </c>
      <c r="D1063" s="15" t="s">
        <v>193</v>
      </c>
      <c r="E1063" s="15" t="s">
        <v>194</v>
      </c>
      <c r="F1063" s="15" t="s">
        <v>15</v>
      </c>
      <c r="G1063" s="15" t="s">
        <v>16</v>
      </c>
      <c r="H1063" s="15" t="s">
        <v>17</v>
      </c>
      <c r="I1063" s="15" t="s">
        <v>20</v>
      </c>
      <c r="J1063" s="15" t="s">
        <v>242</v>
      </c>
      <c r="K1063" s="15">
        <v>49</v>
      </c>
      <c r="L1063" s="16">
        <v>48</v>
      </c>
      <c r="M1063" s="17">
        <v>2352</v>
      </c>
      <c r="N1063" s="15" t="s">
        <v>367</v>
      </c>
      <c r="O1063" s="15" t="s">
        <v>19</v>
      </c>
      <c r="Q1063"/>
    </row>
    <row r="1064" spans="1:17" ht="15.6" x14ac:dyDescent="0.3">
      <c r="A1064" s="11">
        <v>10215</v>
      </c>
      <c r="B1064" s="10">
        <v>38015</v>
      </c>
      <c r="C1064" s="10" t="s">
        <v>341</v>
      </c>
      <c r="D1064" s="11" t="s">
        <v>193</v>
      </c>
      <c r="E1064" s="11" t="s">
        <v>194</v>
      </c>
      <c r="F1064" s="11" t="s">
        <v>15</v>
      </c>
      <c r="G1064" s="11" t="s">
        <v>16</v>
      </c>
      <c r="H1064" s="11" t="s">
        <v>17</v>
      </c>
      <c r="I1064" s="11" t="s">
        <v>20</v>
      </c>
      <c r="J1064" s="11" t="s">
        <v>242</v>
      </c>
      <c r="K1064" s="11">
        <v>31</v>
      </c>
      <c r="L1064" s="12">
        <v>48</v>
      </c>
      <c r="M1064" s="13">
        <v>1488</v>
      </c>
      <c r="N1064" s="11" t="s">
        <v>367</v>
      </c>
      <c r="O1064" s="11" t="s">
        <v>19</v>
      </c>
      <c r="Q1064"/>
    </row>
    <row r="1065" spans="1:17" ht="15.6" x14ac:dyDescent="0.3">
      <c r="A1065" s="15">
        <v>10215</v>
      </c>
      <c r="B1065" s="14">
        <v>38015</v>
      </c>
      <c r="C1065" s="14" t="s">
        <v>341</v>
      </c>
      <c r="D1065" s="15" t="s">
        <v>193</v>
      </c>
      <c r="E1065" s="15" t="s">
        <v>194</v>
      </c>
      <c r="F1065" s="15" t="s">
        <v>15</v>
      </c>
      <c r="G1065" s="15" t="s">
        <v>16</v>
      </c>
      <c r="H1065" s="15" t="s">
        <v>17</v>
      </c>
      <c r="I1065" s="15" t="s">
        <v>21</v>
      </c>
      <c r="J1065" s="15" t="s">
        <v>243</v>
      </c>
      <c r="K1065" s="15">
        <v>49</v>
      </c>
      <c r="L1065" s="16">
        <v>110</v>
      </c>
      <c r="M1065" s="17">
        <v>5390</v>
      </c>
      <c r="N1065" s="15" t="s">
        <v>367</v>
      </c>
      <c r="O1065" s="15" t="s">
        <v>19</v>
      </c>
      <c r="Q1065"/>
    </row>
    <row r="1066" spans="1:17" ht="15.6" x14ac:dyDescent="0.3">
      <c r="A1066" s="11">
        <v>10215</v>
      </c>
      <c r="B1066" s="10">
        <v>38015</v>
      </c>
      <c r="C1066" s="10" t="s">
        <v>341</v>
      </c>
      <c r="D1066" s="11" t="s">
        <v>193</v>
      </c>
      <c r="E1066" s="11" t="s">
        <v>194</v>
      </c>
      <c r="F1066" s="11" t="s">
        <v>15</v>
      </c>
      <c r="G1066" s="11" t="s">
        <v>16</v>
      </c>
      <c r="H1066" s="11" t="s">
        <v>17</v>
      </c>
      <c r="I1066" s="11" t="s">
        <v>20</v>
      </c>
      <c r="J1066" s="11" t="s">
        <v>242</v>
      </c>
      <c r="K1066" s="11">
        <v>41</v>
      </c>
      <c r="L1066" s="12">
        <v>48</v>
      </c>
      <c r="M1066" s="13">
        <v>1968</v>
      </c>
      <c r="N1066" s="11" t="s">
        <v>367</v>
      </c>
      <c r="O1066" s="11" t="s">
        <v>19</v>
      </c>
      <c r="Q1066"/>
    </row>
    <row r="1067" spans="1:17" ht="15.6" x14ac:dyDescent="0.3">
      <c r="A1067" s="15">
        <v>10215</v>
      </c>
      <c r="B1067" s="14">
        <v>38015</v>
      </c>
      <c r="C1067" s="14" t="s">
        <v>341</v>
      </c>
      <c r="D1067" s="15" t="s">
        <v>193</v>
      </c>
      <c r="E1067" s="15" t="s">
        <v>194</v>
      </c>
      <c r="F1067" s="15" t="s">
        <v>15</v>
      </c>
      <c r="G1067" s="15" t="s">
        <v>16</v>
      </c>
      <c r="H1067" s="15" t="s">
        <v>17</v>
      </c>
      <c r="I1067" s="15" t="s">
        <v>20</v>
      </c>
      <c r="J1067" s="15" t="s">
        <v>242</v>
      </c>
      <c r="K1067" s="15">
        <v>46</v>
      </c>
      <c r="L1067" s="16">
        <v>48</v>
      </c>
      <c r="M1067" s="17">
        <v>2208</v>
      </c>
      <c r="N1067" s="15" t="s">
        <v>367</v>
      </c>
      <c r="O1067" s="15" t="s">
        <v>19</v>
      </c>
      <c r="Q1067"/>
    </row>
    <row r="1068" spans="1:17" ht="15.6" x14ac:dyDescent="0.3">
      <c r="A1068" s="11">
        <v>10215</v>
      </c>
      <c r="B1068" s="10">
        <v>38015</v>
      </c>
      <c r="C1068" s="10" t="s">
        <v>341</v>
      </c>
      <c r="D1068" s="11" t="s">
        <v>193</v>
      </c>
      <c r="E1068" s="11" t="s">
        <v>194</v>
      </c>
      <c r="F1068" s="11" t="s">
        <v>15</v>
      </c>
      <c r="G1068" s="11" t="s">
        <v>16</v>
      </c>
      <c r="H1068" s="11" t="s">
        <v>17</v>
      </c>
      <c r="I1068" s="11" t="s">
        <v>52</v>
      </c>
      <c r="J1068" s="11" t="s">
        <v>256</v>
      </c>
      <c r="K1068" s="11">
        <v>39</v>
      </c>
      <c r="L1068" s="12">
        <v>45</v>
      </c>
      <c r="M1068" s="13">
        <v>1755</v>
      </c>
      <c r="N1068" s="11" t="s">
        <v>367</v>
      </c>
      <c r="O1068" s="11" t="s">
        <v>19</v>
      </c>
      <c r="Q1068"/>
    </row>
    <row r="1069" spans="1:17" ht="15.6" x14ac:dyDescent="0.3">
      <c r="A1069" s="15">
        <v>10216</v>
      </c>
      <c r="B1069" s="14">
        <v>38019</v>
      </c>
      <c r="C1069" s="14" t="s">
        <v>346</v>
      </c>
      <c r="D1069" s="15" t="s">
        <v>202</v>
      </c>
      <c r="E1069" s="15" t="s">
        <v>203</v>
      </c>
      <c r="F1069" s="15" t="s">
        <v>92</v>
      </c>
      <c r="G1069" s="15" t="s">
        <v>25</v>
      </c>
      <c r="H1069" s="15" t="s">
        <v>35</v>
      </c>
      <c r="I1069" s="15" t="s">
        <v>37</v>
      </c>
      <c r="J1069" s="15" t="s">
        <v>248</v>
      </c>
      <c r="K1069" s="15">
        <v>43</v>
      </c>
      <c r="L1069" s="16">
        <v>30</v>
      </c>
      <c r="M1069" s="17">
        <v>1290</v>
      </c>
      <c r="N1069" s="15" t="s">
        <v>367</v>
      </c>
      <c r="O1069" s="15" t="s">
        <v>19</v>
      </c>
      <c r="Q1069"/>
    </row>
    <row r="1070" spans="1:17" ht="15.6" x14ac:dyDescent="0.3">
      <c r="A1070" s="11">
        <v>10217</v>
      </c>
      <c r="B1070" s="10">
        <v>38021</v>
      </c>
      <c r="C1070" s="10" t="s">
        <v>347</v>
      </c>
      <c r="D1070" s="11" t="s">
        <v>204</v>
      </c>
      <c r="E1070" s="11" t="s">
        <v>98</v>
      </c>
      <c r="F1070" s="11" t="s">
        <v>98</v>
      </c>
      <c r="G1070" s="11" t="s">
        <v>107</v>
      </c>
      <c r="H1070" s="11" t="s">
        <v>32</v>
      </c>
      <c r="I1070" s="11" t="s">
        <v>33</v>
      </c>
      <c r="J1070" s="11" t="s">
        <v>245</v>
      </c>
      <c r="K1070" s="11">
        <v>48</v>
      </c>
      <c r="L1070" s="12">
        <v>85</v>
      </c>
      <c r="M1070" s="13">
        <v>4080</v>
      </c>
      <c r="N1070" s="11" t="s">
        <v>367</v>
      </c>
      <c r="O1070" s="11" t="s">
        <v>19</v>
      </c>
      <c r="Q1070"/>
    </row>
    <row r="1071" spans="1:17" ht="15.6" x14ac:dyDescent="0.3">
      <c r="A1071" s="15">
        <v>10217</v>
      </c>
      <c r="B1071" s="14">
        <v>38021</v>
      </c>
      <c r="C1071" s="14" t="s">
        <v>347</v>
      </c>
      <c r="D1071" s="15" t="s">
        <v>204</v>
      </c>
      <c r="E1071" s="15" t="s">
        <v>98</v>
      </c>
      <c r="F1071" s="15" t="s">
        <v>98</v>
      </c>
      <c r="G1071" s="15" t="s">
        <v>107</v>
      </c>
      <c r="H1071" s="15" t="s">
        <v>35</v>
      </c>
      <c r="I1071" s="15" t="s">
        <v>38</v>
      </c>
      <c r="J1071" s="15" t="s">
        <v>249</v>
      </c>
      <c r="K1071" s="15">
        <v>35</v>
      </c>
      <c r="L1071" s="16">
        <v>20</v>
      </c>
      <c r="M1071" s="17">
        <v>700</v>
      </c>
      <c r="N1071" s="15" t="s">
        <v>367</v>
      </c>
      <c r="O1071" s="15" t="s">
        <v>19</v>
      </c>
      <c r="Q1071"/>
    </row>
    <row r="1072" spans="1:17" ht="15.6" x14ac:dyDescent="0.3">
      <c r="A1072" s="11">
        <v>10217</v>
      </c>
      <c r="B1072" s="10">
        <v>38021</v>
      </c>
      <c r="C1072" s="10" t="s">
        <v>347</v>
      </c>
      <c r="D1072" s="11" t="s">
        <v>204</v>
      </c>
      <c r="E1072" s="11" t="s">
        <v>98</v>
      </c>
      <c r="F1072" s="11" t="s">
        <v>98</v>
      </c>
      <c r="G1072" s="11" t="s">
        <v>107</v>
      </c>
      <c r="H1072" s="11" t="s">
        <v>35</v>
      </c>
      <c r="I1072" s="11" t="s">
        <v>39</v>
      </c>
      <c r="J1072" s="11" t="s">
        <v>250</v>
      </c>
      <c r="K1072" s="11">
        <v>38</v>
      </c>
      <c r="L1072" s="12">
        <v>20</v>
      </c>
      <c r="M1072" s="13">
        <v>760</v>
      </c>
      <c r="N1072" s="11" t="s">
        <v>367</v>
      </c>
      <c r="O1072" s="11" t="s">
        <v>19</v>
      </c>
      <c r="Q1072"/>
    </row>
    <row r="1073" spans="1:17" ht="15.6" x14ac:dyDescent="0.3">
      <c r="A1073" s="15">
        <v>10217</v>
      </c>
      <c r="B1073" s="14">
        <v>38021</v>
      </c>
      <c r="C1073" s="14" t="s">
        <v>347</v>
      </c>
      <c r="D1073" s="15" t="s">
        <v>204</v>
      </c>
      <c r="E1073" s="15" t="s">
        <v>98</v>
      </c>
      <c r="F1073" s="15" t="s">
        <v>98</v>
      </c>
      <c r="G1073" s="15" t="s">
        <v>107</v>
      </c>
      <c r="H1073" s="15" t="s">
        <v>35</v>
      </c>
      <c r="I1073" s="15" t="s">
        <v>40</v>
      </c>
      <c r="J1073" s="15" t="s">
        <v>251</v>
      </c>
      <c r="K1073" s="15">
        <v>28</v>
      </c>
      <c r="L1073" s="16">
        <v>25</v>
      </c>
      <c r="M1073" s="17">
        <v>700</v>
      </c>
      <c r="N1073" s="15" t="s">
        <v>367</v>
      </c>
      <c r="O1073" s="15" t="s">
        <v>19</v>
      </c>
      <c r="Q1073"/>
    </row>
    <row r="1074" spans="1:17" ht="15.6" x14ac:dyDescent="0.3">
      <c r="A1074" s="11">
        <v>10217</v>
      </c>
      <c r="B1074" s="10">
        <v>38021</v>
      </c>
      <c r="C1074" s="10" t="s">
        <v>347</v>
      </c>
      <c r="D1074" s="11" t="s">
        <v>204</v>
      </c>
      <c r="E1074" s="11" t="s">
        <v>98</v>
      </c>
      <c r="F1074" s="11" t="s">
        <v>98</v>
      </c>
      <c r="G1074" s="11" t="s">
        <v>107</v>
      </c>
      <c r="H1074" s="11" t="s">
        <v>35</v>
      </c>
      <c r="I1074" s="11" t="s">
        <v>37</v>
      </c>
      <c r="J1074" s="11" t="s">
        <v>248</v>
      </c>
      <c r="K1074" s="11">
        <v>21</v>
      </c>
      <c r="L1074" s="12">
        <v>30</v>
      </c>
      <c r="M1074" s="13">
        <v>630</v>
      </c>
      <c r="N1074" s="11" t="s">
        <v>367</v>
      </c>
      <c r="O1074" s="11" t="s">
        <v>19</v>
      </c>
      <c r="Q1074"/>
    </row>
    <row r="1075" spans="1:17" ht="15.6" x14ac:dyDescent="0.3">
      <c r="A1075" s="15">
        <v>10217</v>
      </c>
      <c r="B1075" s="14">
        <v>38021</v>
      </c>
      <c r="C1075" s="14" t="s">
        <v>347</v>
      </c>
      <c r="D1075" s="15" t="s">
        <v>204</v>
      </c>
      <c r="E1075" s="15" t="s">
        <v>98</v>
      </c>
      <c r="F1075" s="15" t="s">
        <v>98</v>
      </c>
      <c r="G1075" s="15" t="s">
        <v>107</v>
      </c>
      <c r="H1075" s="15" t="s">
        <v>35</v>
      </c>
      <c r="I1075" s="15" t="s">
        <v>39</v>
      </c>
      <c r="J1075" s="15" t="s">
        <v>250</v>
      </c>
      <c r="K1075" s="15">
        <v>39</v>
      </c>
      <c r="L1075" s="16">
        <v>20</v>
      </c>
      <c r="M1075" s="17">
        <v>780</v>
      </c>
      <c r="N1075" s="15" t="s">
        <v>367</v>
      </c>
      <c r="O1075" s="15" t="s">
        <v>19</v>
      </c>
      <c r="Q1075"/>
    </row>
    <row r="1076" spans="1:17" ht="15.6" x14ac:dyDescent="0.3">
      <c r="A1076" s="11">
        <v>10217</v>
      </c>
      <c r="B1076" s="10">
        <v>38021</v>
      </c>
      <c r="C1076" s="10" t="s">
        <v>347</v>
      </c>
      <c r="D1076" s="11" t="s">
        <v>204</v>
      </c>
      <c r="E1076" s="11" t="s">
        <v>98</v>
      </c>
      <c r="F1076" s="11" t="s">
        <v>98</v>
      </c>
      <c r="G1076" s="11" t="s">
        <v>107</v>
      </c>
      <c r="H1076" s="11" t="s">
        <v>32</v>
      </c>
      <c r="I1076" s="11" t="s">
        <v>34</v>
      </c>
      <c r="J1076" s="11" t="s">
        <v>246</v>
      </c>
      <c r="K1076" s="11">
        <v>31</v>
      </c>
      <c r="L1076" s="12">
        <v>80</v>
      </c>
      <c r="M1076" s="13">
        <v>2480</v>
      </c>
      <c r="N1076" s="11" t="s">
        <v>367</v>
      </c>
      <c r="O1076" s="11" t="s">
        <v>19</v>
      </c>
      <c r="Q1076"/>
    </row>
    <row r="1077" spans="1:17" ht="15.6" x14ac:dyDescent="0.3">
      <c r="A1077" s="15">
        <v>10219</v>
      </c>
      <c r="B1077" s="14">
        <v>38027</v>
      </c>
      <c r="C1077" s="14" t="s">
        <v>314</v>
      </c>
      <c r="D1077" s="15" t="s">
        <v>143</v>
      </c>
      <c r="E1077" s="15" t="s">
        <v>144</v>
      </c>
      <c r="F1077" s="15" t="s">
        <v>15</v>
      </c>
      <c r="G1077" s="15" t="s">
        <v>16</v>
      </c>
      <c r="H1077" s="15" t="s">
        <v>35</v>
      </c>
      <c r="I1077" s="15" t="s">
        <v>39</v>
      </c>
      <c r="J1077" s="15" t="s">
        <v>250</v>
      </c>
      <c r="K1077" s="15">
        <v>48</v>
      </c>
      <c r="L1077" s="16">
        <v>20</v>
      </c>
      <c r="M1077" s="17">
        <v>960</v>
      </c>
      <c r="N1077" s="15" t="s">
        <v>367</v>
      </c>
      <c r="O1077" s="15" t="s">
        <v>19</v>
      </c>
      <c r="Q1077"/>
    </row>
    <row r="1078" spans="1:17" ht="15.6" x14ac:dyDescent="0.3">
      <c r="A1078" s="11">
        <v>10219</v>
      </c>
      <c r="B1078" s="10">
        <v>38027</v>
      </c>
      <c r="C1078" s="10" t="s">
        <v>314</v>
      </c>
      <c r="D1078" s="11" t="s">
        <v>143</v>
      </c>
      <c r="E1078" s="11" t="s">
        <v>144</v>
      </c>
      <c r="F1078" s="11" t="s">
        <v>15</v>
      </c>
      <c r="G1078" s="11" t="s">
        <v>16</v>
      </c>
      <c r="H1078" s="11" t="s">
        <v>32</v>
      </c>
      <c r="I1078" s="11" t="s">
        <v>33</v>
      </c>
      <c r="J1078" s="11" t="s">
        <v>245</v>
      </c>
      <c r="K1078" s="11">
        <v>43</v>
      </c>
      <c r="L1078" s="12">
        <v>85</v>
      </c>
      <c r="M1078" s="13">
        <v>3655</v>
      </c>
      <c r="N1078" s="11" t="s">
        <v>367</v>
      </c>
      <c r="O1078" s="11" t="s">
        <v>19</v>
      </c>
      <c r="Q1078"/>
    </row>
    <row r="1079" spans="1:17" ht="15.6" x14ac:dyDescent="0.3">
      <c r="A1079" s="15">
        <v>10219</v>
      </c>
      <c r="B1079" s="14">
        <v>38027</v>
      </c>
      <c r="C1079" s="14" t="s">
        <v>314</v>
      </c>
      <c r="D1079" s="15" t="s">
        <v>143</v>
      </c>
      <c r="E1079" s="15" t="s">
        <v>144</v>
      </c>
      <c r="F1079" s="15" t="s">
        <v>15</v>
      </c>
      <c r="G1079" s="15" t="s">
        <v>16</v>
      </c>
      <c r="H1079" s="15" t="s">
        <v>32</v>
      </c>
      <c r="I1079" s="15" t="s">
        <v>46</v>
      </c>
      <c r="J1079" s="15" t="s">
        <v>254</v>
      </c>
      <c r="K1079" s="15">
        <v>21</v>
      </c>
      <c r="L1079" s="16">
        <v>90</v>
      </c>
      <c r="M1079" s="17">
        <v>1890</v>
      </c>
      <c r="N1079" s="15" t="s">
        <v>367</v>
      </c>
      <c r="O1079" s="15" t="s">
        <v>19</v>
      </c>
      <c r="Q1079"/>
    </row>
    <row r="1080" spans="1:17" ht="15.6" x14ac:dyDescent="0.3">
      <c r="A1080" s="11">
        <v>10219</v>
      </c>
      <c r="B1080" s="10">
        <v>38027</v>
      </c>
      <c r="C1080" s="10" t="s">
        <v>314</v>
      </c>
      <c r="D1080" s="11" t="s">
        <v>143</v>
      </c>
      <c r="E1080" s="11" t="s">
        <v>144</v>
      </c>
      <c r="F1080" s="11" t="s">
        <v>15</v>
      </c>
      <c r="G1080" s="11" t="s">
        <v>16</v>
      </c>
      <c r="H1080" s="11" t="s">
        <v>35</v>
      </c>
      <c r="I1080" s="11" t="s">
        <v>39</v>
      </c>
      <c r="J1080" s="11" t="s">
        <v>250</v>
      </c>
      <c r="K1080" s="11">
        <v>35</v>
      </c>
      <c r="L1080" s="12">
        <v>20</v>
      </c>
      <c r="M1080" s="13">
        <v>700</v>
      </c>
      <c r="N1080" s="11" t="s">
        <v>367</v>
      </c>
      <c r="O1080" s="11" t="s">
        <v>19</v>
      </c>
      <c r="Q1080"/>
    </row>
    <row r="1081" spans="1:17" ht="15.6" x14ac:dyDescent="0.3">
      <c r="A1081" s="15">
        <v>10220</v>
      </c>
      <c r="B1081" s="14">
        <v>38029</v>
      </c>
      <c r="C1081" s="14" t="s">
        <v>348</v>
      </c>
      <c r="D1081" s="15" t="s">
        <v>205</v>
      </c>
      <c r="E1081" s="15" t="s">
        <v>206</v>
      </c>
      <c r="F1081" s="15" t="s">
        <v>207</v>
      </c>
      <c r="G1081" s="15" t="s">
        <v>25</v>
      </c>
      <c r="H1081" s="15" t="s">
        <v>32</v>
      </c>
      <c r="I1081" s="15" t="s">
        <v>34</v>
      </c>
      <c r="J1081" s="15" t="s">
        <v>246</v>
      </c>
      <c r="K1081" s="15">
        <v>32</v>
      </c>
      <c r="L1081" s="16">
        <v>80</v>
      </c>
      <c r="M1081" s="17">
        <v>2560</v>
      </c>
      <c r="N1081" s="15" t="s">
        <v>367</v>
      </c>
      <c r="O1081" s="15" t="s">
        <v>19</v>
      </c>
      <c r="Q1081"/>
    </row>
    <row r="1082" spans="1:17" ht="15.6" x14ac:dyDescent="0.3">
      <c r="A1082" s="11">
        <v>10220</v>
      </c>
      <c r="B1082" s="10">
        <v>38029</v>
      </c>
      <c r="C1082" s="10" t="s">
        <v>348</v>
      </c>
      <c r="D1082" s="11" t="s">
        <v>205</v>
      </c>
      <c r="E1082" s="11" t="s">
        <v>206</v>
      </c>
      <c r="F1082" s="11" t="s">
        <v>207</v>
      </c>
      <c r="G1082" s="11" t="s">
        <v>25</v>
      </c>
      <c r="H1082" s="11" t="s">
        <v>32</v>
      </c>
      <c r="I1082" s="11" t="s">
        <v>33</v>
      </c>
      <c r="J1082" s="11" t="s">
        <v>245</v>
      </c>
      <c r="K1082" s="11">
        <v>30</v>
      </c>
      <c r="L1082" s="12">
        <v>85</v>
      </c>
      <c r="M1082" s="13">
        <v>2550</v>
      </c>
      <c r="N1082" s="11" t="s">
        <v>367</v>
      </c>
      <c r="O1082" s="11" t="s">
        <v>19</v>
      </c>
      <c r="Q1082"/>
    </row>
    <row r="1083" spans="1:17" ht="15.6" x14ac:dyDescent="0.3">
      <c r="A1083" s="15">
        <v>10220</v>
      </c>
      <c r="B1083" s="14">
        <v>38029</v>
      </c>
      <c r="C1083" s="14" t="s">
        <v>348</v>
      </c>
      <c r="D1083" s="15" t="s">
        <v>205</v>
      </c>
      <c r="E1083" s="15" t="s">
        <v>206</v>
      </c>
      <c r="F1083" s="15" t="s">
        <v>207</v>
      </c>
      <c r="G1083" s="15" t="s">
        <v>25</v>
      </c>
      <c r="H1083" s="15" t="s">
        <v>32</v>
      </c>
      <c r="I1083" s="15" t="s">
        <v>44</v>
      </c>
      <c r="J1083" s="15" t="s">
        <v>252</v>
      </c>
      <c r="K1083" s="15">
        <v>27</v>
      </c>
      <c r="L1083" s="16">
        <v>55</v>
      </c>
      <c r="M1083" s="17">
        <v>1485</v>
      </c>
      <c r="N1083" s="15" t="s">
        <v>367</v>
      </c>
      <c r="O1083" s="15" t="s">
        <v>19</v>
      </c>
      <c r="Q1083"/>
    </row>
    <row r="1084" spans="1:17" ht="15.6" x14ac:dyDescent="0.3">
      <c r="A1084" s="11">
        <v>10220</v>
      </c>
      <c r="B1084" s="10">
        <v>38029</v>
      </c>
      <c r="C1084" s="10" t="s">
        <v>348</v>
      </c>
      <c r="D1084" s="11" t="s">
        <v>205</v>
      </c>
      <c r="E1084" s="11" t="s">
        <v>206</v>
      </c>
      <c r="F1084" s="11" t="s">
        <v>207</v>
      </c>
      <c r="G1084" s="11" t="s">
        <v>25</v>
      </c>
      <c r="H1084" s="11" t="s">
        <v>32</v>
      </c>
      <c r="I1084" s="11" t="s">
        <v>34</v>
      </c>
      <c r="J1084" s="11" t="s">
        <v>246</v>
      </c>
      <c r="K1084" s="11">
        <v>50</v>
      </c>
      <c r="L1084" s="12">
        <v>80</v>
      </c>
      <c r="M1084" s="13">
        <v>4000</v>
      </c>
      <c r="N1084" s="11" t="s">
        <v>368</v>
      </c>
      <c r="O1084" s="11" t="s">
        <v>19</v>
      </c>
      <c r="Q1084"/>
    </row>
    <row r="1085" spans="1:17" ht="15.6" x14ac:dyDescent="0.3">
      <c r="A1085" s="15">
        <v>10220</v>
      </c>
      <c r="B1085" s="14">
        <v>38029</v>
      </c>
      <c r="C1085" s="14" t="s">
        <v>348</v>
      </c>
      <c r="D1085" s="15" t="s">
        <v>205</v>
      </c>
      <c r="E1085" s="15" t="s">
        <v>206</v>
      </c>
      <c r="F1085" s="15" t="s">
        <v>207</v>
      </c>
      <c r="G1085" s="15" t="s">
        <v>25</v>
      </c>
      <c r="H1085" s="15" t="s">
        <v>32</v>
      </c>
      <c r="I1085" s="15" t="s">
        <v>34</v>
      </c>
      <c r="J1085" s="15" t="s">
        <v>246</v>
      </c>
      <c r="K1085" s="15">
        <v>26</v>
      </c>
      <c r="L1085" s="16">
        <v>80</v>
      </c>
      <c r="M1085" s="17">
        <v>2080</v>
      </c>
      <c r="N1085" s="15" t="s">
        <v>367</v>
      </c>
      <c r="O1085" s="15" t="s">
        <v>19</v>
      </c>
      <c r="Q1085"/>
    </row>
    <row r="1086" spans="1:17" ht="15.6" x14ac:dyDescent="0.3">
      <c r="A1086" s="11">
        <v>10220</v>
      </c>
      <c r="B1086" s="10">
        <v>38029</v>
      </c>
      <c r="C1086" s="10" t="s">
        <v>348</v>
      </c>
      <c r="D1086" s="11" t="s">
        <v>205</v>
      </c>
      <c r="E1086" s="11" t="s">
        <v>206</v>
      </c>
      <c r="F1086" s="11" t="s">
        <v>207</v>
      </c>
      <c r="G1086" s="11" t="s">
        <v>25</v>
      </c>
      <c r="H1086" s="11" t="s">
        <v>32</v>
      </c>
      <c r="I1086" s="11" t="s">
        <v>34</v>
      </c>
      <c r="J1086" s="11" t="s">
        <v>246</v>
      </c>
      <c r="K1086" s="11">
        <v>37</v>
      </c>
      <c r="L1086" s="12">
        <v>80</v>
      </c>
      <c r="M1086" s="13">
        <v>2960</v>
      </c>
      <c r="N1086" s="11" t="s">
        <v>367</v>
      </c>
      <c r="O1086" s="11" t="s">
        <v>19</v>
      </c>
      <c r="Q1086"/>
    </row>
    <row r="1087" spans="1:17" ht="15.6" x14ac:dyDescent="0.3">
      <c r="A1087" s="15">
        <v>10220</v>
      </c>
      <c r="B1087" s="14">
        <v>38029</v>
      </c>
      <c r="C1087" s="14" t="s">
        <v>348</v>
      </c>
      <c r="D1087" s="15" t="s">
        <v>205</v>
      </c>
      <c r="E1087" s="15" t="s">
        <v>206</v>
      </c>
      <c r="F1087" s="15" t="s">
        <v>207</v>
      </c>
      <c r="G1087" s="15" t="s">
        <v>25</v>
      </c>
      <c r="H1087" s="15" t="s">
        <v>47</v>
      </c>
      <c r="I1087" s="15" t="s">
        <v>119</v>
      </c>
      <c r="J1087" s="15" t="s">
        <v>272</v>
      </c>
      <c r="K1087" s="15">
        <v>20</v>
      </c>
      <c r="L1087" s="16">
        <v>60</v>
      </c>
      <c r="M1087" s="17">
        <v>1200</v>
      </c>
      <c r="N1087" s="15" t="s">
        <v>367</v>
      </c>
      <c r="O1087" s="15" t="s">
        <v>19</v>
      </c>
      <c r="Q1087"/>
    </row>
    <row r="1088" spans="1:17" ht="15.6" x14ac:dyDescent="0.3">
      <c r="A1088" s="11">
        <v>10220</v>
      </c>
      <c r="B1088" s="10">
        <v>38029</v>
      </c>
      <c r="C1088" s="10" t="s">
        <v>348</v>
      </c>
      <c r="D1088" s="11" t="s">
        <v>205</v>
      </c>
      <c r="E1088" s="11" t="s">
        <v>206</v>
      </c>
      <c r="F1088" s="11" t="s">
        <v>207</v>
      </c>
      <c r="G1088" s="11" t="s">
        <v>25</v>
      </c>
      <c r="H1088" s="11" t="s">
        <v>35</v>
      </c>
      <c r="I1088" s="11" t="s">
        <v>40</v>
      </c>
      <c r="J1088" s="11" t="s">
        <v>251</v>
      </c>
      <c r="K1088" s="11">
        <v>37</v>
      </c>
      <c r="L1088" s="12">
        <v>25</v>
      </c>
      <c r="M1088" s="13">
        <v>925</v>
      </c>
      <c r="N1088" s="11" t="s">
        <v>367</v>
      </c>
      <c r="O1088" s="11" t="s">
        <v>19</v>
      </c>
      <c r="Q1088"/>
    </row>
    <row r="1089" spans="1:17" ht="15.6" x14ac:dyDescent="0.3">
      <c r="A1089" s="15">
        <v>10220</v>
      </c>
      <c r="B1089" s="14">
        <v>38029</v>
      </c>
      <c r="C1089" s="14" t="s">
        <v>348</v>
      </c>
      <c r="D1089" s="15" t="s">
        <v>205</v>
      </c>
      <c r="E1089" s="15" t="s">
        <v>206</v>
      </c>
      <c r="F1089" s="15" t="s">
        <v>207</v>
      </c>
      <c r="G1089" s="15" t="s">
        <v>25</v>
      </c>
      <c r="H1089" s="15" t="s">
        <v>47</v>
      </c>
      <c r="I1089" s="15" t="s">
        <v>48</v>
      </c>
      <c r="J1089" s="15" t="s">
        <v>255</v>
      </c>
      <c r="K1089" s="15">
        <v>30</v>
      </c>
      <c r="L1089" s="16">
        <v>70</v>
      </c>
      <c r="M1089" s="17">
        <v>2100</v>
      </c>
      <c r="N1089" s="15" t="s">
        <v>367</v>
      </c>
      <c r="O1089" s="15" t="s">
        <v>19</v>
      </c>
      <c r="Q1089"/>
    </row>
    <row r="1090" spans="1:17" ht="15.6" x14ac:dyDescent="0.3">
      <c r="A1090" s="11">
        <v>10221</v>
      </c>
      <c r="B1090" s="10">
        <v>38035</v>
      </c>
      <c r="C1090" s="10" t="s">
        <v>349</v>
      </c>
      <c r="D1090" s="11" t="s">
        <v>208</v>
      </c>
      <c r="E1090" s="11" t="s">
        <v>209</v>
      </c>
      <c r="F1090" s="11" t="s">
        <v>96</v>
      </c>
      <c r="G1090" s="11" t="s">
        <v>25</v>
      </c>
      <c r="H1090" s="11" t="s">
        <v>17</v>
      </c>
      <c r="I1090" s="11" t="s">
        <v>20</v>
      </c>
      <c r="J1090" s="11" t="s">
        <v>242</v>
      </c>
      <c r="K1090" s="11">
        <v>33</v>
      </c>
      <c r="L1090" s="12">
        <v>48</v>
      </c>
      <c r="M1090" s="13">
        <v>1584</v>
      </c>
      <c r="N1090" s="11" t="s">
        <v>367</v>
      </c>
      <c r="O1090" s="11" t="s">
        <v>19</v>
      </c>
      <c r="Q1090"/>
    </row>
    <row r="1091" spans="1:17" ht="15.6" x14ac:dyDescent="0.3">
      <c r="A1091" s="15">
        <v>10221</v>
      </c>
      <c r="B1091" s="14">
        <v>38035</v>
      </c>
      <c r="C1091" s="14" t="s">
        <v>349</v>
      </c>
      <c r="D1091" s="15" t="s">
        <v>208</v>
      </c>
      <c r="E1091" s="15" t="s">
        <v>209</v>
      </c>
      <c r="F1091" s="15" t="s">
        <v>96</v>
      </c>
      <c r="G1091" s="15" t="s">
        <v>25</v>
      </c>
      <c r="H1091" s="15" t="s">
        <v>47</v>
      </c>
      <c r="I1091" s="15" t="s">
        <v>53</v>
      </c>
      <c r="J1091" s="15" t="s">
        <v>257</v>
      </c>
      <c r="K1091" s="15">
        <v>23</v>
      </c>
      <c r="L1091" s="16">
        <v>90</v>
      </c>
      <c r="M1091" s="17">
        <v>2070</v>
      </c>
      <c r="N1091" s="15" t="s">
        <v>367</v>
      </c>
      <c r="O1091" s="15" t="s">
        <v>19</v>
      </c>
      <c r="Q1091"/>
    </row>
    <row r="1092" spans="1:17" ht="15.6" x14ac:dyDescent="0.3">
      <c r="A1092" s="11">
        <v>10221</v>
      </c>
      <c r="B1092" s="10">
        <v>38035</v>
      </c>
      <c r="C1092" s="10" t="s">
        <v>349</v>
      </c>
      <c r="D1092" s="11" t="s">
        <v>208</v>
      </c>
      <c r="E1092" s="11" t="s">
        <v>209</v>
      </c>
      <c r="F1092" s="11" t="s">
        <v>96</v>
      </c>
      <c r="G1092" s="11" t="s">
        <v>25</v>
      </c>
      <c r="H1092" s="11" t="s">
        <v>17</v>
      </c>
      <c r="I1092" s="11" t="s">
        <v>18</v>
      </c>
      <c r="J1092" s="11" t="s">
        <v>241</v>
      </c>
      <c r="K1092" s="11">
        <v>39</v>
      </c>
      <c r="L1092" s="12">
        <v>30</v>
      </c>
      <c r="M1092" s="13">
        <v>1170</v>
      </c>
      <c r="N1092" s="11" t="s">
        <v>367</v>
      </c>
      <c r="O1092" s="11" t="s">
        <v>19</v>
      </c>
      <c r="Q1092"/>
    </row>
    <row r="1093" spans="1:17" ht="15.6" x14ac:dyDescent="0.3">
      <c r="A1093" s="15">
        <v>10221</v>
      </c>
      <c r="B1093" s="14">
        <v>38035</v>
      </c>
      <c r="C1093" s="14" t="s">
        <v>349</v>
      </c>
      <c r="D1093" s="15" t="s">
        <v>208</v>
      </c>
      <c r="E1093" s="15" t="s">
        <v>209</v>
      </c>
      <c r="F1093" s="15" t="s">
        <v>96</v>
      </c>
      <c r="G1093" s="15" t="s">
        <v>25</v>
      </c>
      <c r="H1093" s="15" t="s">
        <v>54</v>
      </c>
      <c r="I1093" s="15" t="s">
        <v>56</v>
      </c>
      <c r="J1093" s="15" t="s">
        <v>259</v>
      </c>
      <c r="K1093" s="15">
        <v>49</v>
      </c>
      <c r="L1093" s="16">
        <v>250</v>
      </c>
      <c r="M1093" s="17">
        <v>12250</v>
      </c>
      <c r="N1093" s="15" t="s">
        <v>367</v>
      </c>
      <c r="O1093" s="15" t="s">
        <v>19</v>
      </c>
      <c r="Q1093"/>
    </row>
    <row r="1094" spans="1:17" ht="15.6" x14ac:dyDescent="0.3">
      <c r="A1094" s="11">
        <v>10221</v>
      </c>
      <c r="B1094" s="10">
        <v>38035</v>
      </c>
      <c r="C1094" s="10" t="s">
        <v>349</v>
      </c>
      <c r="D1094" s="11" t="s">
        <v>208</v>
      </c>
      <c r="E1094" s="11" t="s">
        <v>209</v>
      </c>
      <c r="F1094" s="11" t="s">
        <v>96</v>
      </c>
      <c r="G1094" s="11" t="s">
        <v>25</v>
      </c>
      <c r="H1094" s="11" t="s">
        <v>54</v>
      </c>
      <c r="I1094" s="11" t="s">
        <v>55</v>
      </c>
      <c r="J1094" s="11" t="s">
        <v>258</v>
      </c>
      <c r="K1094" s="11">
        <v>23</v>
      </c>
      <c r="L1094" s="12">
        <v>180</v>
      </c>
      <c r="M1094" s="13">
        <v>4140</v>
      </c>
      <c r="N1094" s="11" t="s">
        <v>367</v>
      </c>
      <c r="O1094" s="11" t="s">
        <v>19</v>
      </c>
      <c r="Q1094"/>
    </row>
    <row r="1095" spans="1:17" ht="15.6" x14ac:dyDescent="0.3">
      <c r="A1095" s="15">
        <v>10222</v>
      </c>
      <c r="B1095" s="14">
        <v>38036</v>
      </c>
      <c r="C1095" s="14" t="s">
        <v>350</v>
      </c>
      <c r="D1095" s="15" t="s">
        <v>210</v>
      </c>
      <c r="E1095" s="15" t="s">
        <v>211</v>
      </c>
      <c r="F1095" s="15" t="s">
        <v>15</v>
      </c>
      <c r="G1095" s="15" t="s">
        <v>16</v>
      </c>
      <c r="H1095" s="15" t="s">
        <v>32</v>
      </c>
      <c r="I1095" s="15" t="s">
        <v>34</v>
      </c>
      <c r="J1095" s="15" t="s">
        <v>246</v>
      </c>
      <c r="K1095" s="15">
        <v>49</v>
      </c>
      <c r="L1095" s="16">
        <v>80</v>
      </c>
      <c r="M1095" s="17">
        <v>3920</v>
      </c>
      <c r="N1095" s="15" t="s">
        <v>367</v>
      </c>
      <c r="O1095" s="15" t="s">
        <v>19</v>
      </c>
      <c r="Q1095"/>
    </row>
    <row r="1096" spans="1:17" ht="15.6" x14ac:dyDescent="0.3">
      <c r="A1096" s="11">
        <v>10222</v>
      </c>
      <c r="B1096" s="10">
        <v>38036</v>
      </c>
      <c r="C1096" s="10" t="s">
        <v>350</v>
      </c>
      <c r="D1096" s="11" t="s">
        <v>210</v>
      </c>
      <c r="E1096" s="11" t="s">
        <v>211</v>
      </c>
      <c r="F1096" s="11" t="s">
        <v>15</v>
      </c>
      <c r="G1096" s="11" t="s">
        <v>16</v>
      </c>
      <c r="H1096" s="11" t="s">
        <v>61</v>
      </c>
      <c r="I1096" s="11" t="s">
        <v>65</v>
      </c>
      <c r="J1096" s="11" t="s">
        <v>264</v>
      </c>
      <c r="K1096" s="11">
        <v>49</v>
      </c>
      <c r="L1096" s="12">
        <v>30</v>
      </c>
      <c r="M1096" s="13">
        <v>1470</v>
      </c>
      <c r="N1096" s="11" t="s">
        <v>367</v>
      </c>
      <c r="O1096" s="11" t="s">
        <v>19</v>
      </c>
      <c r="Q1096"/>
    </row>
    <row r="1097" spans="1:17" ht="15.6" x14ac:dyDescent="0.3">
      <c r="A1097" s="15">
        <v>10222</v>
      </c>
      <c r="B1097" s="14">
        <v>38036</v>
      </c>
      <c r="C1097" s="14" t="s">
        <v>350</v>
      </c>
      <c r="D1097" s="15" t="s">
        <v>210</v>
      </c>
      <c r="E1097" s="15" t="s">
        <v>211</v>
      </c>
      <c r="F1097" s="15" t="s">
        <v>15</v>
      </c>
      <c r="G1097" s="15" t="s">
        <v>16</v>
      </c>
      <c r="H1097" s="15" t="s">
        <v>54</v>
      </c>
      <c r="I1097" s="15" t="s">
        <v>166</v>
      </c>
      <c r="J1097" s="15" t="s">
        <v>273</v>
      </c>
      <c r="K1097" s="15">
        <v>49</v>
      </c>
      <c r="L1097" s="16">
        <v>160</v>
      </c>
      <c r="M1097" s="17">
        <v>7840</v>
      </c>
      <c r="N1097" s="15" t="s">
        <v>367</v>
      </c>
      <c r="O1097" s="15" t="s">
        <v>19</v>
      </c>
      <c r="Q1097"/>
    </row>
    <row r="1098" spans="1:17" ht="15.6" x14ac:dyDescent="0.3">
      <c r="A1098" s="11">
        <v>10222</v>
      </c>
      <c r="B1098" s="10">
        <v>38036</v>
      </c>
      <c r="C1098" s="10" t="s">
        <v>350</v>
      </c>
      <c r="D1098" s="11" t="s">
        <v>210</v>
      </c>
      <c r="E1098" s="11" t="s">
        <v>211</v>
      </c>
      <c r="F1098" s="11" t="s">
        <v>15</v>
      </c>
      <c r="G1098" s="11" t="s">
        <v>16</v>
      </c>
      <c r="H1098" s="11" t="s">
        <v>17</v>
      </c>
      <c r="I1098" s="11" t="s">
        <v>20</v>
      </c>
      <c r="J1098" s="11" t="s">
        <v>242</v>
      </c>
      <c r="K1098" s="11">
        <v>45</v>
      </c>
      <c r="L1098" s="12">
        <v>48</v>
      </c>
      <c r="M1098" s="13">
        <v>2160</v>
      </c>
      <c r="N1098" s="11" t="s">
        <v>367</v>
      </c>
      <c r="O1098" s="11" t="s">
        <v>19</v>
      </c>
      <c r="Q1098"/>
    </row>
    <row r="1099" spans="1:17" ht="15.6" x14ac:dyDescent="0.3">
      <c r="A1099" s="15">
        <v>10222</v>
      </c>
      <c r="B1099" s="14">
        <v>38036</v>
      </c>
      <c r="C1099" s="14" t="s">
        <v>350</v>
      </c>
      <c r="D1099" s="15" t="s">
        <v>210</v>
      </c>
      <c r="E1099" s="15" t="s">
        <v>211</v>
      </c>
      <c r="F1099" s="15" t="s">
        <v>15</v>
      </c>
      <c r="G1099" s="15" t="s">
        <v>16</v>
      </c>
      <c r="H1099" s="15" t="s">
        <v>61</v>
      </c>
      <c r="I1099" s="15" t="s">
        <v>64</v>
      </c>
      <c r="J1099" s="15" t="s">
        <v>263</v>
      </c>
      <c r="K1099" s="15">
        <v>32</v>
      </c>
      <c r="L1099" s="16">
        <v>35</v>
      </c>
      <c r="M1099" s="17">
        <v>1120</v>
      </c>
      <c r="N1099" s="15" t="s">
        <v>367</v>
      </c>
      <c r="O1099" s="15" t="s">
        <v>19</v>
      </c>
      <c r="Q1099"/>
    </row>
    <row r="1100" spans="1:17" ht="15.6" x14ac:dyDescent="0.3">
      <c r="A1100" s="11">
        <v>10222</v>
      </c>
      <c r="B1100" s="10">
        <v>38036</v>
      </c>
      <c r="C1100" s="10" t="s">
        <v>350</v>
      </c>
      <c r="D1100" s="11" t="s">
        <v>210</v>
      </c>
      <c r="E1100" s="11" t="s">
        <v>211</v>
      </c>
      <c r="F1100" s="11" t="s">
        <v>15</v>
      </c>
      <c r="G1100" s="11" t="s">
        <v>16</v>
      </c>
      <c r="H1100" s="11" t="s">
        <v>17</v>
      </c>
      <c r="I1100" s="11" t="s">
        <v>20</v>
      </c>
      <c r="J1100" s="11" t="s">
        <v>242</v>
      </c>
      <c r="K1100" s="11">
        <v>47</v>
      </c>
      <c r="L1100" s="12">
        <v>48</v>
      </c>
      <c r="M1100" s="13">
        <v>2256</v>
      </c>
      <c r="N1100" s="11" t="s">
        <v>367</v>
      </c>
      <c r="O1100" s="11" t="s">
        <v>19</v>
      </c>
      <c r="Q1100"/>
    </row>
    <row r="1101" spans="1:17" ht="15.6" x14ac:dyDescent="0.3">
      <c r="A1101" s="15">
        <v>10222</v>
      </c>
      <c r="B1101" s="14">
        <v>38036</v>
      </c>
      <c r="C1101" s="14" t="s">
        <v>350</v>
      </c>
      <c r="D1101" s="15" t="s">
        <v>210</v>
      </c>
      <c r="E1101" s="15" t="s">
        <v>211</v>
      </c>
      <c r="F1101" s="15" t="s">
        <v>15</v>
      </c>
      <c r="G1101" s="15" t="s">
        <v>16</v>
      </c>
      <c r="H1101" s="15" t="s">
        <v>17</v>
      </c>
      <c r="I1101" s="15" t="s">
        <v>20</v>
      </c>
      <c r="J1101" s="15" t="s">
        <v>242</v>
      </c>
      <c r="K1101" s="15">
        <v>43</v>
      </c>
      <c r="L1101" s="16">
        <v>48</v>
      </c>
      <c r="M1101" s="17">
        <v>2064</v>
      </c>
      <c r="N1101" s="15" t="s">
        <v>367</v>
      </c>
      <c r="O1101" s="15" t="s">
        <v>19</v>
      </c>
      <c r="Q1101"/>
    </row>
    <row r="1102" spans="1:17" ht="15.6" x14ac:dyDescent="0.3">
      <c r="A1102" s="11">
        <v>10222</v>
      </c>
      <c r="B1102" s="10">
        <v>38036</v>
      </c>
      <c r="C1102" s="10" t="s">
        <v>350</v>
      </c>
      <c r="D1102" s="11" t="s">
        <v>210</v>
      </c>
      <c r="E1102" s="11" t="s">
        <v>211</v>
      </c>
      <c r="F1102" s="11" t="s">
        <v>15</v>
      </c>
      <c r="G1102" s="11" t="s">
        <v>16</v>
      </c>
      <c r="H1102" s="11" t="s">
        <v>17</v>
      </c>
      <c r="I1102" s="11" t="s">
        <v>20</v>
      </c>
      <c r="J1102" s="11" t="s">
        <v>242</v>
      </c>
      <c r="K1102" s="11">
        <v>46</v>
      </c>
      <c r="L1102" s="12">
        <v>48</v>
      </c>
      <c r="M1102" s="13">
        <v>2208</v>
      </c>
      <c r="N1102" s="11" t="s">
        <v>367</v>
      </c>
      <c r="O1102" s="11" t="s">
        <v>19</v>
      </c>
      <c r="Q1102"/>
    </row>
    <row r="1103" spans="1:17" ht="15.6" x14ac:dyDescent="0.3">
      <c r="A1103" s="15">
        <v>10222</v>
      </c>
      <c r="B1103" s="14">
        <v>38036</v>
      </c>
      <c r="C1103" s="14" t="s">
        <v>350</v>
      </c>
      <c r="D1103" s="15" t="s">
        <v>210</v>
      </c>
      <c r="E1103" s="15" t="s">
        <v>211</v>
      </c>
      <c r="F1103" s="15" t="s">
        <v>15</v>
      </c>
      <c r="G1103" s="15" t="s">
        <v>16</v>
      </c>
      <c r="H1103" s="15" t="s">
        <v>61</v>
      </c>
      <c r="I1103" s="15" t="s">
        <v>63</v>
      </c>
      <c r="J1103" s="15" t="s">
        <v>262</v>
      </c>
      <c r="K1103" s="15">
        <v>48</v>
      </c>
      <c r="L1103" s="16">
        <v>40</v>
      </c>
      <c r="M1103" s="17">
        <v>1920</v>
      </c>
      <c r="N1103" s="15" t="s">
        <v>367</v>
      </c>
      <c r="O1103" s="15" t="s">
        <v>19</v>
      </c>
      <c r="Q1103"/>
    </row>
    <row r="1104" spans="1:17" ht="15.6" x14ac:dyDescent="0.3">
      <c r="A1104" s="11">
        <v>10222</v>
      </c>
      <c r="B1104" s="10">
        <v>38036</v>
      </c>
      <c r="C1104" s="10" t="s">
        <v>350</v>
      </c>
      <c r="D1104" s="11" t="s">
        <v>210</v>
      </c>
      <c r="E1104" s="11" t="s">
        <v>211</v>
      </c>
      <c r="F1104" s="11" t="s">
        <v>15</v>
      </c>
      <c r="G1104" s="11" t="s">
        <v>16</v>
      </c>
      <c r="H1104" s="11" t="s">
        <v>54</v>
      </c>
      <c r="I1104" s="11" t="s">
        <v>55</v>
      </c>
      <c r="J1104" s="11" t="s">
        <v>258</v>
      </c>
      <c r="K1104" s="11">
        <v>31</v>
      </c>
      <c r="L1104" s="12">
        <v>180</v>
      </c>
      <c r="M1104" s="13">
        <v>5580</v>
      </c>
      <c r="N1104" s="11" t="s">
        <v>367</v>
      </c>
      <c r="O1104" s="11" t="s">
        <v>19</v>
      </c>
      <c r="Q1104"/>
    </row>
    <row r="1105" spans="1:17" ht="15.6" x14ac:dyDescent="0.3">
      <c r="A1105" s="15">
        <v>10222</v>
      </c>
      <c r="B1105" s="14">
        <v>38036</v>
      </c>
      <c r="C1105" s="14" t="s">
        <v>350</v>
      </c>
      <c r="D1105" s="15" t="s">
        <v>210</v>
      </c>
      <c r="E1105" s="15" t="s">
        <v>211</v>
      </c>
      <c r="F1105" s="15" t="s">
        <v>15</v>
      </c>
      <c r="G1105" s="15" t="s">
        <v>16</v>
      </c>
      <c r="H1105" s="15" t="s">
        <v>54</v>
      </c>
      <c r="I1105" s="15" t="s">
        <v>166</v>
      </c>
      <c r="J1105" s="15" t="s">
        <v>273</v>
      </c>
      <c r="K1105" s="15">
        <v>26</v>
      </c>
      <c r="L1105" s="16">
        <v>160</v>
      </c>
      <c r="M1105" s="17">
        <v>4160</v>
      </c>
      <c r="N1105" s="15" t="s">
        <v>367</v>
      </c>
      <c r="O1105" s="15" t="s">
        <v>19</v>
      </c>
      <c r="Q1105"/>
    </row>
    <row r="1106" spans="1:17" ht="15.6" x14ac:dyDescent="0.3">
      <c r="A1106" s="11">
        <v>10222</v>
      </c>
      <c r="B1106" s="10">
        <v>38036</v>
      </c>
      <c r="C1106" s="10" t="s">
        <v>350</v>
      </c>
      <c r="D1106" s="11" t="s">
        <v>210</v>
      </c>
      <c r="E1106" s="11" t="s">
        <v>211</v>
      </c>
      <c r="F1106" s="11" t="s">
        <v>15</v>
      </c>
      <c r="G1106" s="11" t="s">
        <v>16</v>
      </c>
      <c r="H1106" s="11" t="s">
        <v>61</v>
      </c>
      <c r="I1106" s="11" t="s">
        <v>62</v>
      </c>
      <c r="J1106" s="11" t="s">
        <v>261</v>
      </c>
      <c r="K1106" s="11">
        <v>37</v>
      </c>
      <c r="L1106" s="12">
        <v>15</v>
      </c>
      <c r="M1106" s="13">
        <v>555</v>
      </c>
      <c r="N1106" s="11" t="s">
        <v>367</v>
      </c>
      <c r="O1106" s="11" t="s">
        <v>19</v>
      </c>
      <c r="Q1106"/>
    </row>
    <row r="1107" spans="1:17" ht="15.6" x14ac:dyDescent="0.3">
      <c r="A1107" s="15">
        <v>10222</v>
      </c>
      <c r="B1107" s="14">
        <v>38036</v>
      </c>
      <c r="C1107" s="14" t="s">
        <v>350</v>
      </c>
      <c r="D1107" s="15" t="s">
        <v>210</v>
      </c>
      <c r="E1107" s="15" t="s">
        <v>211</v>
      </c>
      <c r="F1107" s="15" t="s">
        <v>15</v>
      </c>
      <c r="G1107" s="15" t="s">
        <v>16</v>
      </c>
      <c r="H1107" s="15" t="s">
        <v>54</v>
      </c>
      <c r="I1107" s="15" t="s">
        <v>55</v>
      </c>
      <c r="J1107" s="15" t="s">
        <v>258</v>
      </c>
      <c r="K1107" s="15">
        <v>36</v>
      </c>
      <c r="L1107" s="16">
        <v>180</v>
      </c>
      <c r="M1107" s="17">
        <v>6480</v>
      </c>
      <c r="N1107" s="15" t="s">
        <v>367</v>
      </c>
      <c r="O1107" s="15" t="s">
        <v>19</v>
      </c>
      <c r="Q1107"/>
    </row>
    <row r="1108" spans="1:17" ht="15.6" x14ac:dyDescent="0.3">
      <c r="A1108" s="11">
        <v>10222</v>
      </c>
      <c r="B1108" s="10">
        <v>38036</v>
      </c>
      <c r="C1108" s="10" t="s">
        <v>350</v>
      </c>
      <c r="D1108" s="11" t="s">
        <v>210</v>
      </c>
      <c r="E1108" s="11" t="s">
        <v>211</v>
      </c>
      <c r="F1108" s="11" t="s">
        <v>15</v>
      </c>
      <c r="G1108" s="11" t="s">
        <v>16</v>
      </c>
      <c r="H1108" s="11" t="s">
        <v>54</v>
      </c>
      <c r="I1108" s="11" t="s">
        <v>57</v>
      </c>
      <c r="J1108" s="11" t="s">
        <v>260</v>
      </c>
      <c r="K1108" s="11">
        <v>38</v>
      </c>
      <c r="L1108" s="12">
        <v>220</v>
      </c>
      <c r="M1108" s="13">
        <v>8360</v>
      </c>
      <c r="N1108" s="11" t="s">
        <v>367</v>
      </c>
      <c r="O1108" s="11" t="s">
        <v>19</v>
      </c>
      <c r="Q1108"/>
    </row>
    <row r="1109" spans="1:17" ht="15.6" x14ac:dyDescent="0.3">
      <c r="A1109" s="15">
        <v>10222</v>
      </c>
      <c r="B1109" s="14">
        <v>38036</v>
      </c>
      <c r="C1109" s="14" t="s">
        <v>350</v>
      </c>
      <c r="D1109" s="15" t="s">
        <v>210</v>
      </c>
      <c r="E1109" s="15" t="s">
        <v>211</v>
      </c>
      <c r="F1109" s="15" t="s">
        <v>15</v>
      </c>
      <c r="G1109" s="15" t="s">
        <v>16</v>
      </c>
      <c r="H1109" s="15" t="s">
        <v>54</v>
      </c>
      <c r="I1109" s="15" t="s">
        <v>57</v>
      </c>
      <c r="J1109" s="15" t="s">
        <v>260</v>
      </c>
      <c r="K1109" s="15">
        <v>31</v>
      </c>
      <c r="L1109" s="16">
        <v>220</v>
      </c>
      <c r="M1109" s="17">
        <v>6820</v>
      </c>
      <c r="N1109" s="15" t="s">
        <v>367</v>
      </c>
      <c r="O1109" s="15" t="s">
        <v>19</v>
      </c>
      <c r="Q1109"/>
    </row>
    <row r="1110" spans="1:17" ht="15.6" x14ac:dyDescent="0.3">
      <c r="A1110" s="11">
        <v>10222</v>
      </c>
      <c r="B1110" s="10">
        <v>38036</v>
      </c>
      <c r="C1110" s="10" t="s">
        <v>350</v>
      </c>
      <c r="D1110" s="11" t="s">
        <v>210</v>
      </c>
      <c r="E1110" s="11" t="s">
        <v>211</v>
      </c>
      <c r="F1110" s="11" t="s">
        <v>15</v>
      </c>
      <c r="G1110" s="11" t="s">
        <v>16</v>
      </c>
      <c r="H1110" s="11" t="s">
        <v>61</v>
      </c>
      <c r="I1110" s="11" t="s">
        <v>62</v>
      </c>
      <c r="J1110" s="11" t="s">
        <v>261</v>
      </c>
      <c r="K1110" s="11">
        <v>43</v>
      </c>
      <c r="L1110" s="12">
        <v>15</v>
      </c>
      <c r="M1110" s="13">
        <v>645</v>
      </c>
      <c r="N1110" s="11" t="s">
        <v>367</v>
      </c>
      <c r="O1110" s="11" t="s">
        <v>19</v>
      </c>
      <c r="Q1110"/>
    </row>
    <row r="1111" spans="1:17" ht="15.6" x14ac:dyDescent="0.3">
      <c r="A1111" s="15">
        <v>10222</v>
      </c>
      <c r="B1111" s="14">
        <v>38036</v>
      </c>
      <c r="C1111" s="14" t="s">
        <v>350</v>
      </c>
      <c r="D1111" s="15" t="s">
        <v>210</v>
      </c>
      <c r="E1111" s="15" t="s">
        <v>211</v>
      </c>
      <c r="F1111" s="15" t="s">
        <v>15</v>
      </c>
      <c r="G1111" s="15" t="s">
        <v>16</v>
      </c>
      <c r="H1111" s="15" t="s">
        <v>61</v>
      </c>
      <c r="I1111" s="15" t="s">
        <v>62</v>
      </c>
      <c r="J1111" s="15" t="s">
        <v>261</v>
      </c>
      <c r="K1111" s="15">
        <v>31</v>
      </c>
      <c r="L1111" s="16">
        <v>15</v>
      </c>
      <c r="M1111" s="17">
        <v>465</v>
      </c>
      <c r="N1111" s="15" t="s">
        <v>367</v>
      </c>
      <c r="O1111" s="15" t="s">
        <v>19</v>
      </c>
      <c r="Q1111"/>
    </row>
    <row r="1112" spans="1:17" ht="15.6" x14ac:dyDescent="0.3">
      <c r="A1112" s="11">
        <v>10222</v>
      </c>
      <c r="B1112" s="10">
        <v>38036</v>
      </c>
      <c r="C1112" s="10" t="s">
        <v>350</v>
      </c>
      <c r="D1112" s="11" t="s">
        <v>210</v>
      </c>
      <c r="E1112" s="11" t="s">
        <v>211</v>
      </c>
      <c r="F1112" s="11" t="s">
        <v>15</v>
      </c>
      <c r="G1112" s="11" t="s">
        <v>16</v>
      </c>
      <c r="H1112" s="11" t="s">
        <v>54</v>
      </c>
      <c r="I1112" s="11" t="s">
        <v>55</v>
      </c>
      <c r="J1112" s="11" t="s">
        <v>258</v>
      </c>
      <c r="K1112" s="11">
        <v>36</v>
      </c>
      <c r="L1112" s="12">
        <v>180</v>
      </c>
      <c r="M1112" s="13">
        <v>6480</v>
      </c>
      <c r="N1112" s="11" t="s">
        <v>367</v>
      </c>
      <c r="O1112" s="11" t="s">
        <v>19</v>
      </c>
      <c r="Q1112"/>
    </row>
    <row r="1113" spans="1:17" ht="15.6" x14ac:dyDescent="0.3">
      <c r="A1113" s="15">
        <v>10223</v>
      </c>
      <c r="B1113" s="14">
        <v>38037</v>
      </c>
      <c r="C1113" s="14" t="s">
        <v>295</v>
      </c>
      <c r="D1113" s="15" t="s">
        <v>104</v>
      </c>
      <c r="E1113" s="15" t="s">
        <v>105</v>
      </c>
      <c r="F1113" s="15" t="s">
        <v>106</v>
      </c>
      <c r="G1113" s="15" t="s">
        <v>107</v>
      </c>
      <c r="H1113" s="15" t="s">
        <v>68</v>
      </c>
      <c r="I1113" s="15" t="s">
        <v>70</v>
      </c>
      <c r="J1113" s="15" t="s">
        <v>267</v>
      </c>
      <c r="K1113" s="15">
        <v>37</v>
      </c>
      <c r="L1113" s="16">
        <v>50</v>
      </c>
      <c r="M1113" s="17">
        <v>1850</v>
      </c>
      <c r="N1113" s="15" t="s">
        <v>367</v>
      </c>
      <c r="O1113" s="15" t="s">
        <v>19</v>
      </c>
      <c r="Q1113"/>
    </row>
    <row r="1114" spans="1:17" ht="15.6" x14ac:dyDescent="0.3">
      <c r="A1114" s="11">
        <v>10223</v>
      </c>
      <c r="B1114" s="10">
        <v>38037</v>
      </c>
      <c r="C1114" s="10" t="s">
        <v>295</v>
      </c>
      <c r="D1114" s="11" t="s">
        <v>104</v>
      </c>
      <c r="E1114" s="11" t="s">
        <v>105</v>
      </c>
      <c r="F1114" s="11" t="s">
        <v>106</v>
      </c>
      <c r="G1114" s="11" t="s">
        <v>107</v>
      </c>
      <c r="H1114" s="11" t="s">
        <v>68</v>
      </c>
      <c r="I1114" s="11" t="s">
        <v>69</v>
      </c>
      <c r="J1114" s="11" t="s">
        <v>266</v>
      </c>
      <c r="K1114" s="11">
        <v>47</v>
      </c>
      <c r="L1114" s="12">
        <v>25</v>
      </c>
      <c r="M1114" s="13">
        <v>1175</v>
      </c>
      <c r="N1114" s="11" t="s">
        <v>367</v>
      </c>
      <c r="O1114" s="11" t="s">
        <v>19</v>
      </c>
      <c r="Q1114"/>
    </row>
    <row r="1115" spans="1:17" ht="15.6" x14ac:dyDescent="0.3">
      <c r="A1115" s="15">
        <v>10223</v>
      </c>
      <c r="B1115" s="14">
        <v>38037</v>
      </c>
      <c r="C1115" s="14" t="s">
        <v>295</v>
      </c>
      <c r="D1115" s="15" t="s">
        <v>104</v>
      </c>
      <c r="E1115" s="15" t="s">
        <v>105</v>
      </c>
      <c r="F1115" s="15" t="s">
        <v>106</v>
      </c>
      <c r="G1115" s="15" t="s">
        <v>107</v>
      </c>
      <c r="H1115" s="15" t="s">
        <v>68</v>
      </c>
      <c r="I1115" s="15" t="s">
        <v>69</v>
      </c>
      <c r="J1115" s="15" t="s">
        <v>266</v>
      </c>
      <c r="K1115" s="15">
        <v>49</v>
      </c>
      <c r="L1115" s="16">
        <v>25</v>
      </c>
      <c r="M1115" s="17">
        <v>1225</v>
      </c>
      <c r="N1115" s="15" t="s">
        <v>367</v>
      </c>
      <c r="O1115" s="15" t="s">
        <v>19</v>
      </c>
      <c r="Q1115"/>
    </row>
    <row r="1116" spans="1:17" ht="15.6" x14ac:dyDescent="0.3">
      <c r="A1116" s="11">
        <v>10223</v>
      </c>
      <c r="B1116" s="10">
        <v>38037</v>
      </c>
      <c r="C1116" s="10" t="s">
        <v>295</v>
      </c>
      <c r="D1116" s="11" t="s">
        <v>104</v>
      </c>
      <c r="E1116" s="11" t="s">
        <v>105</v>
      </c>
      <c r="F1116" s="11" t="s">
        <v>106</v>
      </c>
      <c r="G1116" s="11" t="s">
        <v>107</v>
      </c>
      <c r="H1116" s="11" t="s">
        <v>61</v>
      </c>
      <c r="I1116" s="11" t="s">
        <v>62</v>
      </c>
      <c r="J1116" s="11" t="s">
        <v>261</v>
      </c>
      <c r="K1116" s="11">
        <v>47</v>
      </c>
      <c r="L1116" s="12">
        <v>15</v>
      </c>
      <c r="M1116" s="13">
        <v>705</v>
      </c>
      <c r="N1116" s="11" t="s">
        <v>367</v>
      </c>
      <c r="O1116" s="11" t="s">
        <v>19</v>
      </c>
      <c r="Q1116"/>
    </row>
    <row r="1117" spans="1:17" ht="15.6" x14ac:dyDescent="0.3">
      <c r="A1117" s="15">
        <v>10223</v>
      </c>
      <c r="B1117" s="14">
        <v>38037</v>
      </c>
      <c r="C1117" s="14" t="s">
        <v>295</v>
      </c>
      <c r="D1117" s="15" t="s">
        <v>104</v>
      </c>
      <c r="E1117" s="15" t="s">
        <v>105</v>
      </c>
      <c r="F1117" s="15" t="s">
        <v>106</v>
      </c>
      <c r="G1117" s="15" t="s">
        <v>107</v>
      </c>
      <c r="H1117" s="15" t="s">
        <v>68</v>
      </c>
      <c r="I1117" s="15" t="s">
        <v>76</v>
      </c>
      <c r="J1117" s="15" t="s">
        <v>269</v>
      </c>
      <c r="K1117" s="15">
        <v>28</v>
      </c>
      <c r="L1117" s="16">
        <v>30</v>
      </c>
      <c r="M1117" s="17">
        <v>840</v>
      </c>
      <c r="N1117" s="15" t="s">
        <v>367</v>
      </c>
      <c r="O1117" s="15" t="s">
        <v>19</v>
      </c>
      <c r="Q1117"/>
    </row>
    <row r="1118" spans="1:17" ht="15.6" x14ac:dyDescent="0.3">
      <c r="A1118" s="11">
        <v>10223</v>
      </c>
      <c r="B1118" s="10">
        <v>38037</v>
      </c>
      <c r="C1118" s="10" t="s">
        <v>295</v>
      </c>
      <c r="D1118" s="11" t="s">
        <v>104</v>
      </c>
      <c r="E1118" s="11" t="s">
        <v>105</v>
      </c>
      <c r="F1118" s="11" t="s">
        <v>106</v>
      </c>
      <c r="G1118" s="11" t="s">
        <v>107</v>
      </c>
      <c r="H1118" s="11" t="s">
        <v>68</v>
      </c>
      <c r="I1118" s="11" t="s">
        <v>70</v>
      </c>
      <c r="J1118" s="11" t="s">
        <v>267</v>
      </c>
      <c r="K1118" s="11">
        <v>32</v>
      </c>
      <c r="L1118" s="12">
        <v>50</v>
      </c>
      <c r="M1118" s="13">
        <v>1600</v>
      </c>
      <c r="N1118" s="11" t="s">
        <v>367</v>
      </c>
      <c r="O1118" s="11" t="s">
        <v>19</v>
      </c>
      <c r="Q1118"/>
    </row>
    <row r="1119" spans="1:17" ht="15.6" x14ac:dyDescent="0.3">
      <c r="A1119" s="15">
        <v>10223</v>
      </c>
      <c r="B1119" s="14">
        <v>38037</v>
      </c>
      <c r="C1119" s="14" t="s">
        <v>295</v>
      </c>
      <c r="D1119" s="15" t="s">
        <v>104</v>
      </c>
      <c r="E1119" s="15" t="s">
        <v>105</v>
      </c>
      <c r="F1119" s="15" t="s">
        <v>106</v>
      </c>
      <c r="G1119" s="15" t="s">
        <v>107</v>
      </c>
      <c r="H1119" s="15" t="s">
        <v>61</v>
      </c>
      <c r="I1119" s="15" t="s">
        <v>66</v>
      </c>
      <c r="J1119" s="15" t="s">
        <v>265</v>
      </c>
      <c r="K1119" s="15">
        <v>34</v>
      </c>
      <c r="L1119" s="16">
        <v>35</v>
      </c>
      <c r="M1119" s="17">
        <v>1190</v>
      </c>
      <c r="N1119" s="15" t="s">
        <v>367</v>
      </c>
      <c r="O1119" s="15" t="s">
        <v>19</v>
      </c>
      <c r="Q1119"/>
    </row>
    <row r="1120" spans="1:17" ht="15.6" x14ac:dyDescent="0.3">
      <c r="A1120" s="11">
        <v>10223</v>
      </c>
      <c r="B1120" s="10">
        <v>38037</v>
      </c>
      <c r="C1120" s="10" t="s">
        <v>295</v>
      </c>
      <c r="D1120" s="11" t="s">
        <v>104</v>
      </c>
      <c r="E1120" s="11" t="s">
        <v>105</v>
      </c>
      <c r="F1120" s="11" t="s">
        <v>106</v>
      </c>
      <c r="G1120" s="11" t="s">
        <v>107</v>
      </c>
      <c r="H1120" s="11" t="s">
        <v>68</v>
      </c>
      <c r="I1120" s="11" t="s">
        <v>69</v>
      </c>
      <c r="J1120" s="11" t="s">
        <v>266</v>
      </c>
      <c r="K1120" s="11">
        <v>38</v>
      </c>
      <c r="L1120" s="12">
        <v>25</v>
      </c>
      <c r="M1120" s="13">
        <v>950</v>
      </c>
      <c r="N1120" s="11" t="s">
        <v>367</v>
      </c>
      <c r="O1120" s="11" t="s">
        <v>19</v>
      </c>
      <c r="Q1120"/>
    </row>
    <row r="1121" spans="1:17" ht="15.6" x14ac:dyDescent="0.3">
      <c r="A1121" s="15">
        <v>10223</v>
      </c>
      <c r="B1121" s="14">
        <v>38037</v>
      </c>
      <c r="C1121" s="14" t="s">
        <v>295</v>
      </c>
      <c r="D1121" s="15" t="s">
        <v>104</v>
      </c>
      <c r="E1121" s="15" t="s">
        <v>105</v>
      </c>
      <c r="F1121" s="15" t="s">
        <v>106</v>
      </c>
      <c r="G1121" s="15" t="s">
        <v>107</v>
      </c>
      <c r="H1121" s="15" t="s">
        <v>61</v>
      </c>
      <c r="I1121" s="15" t="s">
        <v>66</v>
      </c>
      <c r="J1121" s="15" t="s">
        <v>265</v>
      </c>
      <c r="K1121" s="15">
        <v>23</v>
      </c>
      <c r="L1121" s="16">
        <v>35</v>
      </c>
      <c r="M1121" s="17">
        <v>805</v>
      </c>
      <c r="N1121" s="15" t="s">
        <v>367</v>
      </c>
      <c r="O1121" s="15" t="s">
        <v>19</v>
      </c>
      <c r="Q1121"/>
    </row>
    <row r="1122" spans="1:17" ht="15.6" x14ac:dyDescent="0.3">
      <c r="A1122" s="11">
        <v>10223</v>
      </c>
      <c r="B1122" s="10">
        <v>38037</v>
      </c>
      <c r="C1122" s="10" t="s">
        <v>295</v>
      </c>
      <c r="D1122" s="11" t="s">
        <v>104</v>
      </c>
      <c r="E1122" s="11" t="s">
        <v>105</v>
      </c>
      <c r="F1122" s="11" t="s">
        <v>106</v>
      </c>
      <c r="G1122" s="11" t="s">
        <v>107</v>
      </c>
      <c r="H1122" s="11" t="s">
        <v>68</v>
      </c>
      <c r="I1122" s="11" t="s">
        <v>108</v>
      </c>
      <c r="J1122" s="11" t="s">
        <v>271</v>
      </c>
      <c r="K1122" s="11">
        <v>21</v>
      </c>
      <c r="L1122" s="12">
        <v>45</v>
      </c>
      <c r="M1122" s="13">
        <v>945</v>
      </c>
      <c r="N1122" s="11" t="s">
        <v>367</v>
      </c>
      <c r="O1122" s="11" t="s">
        <v>19</v>
      </c>
      <c r="Q1122"/>
    </row>
    <row r="1123" spans="1:17" ht="15.6" x14ac:dyDescent="0.3">
      <c r="A1123" s="15">
        <v>10223</v>
      </c>
      <c r="B1123" s="14">
        <v>38037</v>
      </c>
      <c r="C1123" s="14" t="s">
        <v>295</v>
      </c>
      <c r="D1123" s="15" t="s">
        <v>104</v>
      </c>
      <c r="E1123" s="15" t="s">
        <v>105</v>
      </c>
      <c r="F1123" s="15" t="s">
        <v>106</v>
      </c>
      <c r="G1123" s="15" t="s">
        <v>107</v>
      </c>
      <c r="H1123" s="15" t="s">
        <v>17</v>
      </c>
      <c r="I1123" s="15" t="s">
        <v>20</v>
      </c>
      <c r="J1123" s="15" t="s">
        <v>242</v>
      </c>
      <c r="K1123" s="15">
        <v>20</v>
      </c>
      <c r="L1123" s="16">
        <v>48</v>
      </c>
      <c r="M1123" s="17">
        <v>960</v>
      </c>
      <c r="N1123" s="15" t="s">
        <v>367</v>
      </c>
      <c r="O1123" s="15" t="s">
        <v>19</v>
      </c>
      <c r="Q1123"/>
    </row>
    <row r="1124" spans="1:17" ht="15.6" x14ac:dyDescent="0.3">
      <c r="A1124" s="11">
        <v>10223</v>
      </c>
      <c r="B1124" s="10">
        <v>38037</v>
      </c>
      <c r="C1124" s="10" t="s">
        <v>295</v>
      </c>
      <c r="D1124" s="11" t="s">
        <v>104</v>
      </c>
      <c r="E1124" s="11" t="s">
        <v>105</v>
      </c>
      <c r="F1124" s="11" t="s">
        <v>106</v>
      </c>
      <c r="G1124" s="11" t="s">
        <v>107</v>
      </c>
      <c r="H1124" s="11" t="s">
        <v>17</v>
      </c>
      <c r="I1124" s="11" t="s">
        <v>20</v>
      </c>
      <c r="J1124" s="11" t="s">
        <v>242</v>
      </c>
      <c r="K1124" s="11">
        <v>41</v>
      </c>
      <c r="L1124" s="12">
        <v>48</v>
      </c>
      <c r="M1124" s="13">
        <v>1968</v>
      </c>
      <c r="N1124" s="11" t="s">
        <v>367</v>
      </c>
      <c r="O1124" s="11" t="s">
        <v>19</v>
      </c>
      <c r="Q1124"/>
    </row>
    <row r="1125" spans="1:17" ht="15.6" x14ac:dyDescent="0.3">
      <c r="A1125" s="15">
        <v>10223</v>
      </c>
      <c r="B1125" s="14">
        <v>38037</v>
      </c>
      <c r="C1125" s="14" t="s">
        <v>295</v>
      </c>
      <c r="D1125" s="15" t="s">
        <v>104</v>
      </c>
      <c r="E1125" s="15" t="s">
        <v>105</v>
      </c>
      <c r="F1125" s="15" t="s">
        <v>106</v>
      </c>
      <c r="G1125" s="15" t="s">
        <v>107</v>
      </c>
      <c r="H1125" s="15" t="s">
        <v>61</v>
      </c>
      <c r="I1125" s="15" t="s">
        <v>62</v>
      </c>
      <c r="J1125" s="15" t="s">
        <v>261</v>
      </c>
      <c r="K1125" s="15">
        <v>25</v>
      </c>
      <c r="L1125" s="16">
        <v>15</v>
      </c>
      <c r="M1125" s="17">
        <v>375</v>
      </c>
      <c r="N1125" s="15" t="s">
        <v>367</v>
      </c>
      <c r="O1125" s="15" t="s">
        <v>19</v>
      </c>
      <c r="Q1125"/>
    </row>
    <row r="1126" spans="1:17" ht="15.6" x14ac:dyDescent="0.3">
      <c r="A1126" s="11">
        <v>10223</v>
      </c>
      <c r="B1126" s="10">
        <v>38037</v>
      </c>
      <c r="C1126" s="10" t="s">
        <v>295</v>
      </c>
      <c r="D1126" s="11" t="s">
        <v>104</v>
      </c>
      <c r="E1126" s="11" t="s">
        <v>105</v>
      </c>
      <c r="F1126" s="11" t="s">
        <v>106</v>
      </c>
      <c r="G1126" s="11" t="s">
        <v>107</v>
      </c>
      <c r="H1126" s="11" t="s">
        <v>61</v>
      </c>
      <c r="I1126" s="11" t="s">
        <v>65</v>
      </c>
      <c r="J1126" s="11" t="s">
        <v>264</v>
      </c>
      <c r="K1126" s="11">
        <v>29</v>
      </c>
      <c r="L1126" s="12">
        <v>30</v>
      </c>
      <c r="M1126" s="13">
        <v>870</v>
      </c>
      <c r="N1126" s="11" t="s">
        <v>367</v>
      </c>
      <c r="O1126" s="11" t="s">
        <v>19</v>
      </c>
      <c r="Q1126"/>
    </row>
    <row r="1127" spans="1:17" ht="15.6" x14ac:dyDescent="0.3">
      <c r="A1127" s="15">
        <v>10223</v>
      </c>
      <c r="B1127" s="14">
        <v>38037</v>
      </c>
      <c r="C1127" s="14" t="s">
        <v>295</v>
      </c>
      <c r="D1127" s="15" t="s">
        <v>104</v>
      </c>
      <c r="E1127" s="15" t="s">
        <v>105</v>
      </c>
      <c r="F1127" s="15" t="s">
        <v>106</v>
      </c>
      <c r="G1127" s="15" t="s">
        <v>107</v>
      </c>
      <c r="H1127" s="15" t="s">
        <v>61</v>
      </c>
      <c r="I1127" s="15" t="s">
        <v>64</v>
      </c>
      <c r="J1127" s="15" t="s">
        <v>263</v>
      </c>
      <c r="K1127" s="15">
        <v>26</v>
      </c>
      <c r="L1127" s="16">
        <v>35</v>
      </c>
      <c r="M1127" s="17">
        <v>910</v>
      </c>
      <c r="N1127" s="15" t="s">
        <v>367</v>
      </c>
      <c r="O1127" s="15" t="s">
        <v>19</v>
      </c>
      <c r="Q1127"/>
    </row>
    <row r="1128" spans="1:17" ht="15.6" x14ac:dyDescent="0.3">
      <c r="A1128" s="11">
        <v>10224</v>
      </c>
      <c r="B1128" s="10">
        <v>38038</v>
      </c>
      <c r="C1128" s="10" t="s">
        <v>331</v>
      </c>
      <c r="D1128" s="11" t="s">
        <v>175</v>
      </c>
      <c r="E1128" s="11" t="s">
        <v>176</v>
      </c>
      <c r="F1128" s="11" t="s">
        <v>92</v>
      </c>
      <c r="G1128" s="11" t="s">
        <v>25</v>
      </c>
      <c r="H1128" s="11" t="s">
        <v>68</v>
      </c>
      <c r="I1128" s="11" t="s">
        <v>76</v>
      </c>
      <c r="J1128" s="11" t="s">
        <v>269</v>
      </c>
      <c r="K1128" s="11">
        <v>43</v>
      </c>
      <c r="L1128" s="12">
        <v>30</v>
      </c>
      <c r="M1128" s="13">
        <v>1290</v>
      </c>
      <c r="N1128" s="11" t="s">
        <v>367</v>
      </c>
      <c r="O1128" s="11" t="s">
        <v>19</v>
      </c>
      <c r="Q1128"/>
    </row>
    <row r="1129" spans="1:17" ht="15.6" x14ac:dyDescent="0.3">
      <c r="A1129" s="15">
        <v>10224</v>
      </c>
      <c r="B1129" s="14">
        <v>38038</v>
      </c>
      <c r="C1129" s="14" t="s">
        <v>331</v>
      </c>
      <c r="D1129" s="15" t="s">
        <v>175</v>
      </c>
      <c r="E1129" s="15" t="s">
        <v>176</v>
      </c>
      <c r="F1129" s="15" t="s">
        <v>92</v>
      </c>
      <c r="G1129" s="15" t="s">
        <v>25</v>
      </c>
      <c r="H1129" s="15" t="s">
        <v>68</v>
      </c>
      <c r="I1129" s="15" t="s">
        <v>69</v>
      </c>
      <c r="J1129" s="15" t="s">
        <v>266</v>
      </c>
      <c r="K1129" s="15">
        <v>38</v>
      </c>
      <c r="L1129" s="16">
        <v>25</v>
      </c>
      <c r="M1129" s="17">
        <v>950</v>
      </c>
      <c r="N1129" s="15" t="s">
        <v>367</v>
      </c>
      <c r="O1129" s="15" t="s">
        <v>19</v>
      </c>
      <c r="Q1129"/>
    </row>
    <row r="1130" spans="1:17" ht="15.6" x14ac:dyDescent="0.3">
      <c r="A1130" s="11">
        <v>10224</v>
      </c>
      <c r="B1130" s="10">
        <v>38038</v>
      </c>
      <c r="C1130" s="10" t="s">
        <v>331</v>
      </c>
      <c r="D1130" s="11" t="s">
        <v>175</v>
      </c>
      <c r="E1130" s="11" t="s">
        <v>176</v>
      </c>
      <c r="F1130" s="11" t="s">
        <v>92</v>
      </c>
      <c r="G1130" s="11" t="s">
        <v>25</v>
      </c>
      <c r="H1130" s="11" t="s">
        <v>68</v>
      </c>
      <c r="I1130" s="11" t="s">
        <v>108</v>
      </c>
      <c r="J1130" s="11" t="s">
        <v>271</v>
      </c>
      <c r="K1130" s="11">
        <v>37</v>
      </c>
      <c r="L1130" s="12">
        <v>45</v>
      </c>
      <c r="M1130" s="13">
        <v>1665</v>
      </c>
      <c r="N1130" s="11" t="s">
        <v>367</v>
      </c>
      <c r="O1130" s="11" t="s">
        <v>19</v>
      </c>
      <c r="Q1130"/>
    </row>
    <row r="1131" spans="1:17" ht="15.6" x14ac:dyDescent="0.3">
      <c r="A1131" s="15">
        <v>10224</v>
      </c>
      <c r="B1131" s="14">
        <v>38038</v>
      </c>
      <c r="C1131" s="14" t="s">
        <v>331</v>
      </c>
      <c r="D1131" s="15" t="s">
        <v>175</v>
      </c>
      <c r="E1131" s="15" t="s">
        <v>176</v>
      </c>
      <c r="F1131" s="15" t="s">
        <v>92</v>
      </c>
      <c r="G1131" s="15" t="s">
        <v>25</v>
      </c>
      <c r="H1131" s="15" t="s">
        <v>68</v>
      </c>
      <c r="I1131" s="15" t="s">
        <v>70</v>
      </c>
      <c r="J1131" s="15" t="s">
        <v>267</v>
      </c>
      <c r="K1131" s="15">
        <v>43</v>
      </c>
      <c r="L1131" s="16">
        <v>50</v>
      </c>
      <c r="M1131" s="17">
        <v>2150</v>
      </c>
      <c r="N1131" s="15" t="s">
        <v>367</v>
      </c>
      <c r="O1131" s="15" t="s">
        <v>19</v>
      </c>
      <c r="Q1131"/>
    </row>
    <row r="1132" spans="1:17" ht="15.6" x14ac:dyDescent="0.3">
      <c r="A1132" s="11">
        <v>10224</v>
      </c>
      <c r="B1132" s="10">
        <v>38038</v>
      </c>
      <c r="C1132" s="10" t="s">
        <v>331</v>
      </c>
      <c r="D1132" s="11" t="s">
        <v>175</v>
      </c>
      <c r="E1132" s="11" t="s">
        <v>176</v>
      </c>
      <c r="F1132" s="11" t="s">
        <v>92</v>
      </c>
      <c r="G1132" s="11" t="s">
        <v>25</v>
      </c>
      <c r="H1132" s="11" t="s">
        <v>68</v>
      </c>
      <c r="I1132" s="11" t="s">
        <v>69</v>
      </c>
      <c r="J1132" s="11" t="s">
        <v>266</v>
      </c>
      <c r="K1132" s="11">
        <v>30</v>
      </c>
      <c r="L1132" s="12">
        <v>25</v>
      </c>
      <c r="M1132" s="13">
        <v>750</v>
      </c>
      <c r="N1132" s="11" t="s">
        <v>367</v>
      </c>
      <c r="O1132" s="11" t="s">
        <v>19</v>
      </c>
      <c r="Q1132"/>
    </row>
    <row r="1133" spans="1:17" ht="15.6" x14ac:dyDescent="0.3">
      <c r="A1133" s="15">
        <v>10224</v>
      </c>
      <c r="B1133" s="14">
        <v>38038</v>
      </c>
      <c r="C1133" s="14" t="s">
        <v>331</v>
      </c>
      <c r="D1133" s="15" t="s">
        <v>175</v>
      </c>
      <c r="E1133" s="15" t="s">
        <v>176</v>
      </c>
      <c r="F1133" s="15" t="s">
        <v>92</v>
      </c>
      <c r="G1133" s="15" t="s">
        <v>25</v>
      </c>
      <c r="H1133" s="15" t="s">
        <v>68</v>
      </c>
      <c r="I1133" s="15" t="s">
        <v>69</v>
      </c>
      <c r="J1133" s="15" t="s">
        <v>266</v>
      </c>
      <c r="K1133" s="15">
        <v>50</v>
      </c>
      <c r="L1133" s="16">
        <v>25</v>
      </c>
      <c r="M1133" s="17">
        <v>1250</v>
      </c>
      <c r="N1133" s="15" t="s">
        <v>368</v>
      </c>
      <c r="O1133" s="15" t="s">
        <v>19</v>
      </c>
      <c r="Q1133"/>
    </row>
    <row r="1134" spans="1:17" ht="15.6" x14ac:dyDescent="0.3">
      <c r="A1134" s="11">
        <v>10225</v>
      </c>
      <c r="B1134" s="10">
        <v>38039</v>
      </c>
      <c r="C1134" s="10" t="s">
        <v>351</v>
      </c>
      <c r="D1134" s="11" t="s">
        <v>212</v>
      </c>
      <c r="E1134" s="11" t="s">
        <v>213</v>
      </c>
      <c r="F1134" s="11" t="s">
        <v>214</v>
      </c>
      <c r="G1134" s="11" t="s">
        <v>25</v>
      </c>
      <c r="H1134" s="11" t="s">
        <v>32</v>
      </c>
      <c r="I1134" s="11" t="s">
        <v>44</v>
      </c>
      <c r="J1134" s="11" t="s">
        <v>252</v>
      </c>
      <c r="K1134" s="11">
        <v>27</v>
      </c>
      <c r="L1134" s="12">
        <v>55</v>
      </c>
      <c r="M1134" s="13">
        <v>1485</v>
      </c>
      <c r="N1134" s="11" t="s">
        <v>367</v>
      </c>
      <c r="O1134" s="11" t="s">
        <v>19</v>
      </c>
      <c r="Q1134"/>
    </row>
    <row r="1135" spans="1:17" ht="15.6" x14ac:dyDescent="0.3">
      <c r="A1135" s="15">
        <v>10225</v>
      </c>
      <c r="B1135" s="14">
        <v>38039</v>
      </c>
      <c r="C1135" s="14" t="s">
        <v>351</v>
      </c>
      <c r="D1135" s="15" t="s">
        <v>212</v>
      </c>
      <c r="E1135" s="15" t="s">
        <v>213</v>
      </c>
      <c r="F1135" s="15" t="s">
        <v>214</v>
      </c>
      <c r="G1135" s="15" t="s">
        <v>25</v>
      </c>
      <c r="H1135" s="15" t="s">
        <v>32</v>
      </c>
      <c r="I1135" s="15" t="s">
        <v>44</v>
      </c>
      <c r="J1135" s="15" t="s">
        <v>252</v>
      </c>
      <c r="K1135" s="15">
        <v>25</v>
      </c>
      <c r="L1135" s="16">
        <v>55</v>
      </c>
      <c r="M1135" s="17">
        <v>1375</v>
      </c>
      <c r="N1135" s="15" t="s">
        <v>367</v>
      </c>
      <c r="O1135" s="15" t="s">
        <v>19</v>
      </c>
      <c r="Q1135"/>
    </row>
    <row r="1136" spans="1:17" ht="15.6" x14ac:dyDescent="0.3">
      <c r="A1136" s="11">
        <v>10225</v>
      </c>
      <c r="B1136" s="10">
        <v>38039</v>
      </c>
      <c r="C1136" s="10" t="s">
        <v>351</v>
      </c>
      <c r="D1136" s="11" t="s">
        <v>212</v>
      </c>
      <c r="E1136" s="11" t="s">
        <v>213</v>
      </c>
      <c r="F1136" s="11" t="s">
        <v>214</v>
      </c>
      <c r="G1136" s="11" t="s">
        <v>25</v>
      </c>
      <c r="H1136" s="11" t="s">
        <v>32</v>
      </c>
      <c r="I1136" s="11" t="s">
        <v>46</v>
      </c>
      <c r="J1136" s="11" t="s">
        <v>254</v>
      </c>
      <c r="K1136" s="11">
        <v>37</v>
      </c>
      <c r="L1136" s="12">
        <v>90</v>
      </c>
      <c r="M1136" s="13">
        <v>3330</v>
      </c>
      <c r="N1136" s="11" t="s">
        <v>367</v>
      </c>
      <c r="O1136" s="11" t="s">
        <v>19</v>
      </c>
      <c r="Q1136"/>
    </row>
    <row r="1137" spans="1:17" ht="15.6" x14ac:dyDescent="0.3">
      <c r="A1137" s="15">
        <v>10225</v>
      </c>
      <c r="B1137" s="14">
        <v>38039</v>
      </c>
      <c r="C1137" s="14" t="s">
        <v>351</v>
      </c>
      <c r="D1137" s="15" t="s">
        <v>212</v>
      </c>
      <c r="E1137" s="15" t="s">
        <v>213</v>
      </c>
      <c r="F1137" s="15" t="s">
        <v>214</v>
      </c>
      <c r="G1137" s="15" t="s">
        <v>25</v>
      </c>
      <c r="H1137" s="15" t="s">
        <v>32</v>
      </c>
      <c r="I1137" s="15" t="s">
        <v>33</v>
      </c>
      <c r="J1137" s="15" t="s">
        <v>245</v>
      </c>
      <c r="K1137" s="15">
        <v>21</v>
      </c>
      <c r="L1137" s="16">
        <v>85</v>
      </c>
      <c r="M1137" s="17">
        <v>1785</v>
      </c>
      <c r="N1137" s="15" t="s">
        <v>367</v>
      </c>
      <c r="O1137" s="15" t="s">
        <v>19</v>
      </c>
      <c r="Q1137"/>
    </row>
    <row r="1138" spans="1:17" ht="15.6" x14ac:dyDescent="0.3">
      <c r="A1138" s="11">
        <v>10225</v>
      </c>
      <c r="B1138" s="10">
        <v>38039</v>
      </c>
      <c r="C1138" s="10" t="s">
        <v>351</v>
      </c>
      <c r="D1138" s="11" t="s">
        <v>212</v>
      </c>
      <c r="E1138" s="11" t="s">
        <v>213</v>
      </c>
      <c r="F1138" s="11" t="s">
        <v>214</v>
      </c>
      <c r="G1138" s="11" t="s">
        <v>25</v>
      </c>
      <c r="H1138" s="11" t="s">
        <v>32</v>
      </c>
      <c r="I1138" s="11" t="s">
        <v>33</v>
      </c>
      <c r="J1138" s="11" t="s">
        <v>245</v>
      </c>
      <c r="K1138" s="11">
        <v>32</v>
      </c>
      <c r="L1138" s="12">
        <v>85</v>
      </c>
      <c r="M1138" s="13">
        <v>2720</v>
      </c>
      <c r="N1138" s="11" t="s">
        <v>367</v>
      </c>
      <c r="O1138" s="11" t="s">
        <v>19</v>
      </c>
      <c r="Q1138"/>
    </row>
    <row r="1139" spans="1:17" ht="15.6" x14ac:dyDescent="0.3">
      <c r="A1139" s="15">
        <v>10225</v>
      </c>
      <c r="B1139" s="14">
        <v>38039</v>
      </c>
      <c r="C1139" s="14" t="s">
        <v>351</v>
      </c>
      <c r="D1139" s="15" t="s">
        <v>212</v>
      </c>
      <c r="E1139" s="15" t="s">
        <v>213</v>
      </c>
      <c r="F1139" s="15" t="s">
        <v>214</v>
      </c>
      <c r="G1139" s="15" t="s">
        <v>25</v>
      </c>
      <c r="H1139" s="15" t="s">
        <v>32</v>
      </c>
      <c r="I1139" s="15" t="s">
        <v>34</v>
      </c>
      <c r="J1139" s="15" t="s">
        <v>246</v>
      </c>
      <c r="K1139" s="15">
        <v>47</v>
      </c>
      <c r="L1139" s="16">
        <v>80</v>
      </c>
      <c r="M1139" s="17">
        <v>3760</v>
      </c>
      <c r="N1139" s="15" t="s">
        <v>367</v>
      </c>
      <c r="O1139" s="15" t="s">
        <v>19</v>
      </c>
      <c r="Q1139"/>
    </row>
    <row r="1140" spans="1:17" ht="15.6" x14ac:dyDescent="0.3">
      <c r="A1140" s="11">
        <v>10225</v>
      </c>
      <c r="B1140" s="10">
        <v>38039</v>
      </c>
      <c r="C1140" s="10" t="s">
        <v>351</v>
      </c>
      <c r="D1140" s="11" t="s">
        <v>212</v>
      </c>
      <c r="E1140" s="11" t="s">
        <v>213</v>
      </c>
      <c r="F1140" s="11" t="s">
        <v>214</v>
      </c>
      <c r="G1140" s="11" t="s">
        <v>25</v>
      </c>
      <c r="H1140" s="11" t="s">
        <v>32</v>
      </c>
      <c r="I1140" s="11" t="s">
        <v>45</v>
      </c>
      <c r="J1140" s="11" t="s">
        <v>253</v>
      </c>
      <c r="K1140" s="11">
        <v>43</v>
      </c>
      <c r="L1140" s="12">
        <v>35</v>
      </c>
      <c r="M1140" s="13">
        <v>1505</v>
      </c>
      <c r="N1140" s="11" t="s">
        <v>367</v>
      </c>
      <c r="O1140" s="11" t="s">
        <v>19</v>
      </c>
      <c r="Q1140"/>
    </row>
    <row r="1141" spans="1:17" ht="15.6" x14ac:dyDescent="0.3">
      <c r="A1141" s="15">
        <v>10225</v>
      </c>
      <c r="B1141" s="14">
        <v>38039</v>
      </c>
      <c r="C1141" s="14" t="s">
        <v>351</v>
      </c>
      <c r="D1141" s="15" t="s">
        <v>212</v>
      </c>
      <c r="E1141" s="15" t="s">
        <v>213</v>
      </c>
      <c r="F1141" s="15" t="s">
        <v>214</v>
      </c>
      <c r="G1141" s="15" t="s">
        <v>25</v>
      </c>
      <c r="H1141" s="15" t="s">
        <v>32</v>
      </c>
      <c r="I1141" s="15" t="s">
        <v>44</v>
      </c>
      <c r="J1141" s="15" t="s">
        <v>252</v>
      </c>
      <c r="K1141" s="15">
        <v>37</v>
      </c>
      <c r="L1141" s="16">
        <v>55</v>
      </c>
      <c r="M1141" s="17">
        <v>2035</v>
      </c>
      <c r="N1141" s="15" t="s">
        <v>367</v>
      </c>
      <c r="O1141" s="15" t="s">
        <v>19</v>
      </c>
      <c r="Q1141"/>
    </row>
    <row r="1142" spans="1:17" ht="15.6" x14ac:dyDescent="0.3">
      <c r="A1142" s="11">
        <v>10225</v>
      </c>
      <c r="B1142" s="10">
        <v>38039</v>
      </c>
      <c r="C1142" s="10" t="s">
        <v>351</v>
      </c>
      <c r="D1142" s="11" t="s">
        <v>212</v>
      </c>
      <c r="E1142" s="11" t="s">
        <v>213</v>
      </c>
      <c r="F1142" s="11" t="s">
        <v>214</v>
      </c>
      <c r="G1142" s="11" t="s">
        <v>25</v>
      </c>
      <c r="H1142" s="11" t="s">
        <v>32</v>
      </c>
      <c r="I1142" s="11" t="s">
        <v>33</v>
      </c>
      <c r="J1142" s="11" t="s">
        <v>245</v>
      </c>
      <c r="K1142" s="11">
        <v>27</v>
      </c>
      <c r="L1142" s="12">
        <v>85</v>
      </c>
      <c r="M1142" s="13">
        <v>2295</v>
      </c>
      <c r="N1142" s="11" t="s">
        <v>367</v>
      </c>
      <c r="O1142" s="11" t="s">
        <v>19</v>
      </c>
      <c r="Q1142"/>
    </row>
    <row r="1143" spans="1:17" ht="15.6" x14ac:dyDescent="0.3">
      <c r="A1143" s="15">
        <v>10225</v>
      </c>
      <c r="B1143" s="14">
        <v>38039</v>
      </c>
      <c r="C1143" s="14" t="s">
        <v>351</v>
      </c>
      <c r="D1143" s="15" t="s">
        <v>212</v>
      </c>
      <c r="E1143" s="15" t="s">
        <v>213</v>
      </c>
      <c r="F1143" s="15" t="s">
        <v>214</v>
      </c>
      <c r="G1143" s="15" t="s">
        <v>25</v>
      </c>
      <c r="H1143" s="15" t="s">
        <v>32</v>
      </c>
      <c r="I1143" s="15" t="s">
        <v>46</v>
      </c>
      <c r="J1143" s="15" t="s">
        <v>254</v>
      </c>
      <c r="K1143" s="15">
        <v>35</v>
      </c>
      <c r="L1143" s="16">
        <v>90</v>
      </c>
      <c r="M1143" s="17">
        <v>3150</v>
      </c>
      <c r="N1143" s="15" t="s">
        <v>367</v>
      </c>
      <c r="O1143" s="15" t="s">
        <v>19</v>
      </c>
      <c r="Q1143"/>
    </row>
    <row r="1144" spans="1:17" ht="15.6" x14ac:dyDescent="0.3">
      <c r="A1144" s="11">
        <v>10225</v>
      </c>
      <c r="B1144" s="10">
        <v>38039</v>
      </c>
      <c r="C1144" s="10" t="s">
        <v>351</v>
      </c>
      <c r="D1144" s="11" t="s">
        <v>212</v>
      </c>
      <c r="E1144" s="11" t="s">
        <v>213</v>
      </c>
      <c r="F1144" s="11" t="s">
        <v>214</v>
      </c>
      <c r="G1144" s="11" t="s">
        <v>25</v>
      </c>
      <c r="H1144" s="11" t="s">
        <v>32</v>
      </c>
      <c r="I1144" s="11" t="s">
        <v>45</v>
      </c>
      <c r="J1144" s="11" t="s">
        <v>253</v>
      </c>
      <c r="K1144" s="11">
        <v>42</v>
      </c>
      <c r="L1144" s="12">
        <v>35</v>
      </c>
      <c r="M1144" s="13">
        <v>1470</v>
      </c>
      <c r="N1144" s="11" t="s">
        <v>367</v>
      </c>
      <c r="O1144" s="11" t="s">
        <v>19</v>
      </c>
      <c r="Q1144"/>
    </row>
    <row r="1145" spans="1:17" ht="15.6" x14ac:dyDescent="0.3">
      <c r="A1145" s="15">
        <v>10225</v>
      </c>
      <c r="B1145" s="14">
        <v>38039</v>
      </c>
      <c r="C1145" s="14" t="s">
        <v>351</v>
      </c>
      <c r="D1145" s="15" t="s">
        <v>212</v>
      </c>
      <c r="E1145" s="15" t="s">
        <v>213</v>
      </c>
      <c r="F1145" s="15" t="s">
        <v>214</v>
      </c>
      <c r="G1145" s="15" t="s">
        <v>25</v>
      </c>
      <c r="H1145" s="15" t="s">
        <v>32</v>
      </c>
      <c r="I1145" s="15" t="s">
        <v>34</v>
      </c>
      <c r="J1145" s="15" t="s">
        <v>246</v>
      </c>
      <c r="K1145" s="15">
        <v>24</v>
      </c>
      <c r="L1145" s="16">
        <v>80</v>
      </c>
      <c r="M1145" s="17">
        <v>1920</v>
      </c>
      <c r="N1145" s="15" t="s">
        <v>367</v>
      </c>
      <c r="O1145" s="15" t="s">
        <v>19</v>
      </c>
      <c r="Q1145"/>
    </row>
    <row r="1146" spans="1:17" ht="15.6" x14ac:dyDescent="0.3">
      <c r="A1146" s="11">
        <v>10225</v>
      </c>
      <c r="B1146" s="10">
        <v>38039</v>
      </c>
      <c r="C1146" s="10" t="s">
        <v>351</v>
      </c>
      <c r="D1146" s="11" t="s">
        <v>212</v>
      </c>
      <c r="E1146" s="11" t="s">
        <v>213</v>
      </c>
      <c r="F1146" s="11" t="s">
        <v>214</v>
      </c>
      <c r="G1146" s="11" t="s">
        <v>25</v>
      </c>
      <c r="H1146" s="11" t="s">
        <v>32</v>
      </c>
      <c r="I1146" s="11" t="s">
        <v>45</v>
      </c>
      <c r="J1146" s="11" t="s">
        <v>253</v>
      </c>
      <c r="K1146" s="11">
        <v>40</v>
      </c>
      <c r="L1146" s="12">
        <v>35</v>
      </c>
      <c r="M1146" s="13">
        <v>1400</v>
      </c>
      <c r="N1146" s="11" t="s">
        <v>367</v>
      </c>
      <c r="O1146" s="11" t="s">
        <v>19</v>
      </c>
      <c r="Q1146"/>
    </row>
    <row r="1147" spans="1:17" ht="15.6" x14ac:dyDescent="0.3">
      <c r="A1147" s="15">
        <v>10225</v>
      </c>
      <c r="B1147" s="14">
        <v>38039</v>
      </c>
      <c r="C1147" s="14" t="s">
        <v>351</v>
      </c>
      <c r="D1147" s="15" t="s">
        <v>212</v>
      </c>
      <c r="E1147" s="15" t="s">
        <v>213</v>
      </c>
      <c r="F1147" s="15" t="s">
        <v>214</v>
      </c>
      <c r="G1147" s="15" t="s">
        <v>25</v>
      </c>
      <c r="H1147" s="15" t="s">
        <v>32</v>
      </c>
      <c r="I1147" s="15" t="s">
        <v>44</v>
      </c>
      <c r="J1147" s="15" t="s">
        <v>252</v>
      </c>
      <c r="K1147" s="15">
        <v>46</v>
      </c>
      <c r="L1147" s="16">
        <v>55</v>
      </c>
      <c r="M1147" s="17">
        <v>2530</v>
      </c>
      <c r="N1147" s="15" t="s">
        <v>367</v>
      </c>
      <c r="O1147" s="15" t="s">
        <v>19</v>
      </c>
      <c r="Q1147"/>
    </row>
    <row r="1148" spans="1:17" ht="15.6" x14ac:dyDescent="0.3">
      <c r="A1148" s="11">
        <v>10226</v>
      </c>
      <c r="B1148" s="10">
        <v>38043</v>
      </c>
      <c r="C1148" s="10" t="s">
        <v>350</v>
      </c>
      <c r="D1148" s="11" t="s">
        <v>210</v>
      </c>
      <c r="E1148" s="11" t="s">
        <v>211</v>
      </c>
      <c r="F1148" s="11" t="s">
        <v>15</v>
      </c>
      <c r="G1148" s="11" t="s">
        <v>16</v>
      </c>
      <c r="H1148" s="11" t="s">
        <v>32</v>
      </c>
      <c r="I1148" s="11" t="s">
        <v>46</v>
      </c>
      <c r="J1148" s="11" t="s">
        <v>254</v>
      </c>
      <c r="K1148" s="11">
        <v>38</v>
      </c>
      <c r="L1148" s="12">
        <v>90</v>
      </c>
      <c r="M1148" s="13">
        <v>3420</v>
      </c>
      <c r="N1148" s="11" t="s">
        <v>367</v>
      </c>
      <c r="O1148" s="11" t="s">
        <v>19</v>
      </c>
      <c r="Q1148"/>
    </row>
    <row r="1149" spans="1:17" ht="15.6" x14ac:dyDescent="0.3">
      <c r="A1149" s="15">
        <v>10226</v>
      </c>
      <c r="B1149" s="14">
        <v>38043</v>
      </c>
      <c r="C1149" s="14" t="s">
        <v>350</v>
      </c>
      <c r="D1149" s="15" t="s">
        <v>210</v>
      </c>
      <c r="E1149" s="15" t="s">
        <v>211</v>
      </c>
      <c r="F1149" s="15" t="s">
        <v>15</v>
      </c>
      <c r="G1149" s="15" t="s">
        <v>16</v>
      </c>
      <c r="H1149" s="15" t="s">
        <v>32</v>
      </c>
      <c r="I1149" s="15" t="s">
        <v>46</v>
      </c>
      <c r="J1149" s="15" t="s">
        <v>254</v>
      </c>
      <c r="K1149" s="15">
        <v>24</v>
      </c>
      <c r="L1149" s="16">
        <v>90</v>
      </c>
      <c r="M1149" s="17">
        <v>2160</v>
      </c>
      <c r="N1149" s="15" t="s">
        <v>367</v>
      </c>
      <c r="O1149" s="15" t="s">
        <v>19</v>
      </c>
      <c r="Q1149"/>
    </row>
    <row r="1150" spans="1:17" ht="15.6" x14ac:dyDescent="0.3">
      <c r="A1150" s="11">
        <v>10226</v>
      </c>
      <c r="B1150" s="10">
        <v>38043</v>
      </c>
      <c r="C1150" s="10" t="s">
        <v>350</v>
      </c>
      <c r="D1150" s="11" t="s">
        <v>210</v>
      </c>
      <c r="E1150" s="11" t="s">
        <v>211</v>
      </c>
      <c r="F1150" s="11" t="s">
        <v>15</v>
      </c>
      <c r="G1150" s="11" t="s">
        <v>16</v>
      </c>
      <c r="H1150" s="11" t="s">
        <v>32</v>
      </c>
      <c r="I1150" s="11" t="s">
        <v>46</v>
      </c>
      <c r="J1150" s="11" t="s">
        <v>254</v>
      </c>
      <c r="K1150" s="11">
        <v>24</v>
      </c>
      <c r="L1150" s="12">
        <v>90</v>
      </c>
      <c r="M1150" s="13">
        <v>2160</v>
      </c>
      <c r="N1150" s="11" t="s">
        <v>367</v>
      </c>
      <c r="O1150" s="11" t="s">
        <v>19</v>
      </c>
      <c r="Q1150"/>
    </row>
    <row r="1151" spans="1:17" ht="15.6" x14ac:dyDescent="0.3">
      <c r="A1151" s="15">
        <v>10226</v>
      </c>
      <c r="B1151" s="14">
        <v>38043</v>
      </c>
      <c r="C1151" s="14" t="s">
        <v>350</v>
      </c>
      <c r="D1151" s="15" t="s">
        <v>210</v>
      </c>
      <c r="E1151" s="15" t="s">
        <v>211</v>
      </c>
      <c r="F1151" s="15" t="s">
        <v>15</v>
      </c>
      <c r="G1151" s="15" t="s">
        <v>16</v>
      </c>
      <c r="H1151" s="15" t="s">
        <v>32</v>
      </c>
      <c r="I1151" s="15" t="s">
        <v>34</v>
      </c>
      <c r="J1151" s="15" t="s">
        <v>246</v>
      </c>
      <c r="K1151" s="15">
        <v>46</v>
      </c>
      <c r="L1151" s="16">
        <v>80</v>
      </c>
      <c r="M1151" s="17">
        <v>3680</v>
      </c>
      <c r="N1151" s="15" t="s">
        <v>367</v>
      </c>
      <c r="O1151" s="15" t="s">
        <v>19</v>
      </c>
      <c r="Q1151"/>
    </row>
    <row r="1152" spans="1:17" ht="15.6" x14ac:dyDescent="0.3">
      <c r="A1152" s="11">
        <v>10226</v>
      </c>
      <c r="B1152" s="10">
        <v>38043</v>
      </c>
      <c r="C1152" s="10" t="s">
        <v>350</v>
      </c>
      <c r="D1152" s="11" t="s">
        <v>210</v>
      </c>
      <c r="E1152" s="11" t="s">
        <v>211</v>
      </c>
      <c r="F1152" s="11" t="s">
        <v>15</v>
      </c>
      <c r="G1152" s="11" t="s">
        <v>16</v>
      </c>
      <c r="H1152" s="11" t="s">
        <v>32</v>
      </c>
      <c r="I1152" s="11" t="s">
        <v>34</v>
      </c>
      <c r="J1152" s="11" t="s">
        <v>246</v>
      </c>
      <c r="K1152" s="11">
        <v>21</v>
      </c>
      <c r="L1152" s="12">
        <v>80</v>
      </c>
      <c r="M1152" s="13">
        <v>1680</v>
      </c>
      <c r="N1152" s="11" t="s">
        <v>367</v>
      </c>
      <c r="O1152" s="11" t="s">
        <v>19</v>
      </c>
      <c r="Q1152"/>
    </row>
    <row r="1153" spans="1:17" ht="15.6" x14ac:dyDescent="0.3">
      <c r="A1153" s="15">
        <v>10226</v>
      </c>
      <c r="B1153" s="14">
        <v>38043</v>
      </c>
      <c r="C1153" s="14" t="s">
        <v>350</v>
      </c>
      <c r="D1153" s="15" t="s">
        <v>210</v>
      </c>
      <c r="E1153" s="15" t="s">
        <v>211</v>
      </c>
      <c r="F1153" s="15" t="s">
        <v>15</v>
      </c>
      <c r="G1153" s="15" t="s">
        <v>16</v>
      </c>
      <c r="H1153" s="15" t="s">
        <v>32</v>
      </c>
      <c r="I1153" s="15" t="s">
        <v>33</v>
      </c>
      <c r="J1153" s="15" t="s">
        <v>245</v>
      </c>
      <c r="K1153" s="15">
        <v>36</v>
      </c>
      <c r="L1153" s="16">
        <v>85</v>
      </c>
      <c r="M1153" s="17">
        <v>3060</v>
      </c>
      <c r="N1153" s="15" t="s">
        <v>367</v>
      </c>
      <c r="O1153" s="15" t="s">
        <v>19</v>
      </c>
      <c r="Q1153"/>
    </row>
    <row r="1154" spans="1:17" ht="15.6" x14ac:dyDescent="0.3">
      <c r="A1154" s="11">
        <v>10226</v>
      </c>
      <c r="B1154" s="10">
        <v>38043</v>
      </c>
      <c r="C1154" s="10" t="s">
        <v>350</v>
      </c>
      <c r="D1154" s="11" t="s">
        <v>210</v>
      </c>
      <c r="E1154" s="11" t="s">
        <v>211</v>
      </c>
      <c r="F1154" s="11" t="s">
        <v>15</v>
      </c>
      <c r="G1154" s="11" t="s">
        <v>16</v>
      </c>
      <c r="H1154" s="11" t="s">
        <v>32</v>
      </c>
      <c r="I1154" s="11" t="s">
        <v>45</v>
      </c>
      <c r="J1154" s="11" t="s">
        <v>253</v>
      </c>
      <c r="K1154" s="11">
        <v>48</v>
      </c>
      <c r="L1154" s="12">
        <v>35</v>
      </c>
      <c r="M1154" s="13">
        <v>1680</v>
      </c>
      <c r="N1154" s="11" t="s">
        <v>367</v>
      </c>
      <c r="O1154" s="11" t="s">
        <v>19</v>
      </c>
      <c r="Q1154"/>
    </row>
    <row r="1155" spans="1:17" ht="15.6" x14ac:dyDescent="0.3">
      <c r="A1155" s="15">
        <v>10227</v>
      </c>
      <c r="B1155" s="14">
        <v>38048</v>
      </c>
      <c r="C1155" s="14" t="s">
        <v>338</v>
      </c>
      <c r="D1155" s="15" t="s">
        <v>187</v>
      </c>
      <c r="E1155" s="15" t="s">
        <v>188</v>
      </c>
      <c r="F1155" s="15" t="s">
        <v>92</v>
      </c>
      <c r="G1155" s="15" t="s">
        <v>25</v>
      </c>
      <c r="H1155" s="15" t="s">
        <v>17</v>
      </c>
      <c r="I1155" s="15" t="s">
        <v>20</v>
      </c>
      <c r="J1155" s="15" t="s">
        <v>242</v>
      </c>
      <c r="K1155" s="15">
        <v>25</v>
      </c>
      <c r="L1155" s="16">
        <v>48</v>
      </c>
      <c r="M1155" s="17">
        <v>1200</v>
      </c>
      <c r="N1155" s="15" t="s">
        <v>367</v>
      </c>
      <c r="O1155" s="15" t="s">
        <v>19</v>
      </c>
      <c r="Q1155"/>
    </row>
    <row r="1156" spans="1:17" ht="15.6" x14ac:dyDescent="0.3">
      <c r="A1156" s="11">
        <v>10227</v>
      </c>
      <c r="B1156" s="10">
        <v>38048</v>
      </c>
      <c r="C1156" s="10" t="s">
        <v>338</v>
      </c>
      <c r="D1156" s="11" t="s">
        <v>187</v>
      </c>
      <c r="E1156" s="11" t="s">
        <v>188</v>
      </c>
      <c r="F1156" s="11" t="s">
        <v>92</v>
      </c>
      <c r="G1156" s="11" t="s">
        <v>25</v>
      </c>
      <c r="H1156" s="11" t="s">
        <v>17</v>
      </c>
      <c r="I1156" s="11" t="s">
        <v>82</v>
      </c>
      <c r="J1156" s="11" t="s">
        <v>270</v>
      </c>
      <c r="K1156" s="11">
        <v>31</v>
      </c>
      <c r="L1156" s="12">
        <v>75</v>
      </c>
      <c r="M1156" s="13">
        <v>2325</v>
      </c>
      <c r="N1156" s="11" t="s">
        <v>367</v>
      </c>
      <c r="O1156" s="11" t="s">
        <v>19</v>
      </c>
      <c r="Q1156"/>
    </row>
    <row r="1157" spans="1:17" ht="15.6" x14ac:dyDescent="0.3">
      <c r="A1157" s="15">
        <v>10227</v>
      </c>
      <c r="B1157" s="14">
        <v>38048</v>
      </c>
      <c r="C1157" s="14" t="s">
        <v>338</v>
      </c>
      <c r="D1157" s="15" t="s">
        <v>187</v>
      </c>
      <c r="E1157" s="15" t="s">
        <v>188</v>
      </c>
      <c r="F1157" s="15" t="s">
        <v>92</v>
      </c>
      <c r="G1157" s="15" t="s">
        <v>25</v>
      </c>
      <c r="H1157" s="15" t="s">
        <v>17</v>
      </c>
      <c r="I1157" s="15" t="s">
        <v>20</v>
      </c>
      <c r="J1157" s="15" t="s">
        <v>242</v>
      </c>
      <c r="K1157" s="15">
        <v>26</v>
      </c>
      <c r="L1157" s="16">
        <v>48</v>
      </c>
      <c r="M1157" s="17">
        <v>1248</v>
      </c>
      <c r="N1157" s="15" t="s">
        <v>367</v>
      </c>
      <c r="O1157" s="15" t="s">
        <v>19</v>
      </c>
      <c r="Q1157"/>
    </row>
    <row r="1158" spans="1:17" ht="15.6" x14ac:dyDescent="0.3">
      <c r="A1158" s="11">
        <v>10227</v>
      </c>
      <c r="B1158" s="10">
        <v>38048</v>
      </c>
      <c r="C1158" s="10" t="s">
        <v>338</v>
      </c>
      <c r="D1158" s="11" t="s">
        <v>187</v>
      </c>
      <c r="E1158" s="11" t="s">
        <v>188</v>
      </c>
      <c r="F1158" s="11" t="s">
        <v>92</v>
      </c>
      <c r="G1158" s="11" t="s">
        <v>25</v>
      </c>
      <c r="H1158" s="11" t="s">
        <v>17</v>
      </c>
      <c r="I1158" s="11" t="s">
        <v>20</v>
      </c>
      <c r="J1158" s="11" t="s">
        <v>242</v>
      </c>
      <c r="K1158" s="11">
        <v>28</v>
      </c>
      <c r="L1158" s="12">
        <v>48</v>
      </c>
      <c r="M1158" s="13">
        <v>1344</v>
      </c>
      <c r="N1158" s="11" t="s">
        <v>367</v>
      </c>
      <c r="O1158" s="11" t="s">
        <v>19</v>
      </c>
      <c r="Q1158"/>
    </row>
    <row r="1159" spans="1:17" ht="15.6" x14ac:dyDescent="0.3">
      <c r="A1159" s="15">
        <v>10227</v>
      </c>
      <c r="B1159" s="14">
        <v>38048</v>
      </c>
      <c r="C1159" s="14" t="s">
        <v>338</v>
      </c>
      <c r="D1159" s="15" t="s">
        <v>187</v>
      </c>
      <c r="E1159" s="15" t="s">
        <v>188</v>
      </c>
      <c r="F1159" s="15" t="s">
        <v>92</v>
      </c>
      <c r="G1159" s="15" t="s">
        <v>25</v>
      </c>
      <c r="H1159" s="15" t="s">
        <v>17</v>
      </c>
      <c r="I1159" s="15" t="s">
        <v>26</v>
      </c>
      <c r="J1159" s="15" t="s">
        <v>244</v>
      </c>
      <c r="K1159" s="15">
        <v>46</v>
      </c>
      <c r="L1159" s="16">
        <v>60</v>
      </c>
      <c r="M1159" s="17">
        <v>2760</v>
      </c>
      <c r="N1159" s="15" t="s">
        <v>367</v>
      </c>
      <c r="O1159" s="15" t="s">
        <v>19</v>
      </c>
      <c r="Q1159"/>
    </row>
    <row r="1160" spans="1:17" ht="15.6" x14ac:dyDescent="0.3">
      <c r="A1160" s="11">
        <v>10227</v>
      </c>
      <c r="B1160" s="10">
        <v>38048</v>
      </c>
      <c r="C1160" s="10" t="s">
        <v>338</v>
      </c>
      <c r="D1160" s="11" t="s">
        <v>187</v>
      </c>
      <c r="E1160" s="11" t="s">
        <v>188</v>
      </c>
      <c r="F1160" s="11" t="s">
        <v>92</v>
      </c>
      <c r="G1160" s="11" t="s">
        <v>25</v>
      </c>
      <c r="H1160" s="11" t="s">
        <v>17</v>
      </c>
      <c r="I1160" s="11" t="s">
        <v>26</v>
      </c>
      <c r="J1160" s="11" t="s">
        <v>244</v>
      </c>
      <c r="K1160" s="11">
        <v>29</v>
      </c>
      <c r="L1160" s="12">
        <v>60</v>
      </c>
      <c r="M1160" s="13">
        <v>1740</v>
      </c>
      <c r="N1160" s="11" t="s">
        <v>367</v>
      </c>
      <c r="O1160" s="11" t="s">
        <v>19</v>
      </c>
      <c r="Q1160"/>
    </row>
    <row r="1161" spans="1:17" ht="15.6" x14ac:dyDescent="0.3">
      <c r="A1161" s="15">
        <v>10227</v>
      </c>
      <c r="B1161" s="14">
        <v>38048</v>
      </c>
      <c r="C1161" s="14" t="s">
        <v>338</v>
      </c>
      <c r="D1161" s="15" t="s">
        <v>187</v>
      </c>
      <c r="E1161" s="15" t="s">
        <v>188</v>
      </c>
      <c r="F1161" s="15" t="s">
        <v>92</v>
      </c>
      <c r="G1161" s="15" t="s">
        <v>25</v>
      </c>
      <c r="H1161" s="15" t="s">
        <v>17</v>
      </c>
      <c r="I1161" s="15" t="s">
        <v>18</v>
      </c>
      <c r="J1161" s="15" t="s">
        <v>241</v>
      </c>
      <c r="K1161" s="15">
        <v>33</v>
      </c>
      <c r="L1161" s="16">
        <v>30</v>
      </c>
      <c r="M1161" s="17">
        <v>990</v>
      </c>
      <c r="N1161" s="15" t="s">
        <v>367</v>
      </c>
      <c r="O1161" s="15" t="s">
        <v>19</v>
      </c>
      <c r="Q1161"/>
    </row>
    <row r="1162" spans="1:17" ht="15.6" x14ac:dyDescent="0.3">
      <c r="A1162" s="11">
        <v>10227</v>
      </c>
      <c r="B1162" s="10">
        <v>38048</v>
      </c>
      <c r="C1162" s="10" t="s">
        <v>338</v>
      </c>
      <c r="D1162" s="11" t="s">
        <v>187</v>
      </c>
      <c r="E1162" s="11" t="s">
        <v>188</v>
      </c>
      <c r="F1162" s="11" t="s">
        <v>92</v>
      </c>
      <c r="G1162" s="11" t="s">
        <v>25</v>
      </c>
      <c r="H1162" s="11" t="s">
        <v>17</v>
      </c>
      <c r="I1162" s="11" t="s">
        <v>20</v>
      </c>
      <c r="J1162" s="11" t="s">
        <v>242</v>
      </c>
      <c r="K1162" s="11">
        <v>34</v>
      </c>
      <c r="L1162" s="12">
        <v>48</v>
      </c>
      <c r="M1162" s="13">
        <v>1632</v>
      </c>
      <c r="N1162" s="11" t="s">
        <v>367</v>
      </c>
      <c r="O1162" s="11" t="s">
        <v>19</v>
      </c>
      <c r="Q1162"/>
    </row>
    <row r="1163" spans="1:17" ht="15.6" x14ac:dyDescent="0.3">
      <c r="A1163" s="15">
        <v>10227</v>
      </c>
      <c r="B1163" s="14">
        <v>38048</v>
      </c>
      <c r="C1163" s="14" t="s">
        <v>338</v>
      </c>
      <c r="D1163" s="15" t="s">
        <v>187</v>
      </c>
      <c r="E1163" s="15" t="s">
        <v>188</v>
      </c>
      <c r="F1163" s="15" t="s">
        <v>92</v>
      </c>
      <c r="G1163" s="15" t="s">
        <v>25</v>
      </c>
      <c r="H1163" s="15" t="s">
        <v>32</v>
      </c>
      <c r="I1163" s="15" t="s">
        <v>45</v>
      </c>
      <c r="J1163" s="15" t="s">
        <v>253</v>
      </c>
      <c r="K1163" s="15">
        <v>37</v>
      </c>
      <c r="L1163" s="16">
        <v>35</v>
      </c>
      <c r="M1163" s="17">
        <v>1295</v>
      </c>
      <c r="N1163" s="15" t="s">
        <v>367</v>
      </c>
      <c r="O1163" s="15" t="s">
        <v>19</v>
      </c>
      <c r="Q1163"/>
    </row>
    <row r="1164" spans="1:17" ht="15.6" x14ac:dyDescent="0.3">
      <c r="A1164" s="11">
        <v>10227</v>
      </c>
      <c r="B1164" s="10">
        <v>38048</v>
      </c>
      <c r="C1164" s="10" t="s">
        <v>338</v>
      </c>
      <c r="D1164" s="11" t="s">
        <v>187</v>
      </c>
      <c r="E1164" s="11" t="s">
        <v>188</v>
      </c>
      <c r="F1164" s="11" t="s">
        <v>92</v>
      </c>
      <c r="G1164" s="11" t="s">
        <v>25</v>
      </c>
      <c r="H1164" s="11" t="s">
        <v>17</v>
      </c>
      <c r="I1164" s="11" t="s">
        <v>20</v>
      </c>
      <c r="J1164" s="11" t="s">
        <v>242</v>
      </c>
      <c r="K1164" s="11">
        <v>42</v>
      </c>
      <c r="L1164" s="12">
        <v>48</v>
      </c>
      <c r="M1164" s="13">
        <v>2016</v>
      </c>
      <c r="N1164" s="11" t="s">
        <v>367</v>
      </c>
      <c r="O1164" s="11" t="s">
        <v>19</v>
      </c>
      <c r="Q1164"/>
    </row>
    <row r="1165" spans="1:17" ht="15.6" x14ac:dyDescent="0.3">
      <c r="A1165" s="15">
        <v>10227</v>
      </c>
      <c r="B1165" s="14">
        <v>38048</v>
      </c>
      <c r="C1165" s="14" t="s">
        <v>338</v>
      </c>
      <c r="D1165" s="15" t="s">
        <v>187</v>
      </c>
      <c r="E1165" s="15" t="s">
        <v>188</v>
      </c>
      <c r="F1165" s="15" t="s">
        <v>92</v>
      </c>
      <c r="G1165" s="15" t="s">
        <v>25</v>
      </c>
      <c r="H1165" s="15" t="s">
        <v>17</v>
      </c>
      <c r="I1165" s="15" t="s">
        <v>82</v>
      </c>
      <c r="J1165" s="15" t="s">
        <v>270</v>
      </c>
      <c r="K1165" s="15">
        <v>24</v>
      </c>
      <c r="L1165" s="16">
        <v>75</v>
      </c>
      <c r="M1165" s="17">
        <v>1800</v>
      </c>
      <c r="N1165" s="15" t="s">
        <v>367</v>
      </c>
      <c r="O1165" s="15" t="s">
        <v>19</v>
      </c>
      <c r="Q1165"/>
    </row>
    <row r="1166" spans="1:17" ht="15.6" x14ac:dyDescent="0.3">
      <c r="A1166" s="11">
        <v>10227</v>
      </c>
      <c r="B1166" s="10">
        <v>38048</v>
      </c>
      <c r="C1166" s="10" t="s">
        <v>338</v>
      </c>
      <c r="D1166" s="11" t="s">
        <v>187</v>
      </c>
      <c r="E1166" s="11" t="s">
        <v>188</v>
      </c>
      <c r="F1166" s="11" t="s">
        <v>92</v>
      </c>
      <c r="G1166" s="11" t="s">
        <v>25</v>
      </c>
      <c r="H1166" s="11" t="s">
        <v>32</v>
      </c>
      <c r="I1166" s="11" t="s">
        <v>44</v>
      </c>
      <c r="J1166" s="11" t="s">
        <v>252</v>
      </c>
      <c r="K1166" s="11">
        <v>47</v>
      </c>
      <c r="L1166" s="12">
        <v>55</v>
      </c>
      <c r="M1166" s="13">
        <v>2585</v>
      </c>
      <c r="N1166" s="11" t="s">
        <v>367</v>
      </c>
      <c r="O1166" s="11" t="s">
        <v>19</v>
      </c>
      <c r="Q1166"/>
    </row>
    <row r="1167" spans="1:17" ht="15.6" x14ac:dyDescent="0.3">
      <c r="A1167" s="15">
        <v>10227</v>
      </c>
      <c r="B1167" s="14">
        <v>38048</v>
      </c>
      <c r="C1167" s="14" t="s">
        <v>338</v>
      </c>
      <c r="D1167" s="15" t="s">
        <v>187</v>
      </c>
      <c r="E1167" s="15" t="s">
        <v>188</v>
      </c>
      <c r="F1167" s="15" t="s">
        <v>92</v>
      </c>
      <c r="G1167" s="15" t="s">
        <v>25</v>
      </c>
      <c r="H1167" s="15" t="s">
        <v>32</v>
      </c>
      <c r="I1167" s="15" t="s">
        <v>46</v>
      </c>
      <c r="J1167" s="15" t="s">
        <v>254</v>
      </c>
      <c r="K1167" s="15">
        <v>33</v>
      </c>
      <c r="L1167" s="16">
        <v>90</v>
      </c>
      <c r="M1167" s="17">
        <v>2970</v>
      </c>
      <c r="N1167" s="15" t="s">
        <v>367</v>
      </c>
      <c r="O1167" s="15" t="s">
        <v>19</v>
      </c>
      <c r="Q1167"/>
    </row>
    <row r="1168" spans="1:17" ht="15.6" x14ac:dyDescent="0.3">
      <c r="A1168" s="11">
        <v>10227</v>
      </c>
      <c r="B1168" s="10">
        <v>38048</v>
      </c>
      <c r="C1168" s="10" t="s">
        <v>338</v>
      </c>
      <c r="D1168" s="11" t="s">
        <v>187</v>
      </c>
      <c r="E1168" s="11" t="s">
        <v>188</v>
      </c>
      <c r="F1168" s="11" t="s">
        <v>92</v>
      </c>
      <c r="G1168" s="11" t="s">
        <v>25</v>
      </c>
      <c r="H1168" s="11" t="s">
        <v>32</v>
      </c>
      <c r="I1168" s="11" t="s">
        <v>33</v>
      </c>
      <c r="J1168" s="11" t="s">
        <v>245</v>
      </c>
      <c r="K1168" s="11">
        <v>40</v>
      </c>
      <c r="L1168" s="12">
        <v>85</v>
      </c>
      <c r="M1168" s="13">
        <v>3400</v>
      </c>
      <c r="N1168" s="11" t="s">
        <v>367</v>
      </c>
      <c r="O1168" s="11" t="s">
        <v>19</v>
      </c>
      <c r="Q1168"/>
    </row>
    <row r="1169" spans="1:17" ht="15.6" x14ac:dyDescent="0.3">
      <c r="A1169" s="15">
        <v>10227</v>
      </c>
      <c r="B1169" s="14">
        <v>38048</v>
      </c>
      <c r="C1169" s="14" t="s">
        <v>338</v>
      </c>
      <c r="D1169" s="15" t="s">
        <v>187</v>
      </c>
      <c r="E1169" s="15" t="s">
        <v>188</v>
      </c>
      <c r="F1169" s="15" t="s">
        <v>92</v>
      </c>
      <c r="G1169" s="15" t="s">
        <v>25</v>
      </c>
      <c r="H1169" s="15" t="s">
        <v>17</v>
      </c>
      <c r="I1169" s="15" t="s">
        <v>26</v>
      </c>
      <c r="J1169" s="15" t="s">
        <v>244</v>
      </c>
      <c r="K1169" s="15">
        <v>27</v>
      </c>
      <c r="L1169" s="16">
        <v>60</v>
      </c>
      <c r="M1169" s="17">
        <v>1620</v>
      </c>
      <c r="N1169" s="15" t="s">
        <v>367</v>
      </c>
      <c r="O1169" s="15" t="s">
        <v>19</v>
      </c>
      <c r="Q1169"/>
    </row>
    <row r="1170" spans="1:17" ht="15.6" x14ac:dyDescent="0.3">
      <c r="A1170" s="11">
        <v>10228</v>
      </c>
      <c r="B1170" s="10">
        <v>38056</v>
      </c>
      <c r="C1170" s="10" t="s">
        <v>352</v>
      </c>
      <c r="D1170" s="11" t="s">
        <v>215</v>
      </c>
      <c r="E1170" s="11" t="s">
        <v>216</v>
      </c>
      <c r="F1170" s="11" t="s">
        <v>15</v>
      </c>
      <c r="G1170" s="11" t="s">
        <v>16</v>
      </c>
      <c r="H1170" s="11" t="s">
        <v>32</v>
      </c>
      <c r="I1170" s="11" t="s">
        <v>33</v>
      </c>
      <c r="J1170" s="11" t="s">
        <v>245</v>
      </c>
      <c r="K1170" s="11">
        <v>29</v>
      </c>
      <c r="L1170" s="12">
        <v>85</v>
      </c>
      <c r="M1170" s="13">
        <v>2465</v>
      </c>
      <c r="N1170" s="11" t="s">
        <v>367</v>
      </c>
      <c r="O1170" s="11" t="s">
        <v>19</v>
      </c>
      <c r="Q1170"/>
    </row>
    <row r="1171" spans="1:17" ht="15.6" x14ac:dyDescent="0.3">
      <c r="A1171" s="15">
        <v>10228</v>
      </c>
      <c r="B1171" s="14">
        <v>38056</v>
      </c>
      <c r="C1171" s="14" t="s">
        <v>352</v>
      </c>
      <c r="D1171" s="15" t="s">
        <v>215</v>
      </c>
      <c r="E1171" s="15" t="s">
        <v>216</v>
      </c>
      <c r="F1171" s="15" t="s">
        <v>15</v>
      </c>
      <c r="G1171" s="15" t="s">
        <v>16</v>
      </c>
      <c r="H1171" s="15" t="s">
        <v>35</v>
      </c>
      <c r="I1171" s="15" t="s">
        <v>40</v>
      </c>
      <c r="J1171" s="15" t="s">
        <v>251</v>
      </c>
      <c r="K1171" s="15">
        <v>32</v>
      </c>
      <c r="L1171" s="16">
        <v>25</v>
      </c>
      <c r="M1171" s="17">
        <v>800</v>
      </c>
      <c r="N1171" s="15" t="s">
        <v>367</v>
      </c>
      <c r="O1171" s="15" t="s">
        <v>19</v>
      </c>
      <c r="Q1171"/>
    </row>
    <row r="1172" spans="1:17" ht="15.6" x14ac:dyDescent="0.3">
      <c r="A1172" s="11">
        <v>10228</v>
      </c>
      <c r="B1172" s="10">
        <v>38056</v>
      </c>
      <c r="C1172" s="10" t="s">
        <v>352</v>
      </c>
      <c r="D1172" s="11" t="s">
        <v>215</v>
      </c>
      <c r="E1172" s="11" t="s">
        <v>216</v>
      </c>
      <c r="F1172" s="11" t="s">
        <v>15</v>
      </c>
      <c r="G1172" s="11" t="s">
        <v>16</v>
      </c>
      <c r="H1172" s="11" t="s">
        <v>17</v>
      </c>
      <c r="I1172" s="11" t="s">
        <v>20</v>
      </c>
      <c r="J1172" s="11" t="s">
        <v>242</v>
      </c>
      <c r="K1172" s="11">
        <v>24</v>
      </c>
      <c r="L1172" s="12">
        <v>48</v>
      </c>
      <c r="M1172" s="13">
        <v>1152</v>
      </c>
      <c r="N1172" s="11" t="s">
        <v>367</v>
      </c>
      <c r="O1172" s="11" t="s">
        <v>19</v>
      </c>
      <c r="Q1172"/>
    </row>
    <row r="1173" spans="1:17" ht="15.6" x14ac:dyDescent="0.3">
      <c r="A1173" s="15">
        <v>10228</v>
      </c>
      <c r="B1173" s="14">
        <v>38056</v>
      </c>
      <c r="C1173" s="14" t="s">
        <v>352</v>
      </c>
      <c r="D1173" s="15" t="s">
        <v>215</v>
      </c>
      <c r="E1173" s="15" t="s">
        <v>216</v>
      </c>
      <c r="F1173" s="15" t="s">
        <v>15</v>
      </c>
      <c r="G1173" s="15" t="s">
        <v>16</v>
      </c>
      <c r="H1173" s="15" t="s">
        <v>17</v>
      </c>
      <c r="I1173" s="15" t="s">
        <v>26</v>
      </c>
      <c r="J1173" s="15" t="s">
        <v>244</v>
      </c>
      <c r="K1173" s="15">
        <v>45</v>
      </c>
      <c r="L1173" s="16">
        <v>60</v>
      </c>
      <c r="M1173" s="17">
        <v>2700</v>
      </c>
      <c r="N1173" s="15" t="s">
        <v>367</v>
      </c>
      <c r="O1173" s="15" t="s">
        <v>19</v>
      </c>
      <c r="Q1173"/>
    </row>
    <row r="1174" spans="1:17" ht="15.6" x14ac:dyDescent="0.3">
      <c r="A1174" s="11">
        <v>10228</v>
      </c>
      <c r="B1174" s="10">
        <v>38056</v>
      </c>
      <c r="C1174" s="10" t="s">
        <v>352</v>
      </c>
      <c r="D1174" s="11" t="s">
        <v>215</v>
      </c>
      <c r="E1174" s="11" t="s">
        <v>216</v>
      </c>
      <c r="F1174" s="11" t="s">
        <v>15</v>
      </c>
      <c r="G1174" s="11" t="s">
        <v>16</v>
      </c>
      <c r="H1174" s="11" t="s">
        <v>17</v>
      </c>
      <c r="I1174" s="11" t="s">
        <v>20</v>
      </c>
      <c r="J1174" s="11" t="s">
        <v>242</v>
      </c>
      <c r="K1174" s="11">
        <v>31</v>
      </c>
      <c r="L1174" s="12">
        <v>48</v>
      </c>
      <c r="M1174" s="13">
        <v>1488</v>
      </c>
      <c r="N1174" s="11" t="s">
        <v>367</v>
      </c>
      <c r="O1174" s="11" t="s">
        <v>19</v>
      </c>
      <c r="Q1174"/>
    </row>
    <row r="1175" spans="1:17" ht="15.6" x14ac:dyDescent="0.3">
      <c r="A1175" s="15">
        <v>10228</v>
      </c>
      <c r="B1175" s="14">
        <v>38056</v>
      </c>
      <c r="C1175" s="14" t="s">
        <v>352</v>
      </c>
      <c r="D1175" s="15" t="s">
        <v>215</v>
      </c>
      <c r="E1175" s="15" t="s">
        <v>216</v>
      </c>
      <c r="F1175" s="15" t="s">
        <v>15</v>
      </c>
      <c r="G1175" s="15" t="s">
        <v>16</v>
      </c>
      <c r="H1175" s="15" t="s">
        <v>17</v>
      </c>
      <c r="I1175" s="15" t="s">
        <v>20</v>
      </c>
      <c r="J1175" s="15" t="s">
        <v>242</v>
      </c>
      <c r="K1175" s="15">
        <v>33</v>
      </c>
      <c r="L1175" s="16">
        <v>48</v>
      </c>
      <c r="M1175" s="17">
        <v>1584</v>
      </c>
      <c r="N1175" s="15" t="s">
        <v>367</v>
      </c>
      <c r="O1175" s="15" t="s">
        <v>19</v>
      </c>
      <c r="Q1175"/>
    </row>
    <row r="1176" spans="1:17" ht="15.6" x14ac:dyDescent="0.3">
      <c r="A1176" s="11">
        <v>10229</v>
      </c>
      <c r="B1176" s="10">
        <v>38057</v>
      </c>
      <c r="C1176" s="10" t="s">
        <v>288</v>
      </c>
      <c r="D1176" s="11" t="s">
        <v>88</v>
      </c>
      <c r="E1176" s="11" t="s">
        <v>89</v>
      </c>
      <c r="F1176" s="11" t="s">
        <v>15</v>
      </c>
      <c r="G1176" s="11" t="s">
        <v>16</v>
      </c>
      <c r="H1176" s="11" t="s">
        <v>32</v>
      </c>
      <c r="I1176" s="11" t="s">
        <v>34</v>
      </c>
      <c r="J1176" s="11" t="s">
        <v>246</v>
      </c>
      <c r="K1176" s="11">
        <v>50</v>
      </c>
      <c r="L1176" s="12">
        <v>80</v>
      </c>
      <c r="M1176" s="13">
        <v>4000</v>
      </c>
      <c r="N1176" s="11" t="s">
        <v>368</v>
      </c>
      <c r="O1176" s="11" t="s">
        <v>19</v>
      </c>
      <c r="Q1176"/>
    </row>
    <row r="1177" spans="1:17" ht="15.6" x14ac:dyDescent="0.3">
      <c r="A1177" s="15">
        <v>10229</v>
      </c>
      <c r="B1177" s="14">
        <v>38057</v>
      </c>
      <c r="C1177" s="14" t="s">
        <v>288</v>
      </c>
      <c r="D1177" s="15" t="s">
        <v>88</v>
      </c>
      <c r="E1177" s="15" t="s">
        <v>89</v>
      </c>
      <c r="F1177" s="15" t="s">
        <v>15</v>
      </c>
      <c r="G1177" s="15" t="s">
        <v>16</v>
      </c>
      <c r="H1177" s="15" t="s">
        <v>35</v>
      </c>
      <c r="I1177" s="15" t="s">
        <v>39</v>
      </c>
      <c r="J1177" s="15" t="s">
        <v>250</v>
      </c>
      <c r="K1177" s="15">
        <v>25</v>
      </c>
      <c r="L1177" s="16">
        <v>20</v>
      </c>
      <c r="M1177" s="17">
        <v>500</v>
      </c>
      <c r="N1177" s="15" t="s">
        <v>367</v>
      </c>
      <c r="O1177" s="15" t="s">
        <v>19</v>
      </c>
      <c r="Q1177"/>
    </row>
    <row r="1178" spans="1:17" ht="15.6" x14ac:dyDescent="0.3">
      <c r="A1178" s="11">
        <v>10229</v>
      </c>
      <c r="B1178" s="10">
        <v>38057</v>
      </c>
      <c r="C1178" s="10" t="s">
        <v>288</v>
      </c>
      <c r="D1178" s="11" t="s">
        <v>88</v>
      </c>
      <c r="E1178" s="11" t="s">
        <v>89</v>
      </c>
      <c r="F1178" s="11" t="s">
        <v>15</v>
      </c>
      <c r="G1178" s="11" t="s">
        <v>16</v>
      </c>
      <c r="H1178" s="11" t="s">
        <v>35</v>
      </c>
      <c r="I1178" s="11" t="s">
        <v>38</v>
      </c>
      <c r="J1178" s="11" t="s">
        <v>249</v>
      </c>
      <c r="K1178" s="11">
        <v>36</v>
      </c>
      <c r="L1178" s="12">
        <v>20</v>
      </c>
      <c r="M1178" s="13">
        <v>720</v>
      </c>
      <c r="N1178" s="11" t="s">
        <v>367</v>
      </c>
      <c r="O1178" s="11" t="s">
        <v>19</v>
      </c>
      <c r="Q1178"/>
    </row>
    <row r="1179" spans="1:17" ht="15.6" x14ac:dyDescent="0.3">
      <c r="A1179" s="15">
        <v>10229</v>
      </c>
      <c r="B1179" s="14">
        <v>38057</v>
      </c>
      <c r="C1179" s="14" t="s">
        <v>288</v>
      </c>
      <c r="D1179" s="15" t="s">
        <v>88</v>
      </c>
      <c r="E1179" s="15" t="s">
        <v>89</v>
      </c>
      <c r="F1179" s="15" t="s">
        <v>15</v>
      </c>
      <c r="G1179" s="15" t="s">
        <v>16</v>
      </c>
      <c r="H1179" s="15" t="s">
        <v>35</v>
      </c>
      <c r="I1179" s="15" t="s">
        <v>39</v>
      </c>
      <c r="J1179" s="15" t="s">
        <v>250</v>
      </c>
      <c r="K1179" s="15">
        <v>26</v>
      </c>
      <c r="L1179" s="16">
        <v>20</v>
      </c>
      <c r="M1179" s="17">
        <v>520</v>
      </c>
      <c r="N1179" s="15" t="s">
        <v>367</v>
      </c>
      <c r="O1179" s="15" t="s">
        <v>19</v>
      </c>
      <c r="Q1179"/>
    </row>
    <row r="1180" spans="1:17" ht="15.6" x14ac:dyDescent="0.3">
      <c r="A1180" s="11">
        <v>10229</v>
      </c>
      <c r="B1180" s="10">
        <v>38057</v>
      </c>
      <c r="C1180" s="10" t="s">
        <v>288</v>
      </c>
      <c r="D1180" s="11" t="s">
        <v>88</v>
      </c>
      <c r="E1180" s="11" t="s">
        <v>89</v>
      </c>
      <c r="F1180" s="11" t="s">
        <v>15</v>
      </c>
      <c r="G1180" s="11" t="s">
        <v>16</v>
      </c>
      <c r="H1180" s="11" t="s">
        <v>35</v>
      </c>
      <c r="I1180" s="11" t="s">
        <v>39</v>
      </c>
      <c r="J1180" s="11" t="s">
        <v>250</v>
      </c>
      <c r="K1180" s="11">
        <v>28</v>
      </c>
      <c r="L1180" s="12">
        <v>20</v>
      </c>
      <c r="M1180" s="13">
        <v>560</v>
      </c>
      <c r="N1180" s="11" t="s">
        <v>367</v>
      </c>
      <c r="O1180" s="11" t="s">
        <v>19</v>
      </c>
      <c r="Q1180"/>
    </row>
    <row r="1181" spans="1:17" ht="15.6" x14ac:dyDescent="0.3">
      <c r="A1181" s="15">
        <v>10229</v>
      </c>
      <c r="B1181" s="14">
        <v>38057</v>
      </c>
      <c r="C1181" s="14" t="s">
        <v>288</v>
      </c>
      <c r="D1181" s="15" t="s">
        <v>88</v>
      </c>
      <c r="E1181" s="15" t="s">
        <v>89</v>
      </c>
      <c r="F1181" s="15" t="s">
        <v>15</v>
      </c>
      <c r="G1181" s="15" t="s">
        <v>16</v>
      </c>
      <c r="H1181" s="15" t="s">
        <v>32</v>
      </c>
      <c r="I1181" s="15" t="s">
        <v>34</v>
      </c>
      <c r="J1181" s="15" t="s">
        <v>246</v>
      </c>
      <c r="K1181" s="15">
        <v>22</v>
      </c>
      <c r="L1181" s="16">
        <v>80</v>
      </c>
      <c r="M1181" s="17">
        <v>1760</v>
      </c>
      <c r="N1181" s="15" t="s">
        <v>367</v>
      </c>
      <c r="O1181" s="15" t="s">
        <v>19</v>
      </c>
      <c r="Q1181"/>
    </row>
    <row r="1182" spans="1:17" ht="15.6" x14ac:dyDescent="0.3">
      <c r="A1182" s="11">
        <v>10229</v>
      </c>
      <c r="B1182" s="10">
        <v>38057</v>
      </c>
      <c r="C1182" s="10" t="s">
        <v>288</v>
      </c>
      <c r="D1182" s="11" t="s">
        <v>88</v>
      </c>
      <c r="E1182" s="11" t="s">
        <v>89</v>
      </c>
      <c r="F1182" s="11" t="s">
        <v>15</v>
      </c>
      <c r="G1182" s="11" t="s">
        <v>16</v>
      </c>
      <c r="H1182" s="11" t="s">
        <v>35</v>
      </c>
      <c r="I1182" s="11" t="s">
        <v>40</v>
      </c>
      <c r="J1182" s="11" t="s">
        <v>251</v>
      </c>
      <c r="K1182" s="11">
        <v>41</v>
      </c>
      <c r="L1182" s="12">
        <v>25</v>
      </c>
      <c r="M1182" s="13">
        <v>1025</v>
      </c>
      <c r="N1182" s="11" t="s">
        <v>367</v>
      </c>
      <c r="O1182" s="11" t="s">
        <v>19</v>
      </c>
      <c r="Q1182"/>
    </row>
    <row r="1183" spans="1:17" ht="15.6" x14ac:dyDescent="0.3">
      <c r="A1183" s="15">
        <v>10229</v>
      </c>
      <c r="B1183" s="14">
        <v>38057</v>
      </c>
      <c r="C1183" s="14" t="s">
        <v>288</v>
      </c>
      <c r="D1183" s="15" t="s">
        <v>88</v>
      </c>
      <c r="E1183" s="15" t="s">
        <v>89</v>
      </c>
      <c r="F1183" s="15" t="s">
        <v>15</v>
      </c>
      <c r="G1183" s="15" t="s">
        <v>16</v>
      </c>
      <c r="H1183" s="15" t="s">
        <v>17</v>
      </c>
      <c r="I1183" s="15" t="s">
        <v>20</v>
      </c>
      <c r="J1183" s="15" t="s">
        <v>242</v>
      </c>
      <c r="K1183" s="15">
        <v>39</v>
      </c>
      <c r="L1183" s="16">
        <v>48</v>
      </c>
      <c r="M1183" s="17">
        <v>1872</v>
      </c>
      <c r="N1183" s="15" t="s">
        <v>367</v>
      </c>
      <c r="O1183" s="15" t="s">
        <v>19</v>
      </c>
      <c r="Q1183"/>
    </row>
    <row r="1184" spans="1:17" ht="15.6" x14ac:dyDescent="0.3">
      <c r="A1184" s="11">
        <v>10229</v>
      </c>
      <c r="B1184" s="10">
        <v>38057</v>
      </c>
      <c r="C1184" s="10" t="s">
        <v>288</v>
      </c>
      <c r="D1184" s="11" t="s">
        <v>88</v>
      </c>
      <c r="E1184" s="11" t="s">
        <v>89</v>
      </c>
      <c r="F1184" s="11" t="s">
        <v>15</v>
      </c>
      <c r="G1184" s="11" t="s">
        <v>16</v>
      </c>
      <c r="H1184" s="11" t="s">
        <v>35</v>
      </c>
      <c r="I1184" s="11" t="s">
        <v>38</v>
      </c>
      <c r="J1184" s="11" t="s">
        <v>249</v>
      </c>
      <c r="K1184" s="11">
        <v>48</v>
      </c>
      <c r="L1184" s="12">
        <v>20</v>
      </c>
      <c r="M1184" s="13">
        <v>960</v>
      </c>
      <c r="N1184" s="11" t="s">
        <v>367</v>
      </c>
      <c r="O1184" s="11" t="s">
        <v>19</v>
      </c>
      <c r="Q1184"/>
    </row>
    <row r="1185" spans="1:17" ht="15.6" x14ac:dyDescent="0.3">
      <c r="A1185" s="15">
        <v>10229</v>
      </c>
      <c r="B1185" s="14">
        <v>38057</v>
      </c>
      <c r="C1185" s="14" t="s">
        <v>288</v>
      </c>
      <c r="D1185" s="15" t="s">
        <v>88</v>
      </c>
      <c r="E1185" s="15" t="s">
        <v>89</v>
      </c>
      <c r="F1185" s="15" t="s">
        <v>15</v>
      </c>
      <c r="G1185" s="15" t="s">
        <v>16</v>
      </c>
      <c r="H1185" s="15" t="s">
        <v>32</v>
      </c>
      <c r="I1185" s="15" t="s">
        <v>34</v>
      </c>
      <c r="J1185" s="15" t="s">
        <v>246</v>
      </c>
      <c r="K1185" s="15">
        <v>33</v>
      </c>
      <c r="L1185" s="16">
        <v>80</v>
      </c>
      <c r="M1185" s="17">
        <v>2640</v>
      </c>
      <c r="N1185" s="15" t="s">
        <v>367</v>
      </c>
      <c r="O1185" s="15" t="s">
        <v>19</v>
      </c>
      <c r="Q1185"/>
    </row>
    <row r="1186" spans="1:17" ht="15.6" x14ac:dyDescent="0.3">
      <c r="A1186" s="11">
        <v>10229</v>
      </c>
      <c r="B1186" s="10">
        <v>38057</v>
      </c>
      <c r="C1186" s="10" t="s">
        <v>288</v>
      </c>
      <c r="D1186" s="11" t="s">
        <v>88</v>
      </c>
      <c r="E1186" s="11" t="s">
        <v>89</v>
      </c>
      <c r="F1186" s="11" t="s">
        <v>15</v>
      </c>
      <c r="G1186" s="11" t="s">
        <v>16</v>
      </c>
      <c r="H1186" s="11" t="s">
        <v>35</v>
      </c>
      <c r="I1186" s="11" t="s">
        <v>37</v>
      </c>
      <c r="J1186" s="11" t="s">
        <v>248</v>
      </c>
      <c r="K1186" s="11">
        <v>25</v>
      </c>
      <c r="L1186" s="12">
        <v>30</v>
      </c>
      <c r="M1186" s="13">
        <v>750</v>
      </c>
      <c r="N1186" s="11" t="s">
        <v>367</v>
      </c>
      <c r="O1186" s="11" t="s">
        <v>19</v>
      </c>
      <c r="Q1186"/>
    </row>
    <row r="1187" spans="1:17" ht="15.6" x14ac:dyDescent="0.3">
      <c r="A1187" s="15">
        <v>10229</v>
      </c>
      <c r="B1187" s="14">
        <v>38057</v>
      </c>
      <c r="C1187" s="14" t="s">
        <v>288</v>
      </c>
      <c r="D1187" s="15" t="s">
        <v>88</v>
      </c>
      <c r="E1187" s="15" t="s">
        <v>89</v>
      </c>
      <c r="F1187" s="15" t="s">
        <v>15</v>
      </c>
      <c r="G1187" s="15" t="s">
        <v>16</v>
      </c>
      <c r="H1187" s="15" t="s">
        <v>35</v>
      </c>
      <c r="I1187" s="15" t="s">
        <v>37</v>
      </c>
      <c r="J1187" s="15" t="s">
        <v>248</v>
      </c>
      <c r="K1187" s="15">
        <v>23</v>
      </c>
      <c r="L1187" s="16">
        <v>30</v>
      </c>
      <c r="M1187" s="17">
        <v>690</v>
      </c>
      <c r="N1187" s="15" t="s">
        <v>367</v>
      </c>
      <c r="O1187" s="15" t="s">
        <v>19</v>
      </c>
      <c r="Q1187"/>
    </row>
    <row r="1188" spans="1:17" ht="15.6" x14ac:dyDescent="0.3">
      <c r="A1188" s="11">
        <v>10229</v>
      </c>
      <c r="B1188" s="10">
        <v>38057</v>
      </c>
      <c r="C1188" s="10" t="s">
        <v>288</v>
      </c>
      <c r="D1188" s="11" t="s">
        <v>88</v>
      </c>
      <c r="E1188" s="11" t="s">
        <v>89</v>
      </c>
      <c r="F1188" s="11" t="s">
        <v>15</v>
      </c>
      <c r="G1188" s="11" t="s">
        <v>16</v>
      </c>
      <c r="H1188" s="11" t="s">
        <v>35</v>
      </c>
      <c r="I1188" s="11" t="s">
        <v>38</v>
      </c>
      <c r="J1188" s="11" t="s">
        <v>249</v>
      </c>
      <c r="K1188" s="11">
        <v>30</v>
      </c>
      <c r="L1188" s="12">
        <v>20</v>
      </c>
      <c r="M1188" s="13">
        <v>600</v>
      </c>
      <c r="N1188" s="11" t="s">
        <v>367</v>
      </c>
      <c r="O1188" s="11" t="s">
        <v>19</v>
      </c>
      <c r="Q1188"/>
    </row>
    <row r="1189" spans="1:17" ht="15.6" x14ac:dyDescent="0.3">
      <c r="A1189" s="15">
        <v>10229</v>
      </c>
      <c r="B1189" s="14">
        <v>38057</v>
      </c>
      <c r="C1189" s="14" t="s">
        <v>288</v>
      </c>
      <c r="D1189" s="15" t="s">
        <v>88</v>
      </c>
      <c r="E1189" s="15" t="s">
        <v>89</v>
      </c>
      <c r="F1189" s="15" t="s">
        <v>15</v>
      </c>
      <c r="G1189" s="15" t="s">
        <v>16</v>
      </c>
      <c r="H1189" s="15" t="s">
        <v>32</v>
      </c>
      <c r="I1189" s="15" t="s">
        <v>34</v>
      </c>
      <c r="J1189" s="15" t="s">
        <v>246</v>
      </c>
      <c r="K1189" s="15">
        <v>50</v>
      </c>
      <c r="L1189" s="16">
        <v>80</v>
      </c>
      <c r="M1189" s="17">
        <v>4000</v>
      </c>
      <c r="N1189" s="15" t="s">
        <v>368</v>
      </c>
      <c r="O1189" s="15" t="s">
        <v>19</v>
      </c>
      <c r="Q1189"/>
    </row>
    <row r="1190" spans="1:17" ht="15.6" x14ac:dyDescent="0.3">
      <c r="A1190" s="11">
        <v>10230</v>
      </c>
      <c r="B1190" s="10">
        <v>38061</v>
      </c>
      <c r="C1190" s="10" t="s">
        <v>276</v>
      </c>
      <c r="D1190" s="11" t="s">
        <v>22</v>
      </c>
      <c r="E1190" s="11" t="s">
        <v>23</v>
      </c>
      <c r="F1190" s="11" t="s">
        <v>24</v>
      </c>
      <c r="G1190" s="11" t="s">
        <v>25</v>
      </c>
      <c r="H1190" s="11" t="s">
        <v>32</v>
      </c>
      <c r="I1190" s="11" t="s">
        <v>45</v>
      </c>
      <c r="J1190" s="11" t="s">
        <v>253</v>
      </c>
      <c r="K1190" s="11">
        <v>43</v>
      </c>
      <c r="L1190" s="12">
        <v>35</v>
      </c>
      <c r="M1190" s="13">
        <v>1505</v>
      </c>
      <c r="N1190" s="11" t="s">
        <v>367</v>
      </c>
      <c r="O1190" s="11" t="s">
        <v>19</v>
      </c>
      <c r="Q1190"/>
    </row>
    <row r="1191" spans="1:17" ht="15.6" x14ac:dyDescent="0.3">
      <c r="A1191" s="15">
        <v>10230</v>
      </c>
      <c r="B1191" s="14">
        <v>38061</v>
      </c>
      <c r="C1191" s="14" t="s">
        <v>276</v>
      </c>
      <c r="D1191" s="15" t="s">
        <v>22</v>
      </c>
      <c r="E1191" s="15" t="s">
        <v>23</v>
      </c>
      <c r="F1191" s="15" t="s">
        <v>24</v>
      </c>
      <c r="G1191" s="15" t="s">
        <v>25</v>
      </c>
      <c r="H1191" s="15" t="s">
        <v>32</v>
      </c>
      <c r="I1191" s="15" t="s">
        <v>46</v>
      </c>
      <c r="J1191" s="15" t="s">
        <v>254</v>
      </c>
      <c r="K1191" s="15">
        <v>49</v>
      </c>
      <c r="L1191" s="16">
        <v>90</v>
      </c>
      <c r="M1191" s="17">
        <v>4410</v>
      </c>
      <c r="N1191" s="15" t="s">
        <v>367</v>
      </c>
      <c r="O1191" s="15" t="s">
        <v>19</v>
      </c>
      <c r="Q1191"/>
    </row>
    <row r="1192" spans="1:17" ht="15.6" x14ac:dyDescent="0.3">
      <c r="A1192" s="11">
        <v>10230</v>
      </c>
      <c r="B1192" s="10">
        <v>38061</v>
      </c>
      <c r="C1192" s="10" t="s">
        <v>276</v>
      </c>
      <c r="D1192" s="11" t="s">
        <v>22</v>
      </c>
      <c r="E1192" s="11" t="s">
        <v>23</v>
      </c>
      <c r="F1192" s="11" t="s">
        <v>24</v>
      </c>
      <c r="G1192" s="11" t="s">
        <v>25</v>
      </c>
      <c r="H1192" s="11" t="s">
        <v>32</v>
      </c>
      <c r="I1192" s="11" t="s">
        <v>44</v>
      </c>
      <c r="J1192" s="11" t="s">
        <v>252</v>
      </c>
      <c r="K1192" s="11">
        <v>42</v>
      </c>
      <c r="L1192" s="12">
        <v>55</v>
      </c>
      <c r="M1192" s="13">
        <v>2310</v>
      </c>
      <c r="N1192" s="11" t="s">
        <v>367</v>
      </c>
      <c r="O1192" s="11" t="s">
        <v>19</v>
      </c>
      <c r="Q1192"/>
    </row>
    <row r="1193" spans="1:17" ht="15.6" x14ac:dyDescent="0.3">
      <c r="A1193" s="15">
        <v>10230</v>
      </c>
      <c r="B1193" s="14">
        <v>38061</v>
      </c>
      <c r="C1193" s="14" t="s">
        <v>276</v>
      </c>
      <c r="D1193" s="15" t="s">
        <v>22</v>
      </c>
      <c r="E1193" s="15" t="s">
        <v>23</v>
      </c>
      <c r="F1193" s="15" t="s">
        <v>24</v>
      </c>
      <c r="G1193" s="15" t="s">
        <v>25</v>
      </c>
      <c r="H1193" s="15" t="s">
        <v>32</v>
      </c>
      <c r="I1193" s="15" t="s">
        <v>33</v>
      </c>
      <c r="J1193" s="15" t="s">
        <v>245</v>
      </c>
      <c r="K1193" s="15">
        <v>36</v>
      </c>
      <c r="L1193" s="16">
        <v>85</v>
      </c>
      <c r="M1193" s="17">
        <v>3060</v>
      </c>
      <c r="N1193" s="15" t="s">
        <v>367</v>
      </c>
      <c r="O1193" s="15" t="s">
        <v>19</v>
      </c>
      <c r="Q1193"/>
    </row>
    <row r="1194" spans="1:17" ht="15.6" x14ac:dyDescent="0.3">
      <c r="A1194" s="11">
        <v>10230</v>
      </c>
      <c r="B1194" s="10">
        <v>38061</v>
      </c>
      <c r="C1194" s="10" t="s">
        <v>276</v>
      </c>
      <c r="D1194" s="11" t="s">
        <v>22</v>
      </c>
      <c r="E1194" s="11" t="s">
        <v>23</v>
      </c>
      <c r="F1194" s="11" t="s">
        <v>24</v>
      </c>
      <c r="G1194" s="11" t="s">
        <v>25</v>
      </c>
      <c r="H1194" s="11" t="s">
        <v>32</v>
      </c>
      <c r="I1194" s="11" t="s">
        <v>44</v>
      </c>
      <c r="J1194" s="11" t="s">
        <v>252</v>
      </c>
      <c r="K1194" s="11">
        <v>45</v>
      </c>
      <c r="L1194" s="12">
        <v>55</v>
      </c>
      <c r="M1194" s="13">
        <v>2475</v>
      </c>
      <c r="N1194" s="11" t="s">
        <v>367</v>
      </c>
      <c r="O1194" s="11" t="s">
        <v>19</v>
      </c>
      <c r="Q1194"/>
    </row>
    <row r="1195" spans="1:17" ht="15.6" x14ac:dyDescent="0.3">
      <c r="A1195" s="15">
        <v>10230</v>
      </c>
      <c r="B1195" s="14">
        <v>38061</v>
      </c>
      <c r="C1195" s="14" t="s">
        <v>276</v>
      </c>
      <c r="D1195" s="15" t="s">
        <v>22</v>
      </c>
      <c r="E1195" s="15" t="s">
        <v>23</v>
      </c>
      <c r="F1195" s="15" t="s">
        <v>24</v>
      </c>
      <c r="G1195" s="15" t="s">
        <v>25</v>
      </c>
      <c r="H1195" s="15" t="s">
        <v>47</v>
      </c>
      <c r="I1195" s="15" t="s">
        <v>48</v>
      </c>
      <c r="J1195" s="15" t="s">
        <v>255</v>
      </c>
      <c r="K1195" s="15">
        <v>46</v>
      </c>
      <c r="L1195" s="16">
        <v>70</v>
      </c>
      <c r="M1195" s="17">
        <v>3220</v>
      </c>
      <c r="N1195" s="15" t="s">
        <v>367</v>
      </c>
      <c r="O1195" s="15" t="s">
        <v>19</v>
      </c>
      <c r="Q1195"/>
    </row>
    <row r="1196" spans="1:17" ht="15.6" x14ac:dyDescent="0.3">
      <c r="A1196" s="11">
        <v>10230</v>
      </c>
      <c r="B1196" s="10">
        <v>38061</v>
      </c>
      <c r="C1196" s="10" t="s">
        <v>276</v>
      </c>
      <c r="D1196" s="11" t="s">
        <v>22</v>
      </c>
      <c r="E1196" s="11" t="s">
        <v>23</v>
      </c>
      <c r="F1196" s="11" t="s">
        <v>24</v>
      </c>
      <c r="G1196" s="11" t="s">
        <v>25</v>
      </c>
      <c r="H1196" s="11" t="s">
        <v>35</v>
      </c>
      <c r="I1196" s="11" t="s">
        <v>40</v>
      </c>
      <c r="J1196" s="11" t="s">
        <v>251</v>
      </c>
      <c r="K1196" s="11">
        <v>34</v>
      </c>
      <c r="L1196" s="12">
        <v>25</v>
      </c>
      <c r="M1196" s="13">
        <v>850</v>
      </c>
      <c r="N1196" s="11" t="s">
        <v>367</v>
      </c>
      <c r="O1196" s="11" t="s">
        <v>19</v>
      </c>
      <c r="Q1196"/>
    </row>
    <row r="1197" spans="1:17" ht="15.6" x14ac:dyDescent="0.3">
      <c r="A1197" s="15">
        <v>10230</v>
      </c>
      <c r="B1197" s="14">
        <v>38061</v>
      </c>
      <c r="C1197" s="14" t="s">
        <v>276</v>
      </c>
      <c r="D1197" s="15" t="s">
        <v>22</v>
      </c>
      <c r="E1197" s="15" t="s">
        <v>23</v>
      </c>
      <c r="F1197" s="15" t="s">
        <v>24</v>
      </c>
      <c r="G1197" s="15" t="s">
        <v>25</v>
      </c>
      <c r="H1197" s="15" t="s">
        <v>47</v>
      </c>
      <c r="I1197" s="15" t="s">
        <v>53</v>
      </c>
      <c r="J1197" s="15" t="s">
        <v>257</v>
      </c>
      <c r="K1197" s="15">
        <v>43</v>
      </c>
      <c r="L1197" s="16">
        <v>90</v>
      </c>
      <c r="M1197" s="17">
        <v>3870</v>
      </c>
      <c r="N1197" s="15" t="s">
        <v>367</v>
      </c>
      <c r="O1197" s="15" t="s">
        <v>19</v>
      </c>
      <c r="Q1197"/>
    </row>
    <row r="1198" spans="1:17" ht="15.6" x14ac:dyDescent="0.3">
      <c r="A1198" s="11">
        <v>10231</v>
      </c>
      <c r="B1198" s="10">
        <v>38065</v>
      </c>
      <c r="C1198" s="10" t="s">
        <v>330</v>
      </c>
      <c r="D1198" s="11" t="s">
        <v>174</v>
      </c>
      <c r="E1198" s="11" t="s">
        <v>42</v>
      </c>
      <c r="F1198" s="11" t="s">
        <v>43</v>
      </c>
      <c r="G1198" s="11" t="s">
        <v>25</v>
      </c>
      <c r="H1198" s="11" t="s">
        <v>32</v>
      </c>
      <c r="I1198" s="11" t="s">
        <v>34</v>
      </c>
      <c r="J1198" s="11" t="s">
        <v>246</v>
      </c>
      <c r="K1198" s="11">
        <v>42</v>
      </c>
      <c r="L1198" s="12">
        <v>80</v>
      </c>
      <c r="M1198" s="13">
        <v>3360</v>
      </c>
      <c r="N1198" s="11" t="s">
        <v>367</v>
      </c>
      <c r="O1198" s="11" t="s">
        <v>19</v>
      </c>
      <c r="Q1198"/>
    </row>
    <row r="1199" spans="1:17" ht="15.6" x14ac:dyDescent="0.3">
      <c r="A1199" s="15">
        <v>10231</v>
      </c>
      <c r="B1199" s="14">
        <v>38065</v>
      </c>
      <c r="C1199" s="14" t="s">
        <v>330</v>
      </c>
      <c r="D1199" s="15" t="s">
        <v>174</v>
      </c>
      <c r="E1199" s="15" t="s">
        <v>42</v>
      </c>
      <c r="F1199" s="15" t="s">
        <v>43</v>
      </c>
      <c r="G1199" s="15" t="s">
        <v>25</v>
      </c>
      <c r="H1199" s="15" t="s">
        <v>32</v>
      </c>
      <c r="I1199" s="15" t="s">
        <v>45</v>
      </c>
      <c r="J1199" s="15" t="s">
        <v>253</v>
      </c>
      <c r="K1199" s="15">
        <v>49</v>
      </c>
      <c r="L1199" s="16">
        <v>35</v>
      </c>
      <c r="M1199" s="17">
        <v>1715</v>
      </c>
      <c r="N1199" s="15" t="s">
        <v>367</v>
      </c>
      <c r="O1199" s="15" t="s">
        <v>19</v>
      </c>
      <c r="Q1199"/>
    </row>
    <row r="1200" spans="1:17" ht="15.6" x14ac:dyDescent="0.3">
      <c r="A1200" s="11">
        <v>10232</v>
      </c>
      <c r="B1200" s="10">
        <v>38066</v>
      </c>
      <c r="C1200" s="10" t="s">
        <v>353</v>
      </c>
      <c r="D1200" s="11" t="s">
        <v>217</v>
      </c>
      <c r="E1200" s="11" t="s">
        <v>218</v>
      </c>
      <c r="F1200" s="11" t="s">
        <v>81</v>
      </c>
      <c r="G1200" s="11" t="s">
        <v>25</v>
      </c>
      <c r="H1200" s="11" t="s">
        <v>17</v>
      </c>
      <c r="I1200" s="11" t="s">
        <v>52</v>
      </c>
      <c r="J1200" s="11" t="s">
        <v>256</v>
      </c>
      <c r="K1200" s="11">
        <v>22</v>
      </c>
      <c r="L1200" s="12">
        <v>45</v>
      </c>
      <c r="M1200" s="13">
        <v>990</v>
      </c>
      <c r="N1200" s="11" t="s">
        <v>367</v>
      </c>
      <c r="O1200" s="11" t="s">
        <v>19</v>
      </c>
      <c r="Q1200"/>
    </row>
    <row r="1201" spans="1:17" ht="15.6" x14ac:dyDescent="0.3">
      <c r="A1201" s="15">
        <v>10232</v>
      </c>
      <c r="B1201" s="14">
        <v>38066</v>
      </c>
      <c r="C1201" s="14" t="s">
        <v>353</v>
      </c>
      <c r="D1201" s="15" t="s">
        <v>217</v>
      </c>
      <c r="E1201" s="15" t="s">
        <v>218</v>
      </c>
      <c r="F1201" s="15" t="s">
        <v>81</v>
      </c>
      <c r="G1201" s="15" t="s">
        <v>25</v>
      </c>
      <c r="H1201" s="15" t="s">
        <v>47</v>
      </c>
      <c r="I1201" s="15" t="s">
        <v>119</v>
      </c>
      <c r="J1201" s="15" t="s">
        <v>272</v>
      </c>
      <c r="K1201" s="15">
        <v>48</v>
      </c>
      <c r="L1201" s="16">
        <v>60</v>
      </c>
      <c r="M1201" s="17">
        <v>2880</v>
      </c>
      <c r="N1201" s="15" t="s">
        <v>367</v>
      </c>
      <c r="O1201" s="15" t="s">
        <v>19</v>
      </c>
      <c r="Q1201"/>
    </row>
    <row r="1202" spans="1:17" ht="15.6" x14ac:dyDescent="0.3">
      <c r="A1202" s="11">
        <v>10232</v>
      </c>
      <c r="B1202" s="10">
        <v>38066</v>
      </c>
      <c r="C1202" s="10" t="s">
        <v>353</v>
      </c>
      <c r="D1202" s="11" t="s">
        <v>217</v>
      </c>
      <c r="E1202" s="11" t="s">
        <v>218</v>
      </c>
      <c r="F1202" s="11" t="s">
        <v>81</v>
      </c>
      <c r="G1202" s="11" t="s">
        <v>25</v>
      </c>
      <c r="H1202" s="11" t="s">
        <v>17</v>
      </c>
      <c r="I1202" s="11" t="s">
        <v>20</v>
      </c>
      <c r="J1202" s="11" t="s">
        <v>242</v>
      </c>
      <c r="K1202" s="11">
        <v>23</v>
      </c>
      <c r="L1202" s="12">
        <v>48</v>
      </c>
      <c r="M1202" s="13">
        <v>1104</v>
      </c>
      <c r="N1202" s="11" t="s">
        <v>367</v>
      </c>
      <c r="O1202" s="11" t="s">
        <v>19</v>
      </c>
      <c r="Q1202"/>
    </row>
    <row r="1203" spans="1:17" ht="15.6" x14ac:dyDescent="0.3">
      <c r="A1203" s="15">
        <v>10232</v>
      </c>
      <c r="B1203" s="14">
        <v>38066</v>
      </c>
      <c r="C1203" s="14" t="s">
        <v>353</v>
      </c>
      <c r="D1203" s="15" t="s">
        <v>217</v>
      </c>
      <c r="E1203" s="15" t="s">
        <v>218</v>
      </c>
      <c r="F1203" s="15" t="s">
        <v>81</v>
      </c>
      <c r="G1203" s="15" t="s">
        <v>25</v>
      </c>
      <c r="H1203" s="15" t="s">
        <v>54</v>
      </c>
      <c r="I1203" s="15" t="s">
        <v>57</v>
      </c>
      <c r="J1203" s="15" t="s">
        <v>260</v>
      </c>
      <c r="K1203" s="15">
        <v>46</v>
      </c>
      <c r="L1203" s="16">
        <v>220</v>
      </c>
      <c r="M1203" s="17">
        <v>10120</v>
      </c>
      <c r="N1203" s="15" t="s">
        <v>367</v>
      </c>
      <c r="O1203" s="15" t="s">
        <v>19</v>
      </c>
      <c r="Q1203"/>
    </row>
    <row r="1204" spans="1:17" ht="15.6" x14ac:dyDescent="0.3">
      <c r="A1204" s="11">
        <v>10232</v>
      </c>
      <c r="B1204" s="10">
        <v>38066</v>
      </c>
      <c r="C1204" s="10" t="s">
        <v>353</v>
      </c>
      <c r="D1204" s="11" t="s">
        <v>217</v>
      </c>
      <c r="E1204" s="11" t="s">
        <v>218</v>
      </c>
      <c r="F1204" s="11" t="s">
        <v>81</v>
      </c>
      <c r="G1204" s="11" t="s">
        <v>25</v>
      </c>
      <c r="H1204" s="11" t="s">
        <v>54</v>
      </c>
      <c r="I1204" s="11" t="s">
        <v>55</v>
      </c>
      <c r="J1204" s="11" t="s">
        <v>258</v>
      </c>
      <c r="K1204" s="11">
        <v>26</v>
      </c>
      <c r="L1204" s="12">
        <v>180</v>
      </c>
      <c r="M1204" s="13">
        <v>4680</v>
      </c>
      <c r="N1204" s="11" t="s">
        <v>367</v>
      </c>
      <c r="O1204" s="11" t="s">
        <v>19</v>
      </c>
      <c r="Q1204"/>
    </row>
    <row r="1205" spans="1:17" ht="15.6" x14ac:dyDescent="0.3">
      <c r="A1205" s="15">
        <v>10232</v>
      </c>
      <c r="B1205" s="14">
        <v>38066</v>
      </c>
      <c r="C1205" s="14" t="s">
        <v>353</v>
      </c>
      <c r="D1205" s="15" t="s">
        <v>217</v>
      </c>
      <c r="E1205" s="15" t="s">
        <v>218</v>
      </c>
      <c r="F1205" s="15" t="s">
        <v>81</v>
      </c>
      <c r="G1205" s="15" t="s">
        <v>25</v>
      </c>
      <c r="H1205" s="15" t="s">
        <v>54</v>
      </c>
      <c r="I1205" s="15" t="s">
        <v>57</v>
      </c>
      <c r="J1205" s="15" t="s">
        <v>260</v>
      </c>
      <c r="K1205" s="15">
        <v>48</v>
      </c>
      <c r="L1205" s="16">
        <v>220</v>
      </c>
      <c r="M1205" s="17">
        <v>10560</v>
      </c>
      <c r="N1205" s="15" t="s">
        <v>367</v>
      </c>
      <c r="O1205" s="15" t="s">
        <v>19</v>
      </c>
      <c r="Q1205"/>
    </row>
    <row r="1206" spans="1:17" ht="15.6" x14ac:dyDescent="0.3">
      <c r="A1206" s="11">
        <v>10232</v>
      </c>
      <c r="B1206" s="10">
        <v>38066</v>
      </c>
      <c r="C1206" s="10" t="s">
        <v>353</v>
      </c>
      <c r="D1206" s="11" t="s">
        <v>217</v>
      </c>
      <c r="E1206" s="11" t="s">
        <v>218</v>
      </c>
      <c r="F1206" s="11" t="s">
        <v>81</v>
      </c>
      <c r="G1206" s="11" t="s">
        <v>25</v>
      </c>
      <c r="H1206" s="11" t="s">
        <v>54</v>
      </c>
      <c r="I1206" s="11" t="s">
        <v>55</v>
      </c>
      <c r="J1206" s="11" t="s">
        <v>258</v>
      </c>
      <c r="K1206" s="11">
        <v>35</v>
      </c>
      <c r="L1206" s="12">
        <v>180</v>
      </c>
      <c r="M1206" s="13">
        <v>6300</v>
      </c>
      <c r="N1206" s="11" t="s">
        <v>367</v>
      </c>
      <c r="O1206" s="11" t="s">
        <v>19</v>
      </c>
      <c r="Q1206"/>
    </row>
    <row r="1207" spans="1:17" ht="15.6" x14ac:dyDescent="0.3">
      <c r="A1207" s="15">
        <v>10232</v>
      </c>
      <c r="B1207" s="14">
        <v>38066</v>
      </c>
      <c r="C1207" s="14" t="s">
        <v>353</v>
      </c>
      <c r="D1207" s="15" t="s">
        <v>217</v>
      </c>
      <c r="E1207" s="15" t="s">
        <v>218</v>
      </c>
      <c r="F1207" s="15" t="s">
        <v>81</v>
      </c>
      <c r="G1207" s="15" t="s">
        <v>25</v>
      </c>
      <c r="H1207" s="15" t="s">
        <v>54</v>
      </c>
      <c r="I1207" s="15" t="s">
        <v>56</v>
      </c>
      <c r="J1207" s="15" t="s">
        <v>259</v>
      </c>
      <c r="K1207" s="15">
        <v>24</v>
      </c>
      <c r="L1207" s="16">
        <v>250</v>
      </c>
      <c r="M1207" s="17">
        <v>6000</v>
      </c>
      <c r="N1207" s="15" t="s">
        <v>367</v>
      </c>
      <c r="O1207" s="15" t="s">
        <v>19</v>
      </c>
      <c r="Q1207"/>
    </row>
    <row r="1208" spans="1:17" ht="15.6" x14ac:dyDescent="0.3">
      <c r="A1208" s="11">
        <v>10233</v>
      </c>
      <c r="B1208" s="10">
        <v>38075</v>
      </c>
      <c r="C1208" s="10" t="s">
        <v>354</v>
      </c>
      <c r="D1208" s="11" t="s">
        <v>219</v>
      </c>
      <c r="E1208" s="11" t="s">
        <v>220</v>
      </c>
      <c r="F1208" s="11" t="s">
        <v>15</v>
      </c>
      <c r="G1208" s="11" t="s">
        <v>16</v>
      </c>
      <c r="H1208" s="11" t="s">
        <v>17</v>
      </c>
      <c r="I1208" s="11" t="s">
        <v>21</v>
      </c>
      <c r="J1208" s="11" t="s">
        <v>243</v>
      </c>
      <c r="K1208" s="11">
        <v>40</v>
      </c>
      <c r="L1208" s="12">
        <v>110</v>
      </c>
      <c r="M1208" s="13">
        <v>4400</v>
      </c>
      <c r="N1208" s="11" t="s">
        <v>367</v>
      </c>
      <c r="O1208" s="11" t="s">
        <v>19</v>
      </c>
      <c r="Q1208"/>
    </row>
    <row r="1209" spans="1:17" ht="15.6" x14ac:dyDescent="0.3">
      <c r="A1209" s="15">
        <v>10233</v>
      </c>
      <c r="B1209" s="14">
        <v>38075</v>
      </c>
      <c r="C1209" s="14" t="s">
        <v>354</v>
      </c>
      <c r="D1209" s="15" t="s">
        <v>219</v>
      </c>
      <c r="E1209" s="15" t="s">
        <v>220</v>
      </c>
      <c r="F1209" s="15" t="s">
        <v>15</v>
      </c>
      <c r="G1209" s="15" t="s">
        <v>16</v>
      </c>
      <c r="H1209" s="15" t="s">
        <v>54</v>
      </c>
      <c r="I1209" s="15" t="s">
        <v>55</v>
      </c>
      <c r="J1209" s="15" t="s">
        <v>258</v>
      </c>
      <c r="K1209" s="15">
        <v>36</v>
      </c>
      <c r="L1209" s="16">
        <v>180</v>
      </c>
      <c r="M1209" s="17">
        <v>6480</v>
      </c>
      <c r="N1209" s="15" t="s">
        <v>367</v>
      </c>
      <c r="O1209" s="15" t="s">
        <v>19</v>
      </c>
      <c r="Q1209"/>
    </row>
    <row r="1210" spans="1:17" ht="15.6" x14ac:dyDescent="0.3">
      <c r="A1210" s="11">
        <v>10233</v>
      </c>
      <c r="B1210" s="10">
        <v>38075</v>
      </c>
      <c r="C1210" s="10" t="s">
        <v>354</v>
      </c>
      <c r="D1210" s="11" t="s">
        <v>219</v>
      </c>
      <c r="E1210" s="11" t="s">
        <v>220</v>
      </c>
      <c r="F1210" s="11" t="s">
        <v>15</v>
      </c>
      <c r="G1210" s="11" t="s">
        <v>16</v>
      </c>
      <c r="H1210" s="11" t="s">
        <v>54</v>
      </c>
      <c r="I1210" s="11" t="s">
        <v>55</v>
      </c>
      <c r="J1210" s="11" t="s">
        <v>258</v>
      </c>
      <c r="K1210" s="11">
        <v>29</v>
      </c>
      <c r="L1210" s="12">
        <v>180</v>
      </c>
      <c r="M1210" s="13">
        <v>5220</v>
      </c>
      <c r="N1210" s="11" t="s">
        <v>367</v>
      </c>
      <c r="O1210" s="11" t="s">
        <v>19</v>
      </c>
      <c r="Q1210"/>
    </row>
    <row r="1211" spans="1:17" ht="15.6" x14ac:dyDescent="0.3">
      <c r="A1211" s="15">
        <v>10235</v>
      </c>
      <c r="B1211" s="14">
        <v>38079</v>
      </c>
      <c r="C1211" s="14" t="s">
        <v>355</v>
      </c>
      <c r="D1211" s="15" t="s">
        <v>221</v>
      </c>
      <c r="E1211" s="15" t="s">
        <v>222</v>
      </c>
      <c r="F1211" s="15" t="s">
        <v>169</v>
      </c>
      <c r="G1211" s="15" t="s">
        <v>16</v>
      </c>
      <c r="H1211" s="15" t="s">
        <v>61</v>
      </c>
      <c r="I1211" s="15" t="s">
        <v>62</v>
      </c>
      <c r="J1211" s="15" t="s">
        <v>261</v>
      </c>
      <c r="K1211" s="15">
        <v>24</v>
      </c>
      <c r="L1211" s="16">
        <v>15</v>
      </c>
      <c r="M1211" s="17">
        <v>360</v>
      </c>
      <c r="N1211" s="15" t="s">
        <v>367</v>
      </c>
      <c r="O1211" s="15" t="s">
        <v>19</v>
      </c>
      <c r="Q1211"/>
    </row>
    <row r="1212" spans="1:17" ht="15.6" x14ac:dyDescent="0.3">
      <c r="A1212" s="11">
        <v>10235</v>
      </c>
      <c r="B1212" s="10">
        <v>38079</v>
      </c>
      <c r="C1212" s="10" t="s">
        <v>355</v>
      </c>
      <c r="D1212" s="11" t="s">
        <v>221</v>
      </c>
      <c r="E1212" s="11" t="s">
        <v>222</v>
      </c>
      <c r="F1212" s="11" t="s">
        <v>169</v>
      </c>
      <c r="G1212" s="11" t="s">
        <v>16</v>
      </c>
      <c r="H1212" s="11" t="s">
        <v>61</v>
      </c>
      <c r="I1212" s="11" t="s">
        <v>66</v>
      </c>
      <c r="J1212" s="11" t="s">
        <v>265</v>
      </c>
      <c r="K1212" s="11">
        <v>23</v>
      </c>
      <c r="L1212" s="12">
        <v>35</v>
      </c>
      <c r="M1212" s="13">
        <v>805</v>
      </c>
      <c r="N1212" s="11" t="s">
        <v>367</v>
      </c>
      <c r="O1212" s="11" t="s">
        <v>19</v>
      </c>
      <c r="Q1212"/>
    </row>
    <row r="1213" spans="1:17" ht="15.6" x14ac:dyDescent="0.3">
      <c r="A1213" s="15">
        <v>10235</v>
      </c>
      <c r="B1213" s="14">
        <v>38079</v>
      </c>
      <c r="C1213" s="14" t="s">
        <v>355</v>
      </c>
      <c r="D1213" s="15" t="s">
        <v>221</v>
      </c>
      <c r="E1213" s="15" t="s">
        <v>222</v>
      </c>
      <c r="F1213" s="15" t="s">
        <v>169</v>
      </c>
      <c r="G1213" s="15" t="s">
        <v>16</v>
      </c>
      <c r="H1213" s="15" t="s">
        <v>61</v>
      </c>
      <c r="I1213" s="15" t="s">
        <v>62</v>
      </c>
      <c r="J1213" s="15" t="s">
        <v>261</v>
      </c>
      <c r="K1213" s="15">
        <v>33</v>
      </c>
      <c r="L1213" s="16">
        <v>15</v>
      </c>
      <c r="M1213" s="17">
        <v>495</v>
      </c>
      <c r="N1213" s="15" t="s">
        <v>367</v>
      </c>
      <c r="O1213" s="15" t="s">
        <v>19</v>
      </c>
      <c r="Q1213"/>
    </row>
    <row r="1214" spans="1:17" ht="15.6" x14ac:dyDescent="0.3">
      <c r="A1214" s="11">
        <v>10235</v>
      </c>
      <c r="B1214" s="10">
        <v>38079</v>
      </c>
      <c r="C1214" s="10" t="s">
        <v>355</v>
      </c>
      <c r="D1214" s="11" t="s">
        <v>221</v>
      </c>
      <c r="E1214" s="11" t="s">
        <v>222</v>
      </c>
      <c r="F1214" s="11" t="s">
        <v>169</v>
      </c>
      <c r="G1214" s="11" t="s">
        <v>16</v>
      </c>
      <c r="H1214" s="11" t="s">
        <v>61</v>
      </c>
      <c r="I1214" s="11" t="s">
        <v>62</v>
      </c>
      <c r="J1214" s="11" t="s">
        <v>261</v>
      </c>
      <c r="K1214" s="11">
        <v>40</v>
      </c>
      <c r="L1214" s="12">
        <v>15</v>
      </c>
      <c r="M1214" s="13">
        <v>600</v>
      </c>
      <c r="N1214" s="11" t="s">
        <v>367</v>
      </c>
      <c r="O1214" s="11" t="s">
        <v>19</v>
      </c>
      <c r="Q1214"/>
    </row>
    <row r="1215" spans="1:17" ht="15.6" x14ac:dyDescent="0.3">
      <c r="A1215" s="15">
        <v>10235</v>
      </c>
      <c r="B1215" s="14">
        <v>38079</v>
      </c>
      <c r="C1215" s="14" t="s">
        <v>355</v>
      </c>
      <c r="D1215" s="15" t="s">
        <v>221</v>
      </c>
      <c r="E1215" s="15" t="s">
        <v>222</v>
      </c>
      <c r="F1215" s="15" t="s">
        <v>169</v>
      </c>
      <c r="G1215" s="15" t="s">
        <v>16</v>
      </c>
      <c r="H1215" s="15" t="s">
        <v>68</v>
      </c>
      <c r="I1215" s="15" t="s">
        <v>69</v>
      </c>
      <c r="J1215" s="15" t="s">
        <v>266</v>
      </c>
      <c r="K1215" s="15">
        <v>41</v>
      </c>
      <c r="L1215" s="16">
        <v>25</v>
      </c>
      <c r="M1215" s="17">
        <v>1025</v>
      </c>
      <c r="N1215" s="15" t="s">
        <v>367</v>
      </c>
      <c r="O1215" s="15" t="s">
        <v>19</v>
      </c>
      <c r="Q1215"/>
    </row>
    <row r="1216" spans="1:17" ht="15.6" x14ac:dyDescent="0.3">
      <c r="A1216" s="11">
        <v>10235</v>
      </c>
      <c r="B1216" s="10">
        <v>38079</v>
      </c>
      <c r="C1216" s="10" t="s">
        <v>355</v>
      </c>
      <c r="D1216" s="11" t="s">
        <v>221</v>
      </c>
      <c r="E1216" s="11" t="s">
        <v>222</v>
      </c>
      <c r="F1216" s="11" t="s">
        <v>169</v>
      </c>
      <c r="G1216" s="11" t="s">
        <v>16</v>
      </c>
      <c r="H1216" s="11" t="s">
        <v>17</v>
      </c>
      <c r="I1216" s="11" t="s">
        <v>52</v>
      </c>
      <c r="J1216" s="11" t="s">
        <v>256</v>
      </c>
      <c r="K1216" s="11">
        <v>34</v>
      </c>
      <c r="L1216" s="12">
        <v>45</v>
      </c>
      <c r="M1216" s="13">
        <v>1530</v>
      </c>
      <c r="N1216" s="11" t="s">
        <v>367</v>
      </c>
      <c r="O1216" s="11" t="s">
        <v>19</v>
      </c>
      <c r="Q1216"/>
    </row>
    <row r="1217" spans="1:17" ht="15.6" x14ac:dyDescent="0.3">
      <c r="A1217" s="15">
        <v>10235</v>
      </c>
      <c r="B1217" s="14">
        <v>38079</v>
      </c>
      <c r="C1217" s="14" t="s">
        <v>355</v>
      </c>
      <c r="D1217" s="15" t="s">
        <v>221</v>
      </c>
      <c r="E1217" s="15" t="s">
        <v>222</v>
      </c>
      <c r="F1217" s="15" t="s">
        <v>169</v>
      </c>
      <c r="G1217" s="15" t="s">
        <v>16</v>
      </c>
      <c r="H1217" s="15" t="s">
        <v>17</v>
      </c>
      <c r="I1217" s="15" t="s">
        <v>20</v>
      </c>
      <c r="J1217" s="15" t="s">
        <v>242</v>
      </c>
      <c r="K1217" s="15">
        <v>41</v>
      </c>
      <c r="L1217" s="16">
        <v>48</v>
      </c>
      <c r="M1217" s="17">
        <v>1968</v>
      </c>
      <c r="N1217" s="15" t="s">
        <v>367</v>
      </c>
      <c r="O1217" s="15" t="s">
        <v>19</v>
      </c>
      <c r="Q1217"/>
    </row>
    <row r="1218" spans="1:17" ht="15.6" x14ac:dyDescent="0.3">
      <c r="A1218" s="11">
        <v>10235</v>
      </c>
      <c r="B1218" s="10">
        <v>38079</v>
      </c>
      <c r="C1218" s="10" t="s">
        <v>355</v>
      </c>
      <c r="D1218" s="11" t="s">
        <v>221</v>
      </c>
      <c r="E1218" s="11" t="s">
        <v>222</v>
      </c>
      <c r="F1218" s="11" t="s">
        <v>169</v>
      </c>
      <c r="G1218" s="11" t="s">
        <v>16</v>
      </c>
      <c r="H1218" s="11" t="s">
        <v>61</v>
      </c>
      <c r="I1218" s="11" t="s">
        <v>66</v>
      </c>
      <c r="J1218" s="11" t="s">
        <v>265</v>
      </c>
      <c r="K1218" s="11">
        <v>25</v>
      </c>
      <c r="L1218" s="12">
        <v>35</v>
      </c>
      <c r="M1218" s="13">
        <v>875</v>
      </c>
      <c r="N1218" s="11" t="s">
        <v>367</v>
      </c>
      <c r="O1218" s="11" t="s">
        <v>19</v>
      </c>
      <c r="Q1218"/>
    </row>
    <row r="1219" spans="1:17" ht="15.6" x14ac:dyDescent="0.3">
      <c r="A1219" s="15">
        <v>10235</v>
      </c>
      <c r="B1219" s="14">
        <v>38079</v>
      </c>
      <c r="C1219" s="14" t="s">
        <v>355</v>
      </c>
      <c r="D1219" s="15" t="s">
        <v>221</v>
      </c>
      <c r="E1219" s="15" t="s">
        <v>222</v>
      </c>
      <c r="F1219" s="15" t="s">
        <v>169</v>
      </c>
      <c r="G1219" s="15" t="s">
        <v>16</v>
      </c>
      <c r="H1219" s="15" t="s">
        <v>61</v>
      </c>
      <c r="I1219" s="15" t="s">
        <v>62</v>
      </c>
      <c r="J1219" s="15" t="s">
        <v>261</v>
      </c>
      <c r="K1219" s="15">
        <v>38</v>
      </c>
      <c r="L1219" s="16">
        <v>15</v>
      </c>
      <c r="M1219" s="17">
        <v>570</v>
      </c>
      <c r="N1219" s="15" t="s">
        <v>367</v>
      </c>
      <c r="O1219" s="15" t="s">
        <v>19</v>
      </c>
      <c r="Q1219"/>
    </row>
    <row r="1220" spans="1:17" ht="15.6" x14ac:dyDescent="0.3">
      <c r="A1220" s="11">
        <v>10235</v>
      </c>
      <c r="B1220" s="10">
        <v>38079</v>
      </c>
      <c r="C1220" s="10" t="s">
        <v>355</v>
      </c>
      <c r="D1220" s="11" t="s">
        <v>221</v>
      </c>
      <c r="E1220" s="11" t="s">
        <v>222</v>
      </c>
      <c r="F1220" s="11" t="s">
        <v>169</v>
      </c>
      <c r="G1220" s="11" t="s">
        <v>16</v>
      </c>
      <c r="H1220" s="11" t="s">
        <v>61</v>
      </c>
      <c r="I1220" s="11" t="s">
        <v>66</v>
      </c>
      <c r="J1220" s="11" t="s">
        <v>265</v>
      </c>
      <c r="K1220" s="11">
        <v>25</v>
      </c>
      <c r="L1220" s="12">
        <v>35</v>
      </c>
      <c r="M1220" s="13">
        <v>875</v>
      </c>
      <c r="N1220" s="11" t="s">
        <v>367</v>
      </c>
      <c r="O1220" s="11" t="s">
        <v>19</v>
      </c>
      <c r="Q1220"/>
    </row>
    <row r="1221" spans="1:17" ht="15.6" x14ac:dyDescent="0.3">
      <c r="A1221" s="15">
        <v>10235</v>
      </c>
      <c r="B1221" s="14">
        <v>38079</v>
      </c>
      <c r="C1221" s="14" t="s">
        <v>355</v>
      </c>
      <c r="D1221" s="15" t="s">
        <v>221</v>
      </c>
      <c r="E1221" s="15" t="s">
        <v>222</v>
      </c>
      <c r="F1221" s="15" t="s">
        <v>169</v>
      </c>
      <c r="G1221" s="15" t="s">
        <v>16</v>
      </c>
      <c r="H1221" s="15" t="s">
        <v>61</v>
      </c>
      <c r="I1221" s="15" t="s">
        <v>62</v>
      </c>
      <c r="J1221" s="15" t="s">
        <v>261</v>
      </c>
      <c r="K1221" s="15">
        <v>32</v>
      </c>
      <c r="L1221" s="16">
        <v>15</v>
      </c>
      <c r="M1221" s="17">
        <v>480</v>
      </c>
      <c r="N1221" s="15" t="s">
        <v>367</v>
      </c>
      <c r="O1221" s="15" t="s">
        <v>19</v>
      </c>
      <c r="Q1221"/>
    </row>
    <row r="1222" spans="1:17" ht="15.6" x14ac:dyDescent="0.3">
      <c r="A1222" s="11">
        <v>10235</v>
      </c>
      <c r="B1222" s="10">
        <v>38079</v>
      </c>
      <c r="C1222" s="10" t="s">
        <v>355</v>
      </c>
      <c r="D1222" s="11" t="s">
        <v>221</v>
      </c>
      <c r="E1222" s="11" t="s">
        <v>222</v>
      </c>
      <c r="F1222" s="11" t="s">
        <v>169</v>
      </c>
      <c r="G1222" s="11" t="s">
        <v>16</v>
      </c>
      <c r="H1222" s="11" t="s">
        <v>61</v>
      </c>
      <c r="I1222" s="11" t="s">
        <v>62</v>
      </c>
      <c r="J1222" s="11" t="s">
        <v>261</v>
      </c>
      <c r="K1222" s="11">
        <v>34</v>
      </c>
      <c r="L1222" s="12">
        <v>15</v>
      </c>
      <c r="M1222" s="13">
        <v>510</v>
      </c>
      <c r="N1222" s="11" t="s">
        <v>367</v>
      </c>
      <c r="O1222" s="11" t="s">
        <v>19</v>
      </c>
      <c r="Q1222"/>
    </row>
    <row r="1223" spans="1:17" ht="15.6" x14ac:dyDescent="0.3">
      <c r="A1223" s="15">
        <v>10236</v>
      </c>
      <c r="B1223" s="14">
        <v>38080</v>
      </c>
      <c r="C1223" s="14" t="s">
        <v>284</v>
      </c>
      <c r="D1223" s="15" t="s">
        <v>77</v>
      </c>
      <c r="E1223" s="15" t="s">
        <v>78</v>
      </c>
      <c r="F1223" s="15" t="s">
        <v>15</v>
      </c>
      <c r="G1223" s="15" t="s">
        <v>16</v>
      </c>
      <c r="H1223" s="15" t="s">
        <v>68</v>
      </c>
      <c r="I1223" s="15" t="s">
        <v>69</v>
      </c>
      <c r="J1223" s="15" t="s">
        <v>266</v>
      </c>
      <c r="K1223" s="15">
        <v>22</v>
      </c>
      <c r="L1223" s="16">
        <v>25</v>
      </c>
      <c r="M1223" s="17">
        <v>550</v>
      </c>
      <c r="N1223" s="15" t="s">
        <v>367</v>
      </c>
      <c r="O1223" s="15" t="s">
        <v>19</v>
      </c>
      <c r="Q1223"/>
    </row>
    <row r="1224" spans="1:17" ht="15.6" x14ac:dyDescent="0.3">
      <c r="A1224" s="11">
        <v>10236</v>
      </c>
      <c r="B1224" s="10">
        <v>38080</v>
      </c>
      <c r="C1224" s="10" t="s">
        <v>284</v>
      </c>
      <c r="D1224" s="11" t="s">
        <v>77</v>
      </c>
      <c r="E1224" s="11" t="s">
        <v>78</v>
      </c>
      <c r="F1224" s="11" t="s">
        <v>15</v>
      </c>
      <c r="G1224" s="11" t="s">
        <v>16</v>
      </c>
      <c r="H1224" s="11" t="s">
        <v>68</v>
      </c>
      <c r="I1224" s="11" t="s">
        <v>69</v>
      </c>
      <c r="J1224" s="11" t="s">
        <v>266</v>
      </c>
      <c r="K1224" s="11">
        <v>23</v>
      </c>
      <c r="L1224" s="12">
        <v>25</v>
      </c>
      <c r="M1224" s="13">
        <v>575</v>
      </c>
      <c r="N1224" s="11" t="s">
        <v>367</v>
      </c>
      <c r="O1224" s="11" t="s">
        <v>19</v>
      </c>
      <c r="Q1224"/>
    </row>
    <row r="1225" spans="1:17" ht="15.6" x14ac:dyDescent="0.3">
      <c r="A1225" s="15">
        <v>10236</v>
      </c>
      <c r="B1225" s="14">
        <v>38080</v>
      </c>
      <c r="C1225" s="14" t="s">
        <v>284</v>
      </c>
      <c r="D1225" s="15" t="s">
        <v>77</v>
      </c>
      <c r="E1225" s="15" t="s">
        <v>78</v>
      </c>
      <c r="F1225" s="15" t="s">
        <v>15</v>
      </c>
      <c r="G1225" s="15" t="s">
        <v>16</v>
      </c>
      <c r="H1225" s="15" t="s">
        <v>68</v>
      </c>
      <c r="I1225" s="15" t="s">
        <v>69</v>
      </c>
      <c r="J1225" s="15" t="s">
        <v>266</v>
      </c>
      <c r="K1225" s="15">
        <v>36</v>
      </c>
      <c r="L1225" s="16">
        <v>25</v>
      </c>
      <c r="M1225" s="17">
        <v>900</v>
      </c>
      <c r="N1225" s="15" t="s">
        <v>367</v>
      </c>
      <c r="O1225" s="15" t="s">
        <v>19</v>
      </c>
      <c r="Q1225"/>
    </row>
    <row r="1226" spans="1:17" ht="15.6" x14ac:dyDescent="0.3">
      <c r="A1226" s="11">
        <v>10237</v>
      </c>
      <c r="B1226" s="10">
        <v>38082</v>
      </c>
      <c r="C1226" s="10" t="s">
        <v>277</v>
      </c>
      <c r="D1226" s="11" t="s">
        <v>27</v>
      </c>
      <c r="E1226" s="11" t="s">
        <v>28</v>
      </c>
      <c r="F1226" s="11" t="s">
        <v>15</v>
      </c>
      <c r="G1226" s="11" t="s">
        <v>16</v>
      </c>
      <c r="H1226" s="11" t="s">
        <v>68</v>
      </c>
      <c r="I1226" s="11" t="s">
        <v>76</v>
      </c>
      <c r="J1226" s="11" t="s">
        <v>269</v>
      </c>
      <c r="K1226" s="11">
        <v>23</v>
      </c>
      <c r="L1226" s="12">
        <v>30</v>
      </c>
      <c r="M1226" s="13">
        <v>690</v>
      </c>
      <c r="N1226" s="11" t="s">
        <v>367</v>
      </c>
      <c r="O1226" s="11" t="s">
        <v>19</v>
      </c>
      <c r="Q1226"/>
    </row>
    <row r="1227" spans="1:17" ht="15.6" x14ac:dyDescent="0.3">
      <c r="A1227" s="15">
        <v>10237</v>
      </c>
      <c r="B1227" s="14">
        <v>38082</v>
      </c>
      <c r="C1227" s="14" t="s">
        <v>277</v>
      </c>
      <c r="D1227" s="15" t="s">
        <v>27</v>
      </c>
      <c r="E1227" s="15" t="s">
        <v>28</v>
      </c>
      <c r="F1227" s="15" t="s">
        <v>15</v>
      </c>
      <c r="G1227" s="15" t="s">
        <v>16</v>
      </c>
      <c r="H1227" s="15" t="s">
        <v>68</v>
      </c>
      <c r="I1227" s="15" t="s">
        <v>70</v>
      </c>
      <c r="J1227" s="15" t="s">
        <v>267</v>
      </c>
      <c r="K1227" s="15">
        <v>39</v>
      </c>
      <c r="L1227" s="16">
        <v>50</v>
      </c>
      <c r="M1227" s="17">
        <v>1950</v>
      </c>
      <c r="N1227" s="15" t="s">
        <v>367</v>
      </c>
      <c r="O1227" s="15" t="s">
        <v>19</v>
      </c>
      <c r="Q1227"/>
    </row>
    <row r="1228" spans="1:17" ht="15.6" x14ac:dyDescent="0.3">
      <c r="A1228" s="11">
        <v>10237</v>
      </c>
      <c r="B1228" s="10">
        <v>38082</v>
      </c>
      <c r="C1228" s="10" t="s">
        <v>277</v>
      </c>
      <c r="D1228" s="11" t="s">
        <v>27</v>
      </c>
      <c r="E1228" s="11" t="s">
        <v>28</v>
      </c>
      <c r="F1228" s="11" t="s">
        <v>15</v>
      </c>
      <c r="G1228" s="11" t="s">
        <v>16</v>
      </c>
      <c r="H1228" s="11" t="s">
        <v>68</v>
      </c>
      <c r="I1228" s="11" t="s">
        <v>69</v>
      </c>
      <c r="J1228" s="11" t="s">
        <v>266</v>
      </c>
      <c r="K1228" s="11">
        <v>32</v>
      </c>
      <c r="L1228" s="12">
        <v>25</v>
      </c>
      <c r="M1228" s="13">
        <v>800</v>
      </c>
      <c r="N1228" s="11" t="s">
        <v>367</v>
      </c>
      <c r="O1228" s="11" t="s">
        <v>19</v>
      </c>
      <c r="Q1228"/>
    </row>
    <row r="1229" spans="1:17" ht="15.6" x14ac:dyDescent="0.3">
      <c r="A1229" s="15">
        <v>10237</v>
      </c>
      <c r="B1229" s="14">
        <v>38082</v>
      </c>
      <c r="C1229" s="14" t="s">
        <v>277</v>
      </c>
      <c r="D1229" s="15" t="s">
        <v>27</v>
      </c>
      <c r="E1229" s="15" t="s">
        <v>28</v>
      </c>
      <c r="F1229" s="15" t="s">
        <v>15</v>
      </c>
      <c r="G1229" s="15" t="s">
        <v>16</v>
      </c>
      <c r="H1229" s="15" t="s">
        <v>68</v>
      </c>
      <c r="I1229" s="15" t="s">
        <v>69</v>
      </c>
      <c r="J1229" s="15" t="s">
        <v>266</v>
      </c>
      <c r="K1229" s="15">
        <v>26</v>
      </c>
      <c r="L1229" s="16">
        <v>25</v>
      </c>
      <c r="M1229" s="17">
        <v>650</v>
      </c>
      <c r="N1229" s="15" t="s">
        <v>367</v>
      </c>
      <c r="O1229" s="15" t="s">
        <v>19</v>
      </c>
      <c r="Q1229"/>
    </row>
    <row r="1230" spans="1:17" ht="15.6" x14ac:dyDescent="0.3">
      <c r="A1230" s="11">
        <v>10237</v>
      </c>
      <c r="B1230" s="10">
        <v>38082</v>
      </c>
      <c r="C1230" s="10" t="s">
        <v>277</v>
      </c>
      <c r="D1230" s="11" t="s">
        <v>27</v>
      </c>
      <c r="E1230" s="11" t="s">
        <v>28</v>
      </c>
      <c r="F1230" s="11" t="s">
        <v>15</v>
      </c>
      <c r="G1230" s="11" t="s">
        <v>16</v>
      </c>
      <c r="H1230" s="11" t="s">
        <v>68</v>
      </c>
      <c r="I1230" s="11" t="s">
        <v>76</v>
      </c>
      <c r="J1230" s="11" t="s">
        <v>269</v>
      </c>
      <c r="K1230" s="11">
        <v>20</v>
      </c>
      <c r="L1230" s="12">
        <v>30</v>
      </c>
      <c r="M1230" s="13">
        <v>600</v>
      </c>
      <c r="N1230" s="11" t="s">
        <v>367</v>
      </c>
      <c r="O1230" s="11" t="s">
        <v>19</v>
      </c>
      <c r="Q1230"/>
    </row>
    <row r="1231" spans="1:17" ht="15.6" x14ac:dyDescent="0.3">
      <c r="A1231" s="15">
        <v>10237</v>
      </c>
      <c r="B1231" s="14">
        <v>38082</v>
      </c>
      <c r="C1231" s="14" t="s">
        <v>277</v>
      </c>
      <c r="D1231" s="15" t="s">
        <v>27</v>
      </c>
      <c r="E1231" s="15" t="s">
        <v>28</v>
      </c>
      <c r="F1231" s="15" t="s">
        <v>15</v>
      </c>
      <c r="G1231" s="15" t="s">
        <v>16</v>
      </c>
      <c r="H1231" s="15" t="s">
        <v>68</v>
      </c>
      <c r="I1231" s="15" t="s">
        <v>108</v>
      </c>
      <c r="J1231" s="15" t="s">
        <v>271</v>
      </c>
      <c r="K1231" s="15">
        <v>26</v>
      </c>
      <c r="L1231" s="16">
        <v>45</v>
      </c>
      <c r="M1231" s="17">
        <v>1170</v>
      </c>
      <c r="N1231" s="15" t="s">
        <v>367</v>
      </c>
      <c r="O1231" s="15" t="s">
        <v>19</v>
      </c>
      <c r="Q1231"/>
    </row>
    <row r="1232" spans="1:17" ht="15.6" x14ac:dyDescent="0.3">
      <c r="A1232" s="11">
        <v>10237</v>
      </c>
      <c r="B1232" s="10">
        <v>38082</v>
      </c>
      <c r="C1232" s="10" t="s">
        <v>277</v>
      </c>
      <c r="D1232" s="11" t="s">
        <v>27</v>
      </c>
      <c r="E1232" s="11" t="s">
        <v>28</v>
      </c>
      <c r="F1232" s="11" t="s">
        <v>15</v>
      </c>
      <c r="G1232" s="11" t="s">
        <v>16</v>
      </c>
      <c r="H1232" s="11" t="s">
        <v>68</v>
      </c>
      <c r="I1232" s="11" t="s">
        <v>75</v>
      </c>
      <c r="J1232" s="11" t="s">
        <v>268</v>
      </c>
      <c r="K1232" s="11">
        <v>26</v>
      </c>
      <c r="L1232" s="12">
        <v>35</v>
      </c>
      <c r="M1232" s="13">
        <v>910</v>
      </c>
      <c r="N1232" s="11" t="s">
        <v>367</v>
      </c>
      <c r="O1232" s="11" t="s">
        <v>19</v>
      </c>
      <c r="Q1232"/>
    </row>
    <row r="1233" spans="1:17" ht="15.6" x14ac:dyDescent="0.3">
      <c r="A1233" s="15">
        <v>10237</v>
      </c>
      <c r="B1233" s="14">
        <v>38082</v>
      </c>
      <c r="C1233" s="14" t="s">
        <v>277</v>
      </c>
      <c r="D1233" s="15" t="s">
        <v>27</v>
      </c>
      <c r="E1233" s="15" t="s">
        <v>28</v>
      </c>
      <c r="F1233" s="15" t="s">
        <v>15</v>
      </c>
      <c r="G1233" s="15" t="s">
        <v>16</v>
      </c>
      <c r="H1233" s="15" t="s">
        <v>68</v>
      </c>
      <c r="I1233" s="15" t="s">
        <v>75</v>
      </c>
      <c r="J1233" s="15" t="s">
        <v>268</v>
      </c>
      <c r="K1233" s="15">
        <v>27</v>
      </c>
      <c r="L1233" s="16">
        <v>35</v>
      </c>
      <c r="M1233" s="17">
        <v>945</v>
      </c>
      <c r="N1233" s="15" t="s">
        <v>367</v>
      </c>
      <c r="O1233" s="15" t="s">
        <v>19</v>
      </c>
      <c r="Q1233"/>
    </row>
    <row r="1234" spans="1:17" ht="15.6" x14ac:dyDescent="0.3">
      <c r="A1234" s="11">
        <v>10237</v>
      </c>
      <c r="B1234" s="10">
        <v>38082</v>
      </c>
      <c r="C1234" s="10" t="s">
        <v>277</v>
      </c>
      <c r="D1234" s="11" t="s">
        <v>27</v>
      </c>
      <c r="E1234" s="11" t="s">
        <v>28</v>
      </c>
      <c r="F1234" s="11" t="s">
        <v>15</v>
      </c>
      <c r="G1234" s="11" t="s">
        <v>16</v>
      </c>
      <c r="H1234" s="11" t="s">
        <v>68</v>
      </c>
      <c r="I1234" s="11" t="s">
        <v>108</v>
      </c>
      <c r="J1234" s="11" t="s">
        <v>271</v>
      </c>
      <c r="K1234" s="11">
        <v>20</v>
      </c>
      <c r="L1234" s="12">
        <v>45</v>
      </c>
      <c r="M1234" s="13">
        <v>900</v>
      </c>
      <c r="N1234" s="11" t="s">
        <v>367</v>
      </c>
      <c r="O1234" s="11" t="s">
        <v>19</v>
      </c>
      <c r="Q1234"/>
    </row>
    <row r="1235" spans="1:17" ht="15.6" x14ac:dyDescent="0.3">
      <c r="A1235" s="15">
        <v>10238</v>
      </c>
      <c r="B1235" s="14">
        <v>38086</v>
      </c>
      <c r="C1235" s="14" t="s">
        <v>280</v>
      </c>
      <c r="D1235" s="15" t="s">
        <v>49</v>
      </c>
      <c r="E1235" s="15" t="s">
        <v>50</v>
      </c>
      <c r="F1235" s="15" t="s">
        <v>51</v>
      </c>
      <c r="G1235" s="15" t="s">
        <v>25</v>
      </c>
      <c r="H1235" s="15" t="s">
        <v>32</v>
      </c>
      <c r="I1235" s="15" t="s">
        <v>33</v>
      </c>
      <c r="J1235" s="15" t="s">
        <v>245</v>
      </c>
      <c r="K1235" s="15">
        <v>28</v>
      </c>
      <c r="L1235" s="16">
        <v>85</v>
      </c>
      <c r="M1235" s="17">
        <v>2380</v>
      </c>
      <c r="N1235" s="15" t="s">
        <v>367</v>
      </c>
      <c r="O1235" s="15" t="s">
        <v>19</v>
      </c>
      <c r="Q1235"/>
    </row>
    <row r="1236" spans="1:17" ht="15.6" x14ac:dyDescent="0.3">
      <c r="A1236" s="11">
        <v>10238</v>
      </c>
      <c r="B1236" s="10">
        <v>38086</v>
      </c>
      <c r="C1236" s="10" t="s">
        <v>280</v>
      </c>
      <c r="D1236" s="11" t="s">
        <v>49</v>
      </c>
      <c r="E1236" s="11" t="s">
        <v>50</v>
      </c>
      <c r="F1236" s="11" t="s">
        <v>51</v>
      </c>
      <c r="G1236" s="11" t="s">
        <v>25</v>
      </c>
      <c r="H1236" s="11" t="s">
        <v>32</v>
      </c>
      <c r="I1236" s="11" t="s">
        <v>45</v>
      </c>
      <c r="J1236" s="11" t="s">
        <v>253</v>
      </c>
      <c r="K1236" s="11">
        <v>29</v>
      </c>
      <c r="L1236" s="12">
        <v>35</v>
      </c>
      <c r="M1236" s="13">
        <v>1015</v>
      </c>
      <c r="N1236" s="11" t="s">
        <v>367</v>
      </c>
      <c r="O1236" s="11" t="s">
        <v>19</v>
      </c>
      <c r="Q1236"/>
    </row>
    <row r="1237" spans="1:17" ht="15.6" x14ac:dyDescent="0.3">
      <c r="A1237" s="15">
        <v>10238</v>
      </c>
      <c r="B1237" s="14">
        <v>38086</v>
      </c>
      <c r="C1237" s="14" t="s">
        <v>280</v>
      </c>
      <c r="D1237" s="15" t="s">
        <v>49</v>
      </c>
      <c r="E1237" s="15" t="s">
        <v>50</v>
      </c>
      <c r="F1237" s="15" t="s">
        <v>51</v>
      </c>
      <c r="G1237" s="15" t="s">
        <v>25</v>
      </c>
      <c r="H1237" s="15" t="s">
        <v>32</v>
      </c>
      <c r="I1237" s="15" t="s">
        <v>46</v>
      </c>
      <c r="J1237" s="15" t="s">
        <v>254</v>
      </c>
      <c r="K1237" s="15">
        <v>20</v>
      </c>
      <c r="L1237" s="16">
        <v>90</v>
      </c>
      <c r="M1237" s="17">
        <v>1800</v>
      </c>
      <c r="N1237" s="15" t="s">
        <v>367</v>
      </c>
      <c r="O1237" s="15" t="s">
        <v>19</v>
      </c>
      <c r="Q1237"/>
    </row>
    <row r="1238" spans="1:17" ht="15.6" x14ac:dyDescent="0.3">
      <c r="A1238" s="11">
        <v>10238</v>
      </c>
      <c r="B1238" s="10">
        <v>38086</v>
      </c>
      <c r="C1238" s="10" t="s">
        <v>280</v>
      </c>
      <c r="D1238" s="11" t="s">
        <v>49</v>
      </c>
      <c r="E1238" s="11" t="s">
        <v>50</v>
      </c>
      <c r="F1238" s="11" t="s">
        <v>51</v>
      </c>
      <c r="G1238" s="11" t="s">
        <v>25</v>
      </c>
      <c r="H1238" s="11" t="s">
        <v>32</v>
      </c>
      <c r="I1238" s="11" t="s">
        <v>46</v>
      </c>
      <c r="J1238" s="11" t="s">
        <v>254</v>
      </c>
      <c r="K1238" s="11">
        <v>41</v>
      </c>
      <c r="L1238" s="12">
        <v>90</v>
      </c>
      <c r="M1238" s="13">
        <v>3690</v>
      </c>
      <c r="N1238" s="11" t="s">
        <v>367</v>
      </c>
      <c r="O1238" s="11" t="s">
        <v>19</v>
      </c>
      <c r="Q1238"/>
    </row>
    <row r="1239" spans="1:17" ht="15.6" x14ac:dyDescent="0.3">
      <c r="A1239" s="15">
        <v>10238</v>
      </c>
      <c r="B1239" s="14">
        <v>38086</v>
      </c>
      <c r="C1239" s="14" t="s">
        <v>280</v>
      </c>
      <c r="D1239" s="15" t="s">
        <v>49</v>
      </c>
      <c r="E1239" s="15" t="s">
        <v>50</v>
      </c>
      <c r="F1239" s="15" t="s">
        <v>51</v>
      </c>
      <c r="G1239" s="15" t="s">
        <v>25</v>
      </c>
      <c r="H1239" s="15" t="s">
        <v>32</v>
      </c>
      <c r="I1239" s="15" t="s">
        <v>44</v>
      </c>
      <c r="J1239" s="15" t="s">
        <v>252</v>
      </c>
      <c r="K1239" s="15">
        <v>49</v>
      </c>
      <c r="L1239" s="16">
        <v>55</v>
      </c>
      <c r="M1239" s="17">
        <v>2695</v>
      </c>
      <c r="N1239" s="15" t="s">
        <v>367</v>
      </c>
      <c r="O1239" s="15" t="s">
        <v>19</v>
      </c>
      <c r="Q1239"/>
    </row>
    <row r="1240" spans="1:17" ht="15.6" x14ac:dyDescent="0.3">
      <c r="A1240" s="11">
        <v>10238</v>
      </c>
      <c r="B1240" s="10">
        <v>38086</v>
      </c>
      <c r="C1240" s="10" t="s">
        <v>280</v>
      </c>
      <c r="D1240" s="11" t="s">
        <v>49</v>
      </c>
      <c r="E1240" s="11" t="s">
        <v>50</v>
      </c>
      <c r="F1240" s="11" t="s">
        <v>51</v>
      </c>
      <c r="G1240" s="11" t="s">
        <v>25</v>
      </c>
      <c r="H1240" s="11" t="s">
        <v>32</v>
      </c>
      <c r="I1240" s="11" t="s">
        <v>34</v>
      </c>
      <c r="J1240" s="11" t="s">
        <v>246</v>
      </c>
      <c r="K1240" s="11">
        <v>44</v>
      </c>
      <c r="L1240" s="12">
        <v>80</v>
      </c>
      <c r="M1240" s="13">
        <v>3520</v>
      </c>
      <c r="N1240" s="11" t="s">
        <v>367</v>
      </c>
      <c r="O1240" s="11" t="s">
        <v>19</v>
      </c>
      <c r="Q1240"/>
    </row>
    <row r="1241" spans="1:17" ht="15.6" x14ac:dyDescent="0.3">
      <c r="A1241" s="15">
        <v>10238</v>
      </c>
      <c r="B1241" s="14">
        <v>38086</v>
      </c>
      <c r="C1241" s="14" t="s">
        <v>280</v>
      </c>
      <c r="D1241" s="15" t="s">
        <v>49</v>
      </c>
      <c r="E1241" s="15" t="s">
        <v>50</v>
      </c>
      <c r="F1241" s="15" t="s">
        <v>51</v>
      </c>
      <c r="G1241" s="15" t="s">
        <v>25</v>
      </c>
      <c r="H1241" s="15" t="s">
        <v>32</v>
      </c>
      <c r="I1241" s="15" t="s">
        <v>46</v>
      </c>
      <c r="J1241" s="15" t="s">
        <v>254</v>
      </c>
      <c r="K1241" s="15">
        <v>47</v>
      </c>
      <c r="L1241" s="16">
        <v>90</v>
      </c>
      <c r="M1241" s="17">
        <v>4230</v>
      </c>
      <c r="N1241" s="15" t="s">
        <v>367</v>
      </c>
      <c r="O1241" s="15" t="s">
        <v>19</v>
      </c>
      <c r="Q1241"/>
    </row>
    <row r="1242" spans="1:17" ht="15.6" x14ac:dyDescent="0.3">
      <c r="A1242" s="11">
        <v>10238</v>
      </c>
      <c r="B1242" s="10">
        <v>38086</v>
      </c>
      <c r="C1242" s="10" t="s">
        <v>280</v>
      </c>
      <c r="D1242" s="11" t="s">
        <v>49</v>
      </c>
      <c r="E1242" s="11" t="s">
        <v>50</v>
      </c>
      <c r="F1242" s="11" t="s">
        <v>51</v>
      </c>
      <c r="G1242" s="11" t="s">
        <v>25</v>
      </c>
      <c r="H1242" s="11" t="s">
        <v>32</v>
      </c>
      <c r="I1242" s="11" t="s">
        <v>45</v>
      </c>
      <c r="J1242" s="11" t="s">
        <v>253</v>
      </c>
      <c r="K1242" s="11">
        <v>22</v>
      </c>
      <c r="L1242" s="12">
        <v>35</v>
      </c>
      <c r="M1242" s="13">
        <v>770</v>
      </c>
      <c r="N1242" s="11" t="s">
        <v>367</v>
      </c>
      <c r="O1242" s="11" t="s">
        <v>19</v>
      </c>
      <c r="Q1242"/>
    </row>
    <row r="1243" spans="1:17" ht="15.6" x14ac:dyDescent="0.3">
      <c r="A1243" s="15">
        <v>10239</v>
      </c>
      <c r="B1243" s="14">
        <v>38089</v>
      </c>
      <c r="C1243" s="14" t="s">
        <v>315</v>
      </c>
      <c r="D1243" s="15" t="s">
        <v>145</v>
      </c>
      <c r="E1243" s="15" t="s">
        <v>146</v>
      </c>
      <c r="F1243" s="15" t="s">
        <v>135</v>
      </c>
      <c r="G1243" s="15" t="s">
        <v>25</v>
      </c>
      <c r="H1243" s="15" t="s">
        <v>32</v>
      </c>
      <c r="I1243" s="15" t="s">
        <v>34</v>
      </c>
      <c r="J1243" s="15" t="s">
        <v>246</v>
      </c>
      <c r="K1243" s="15">
        <v>21</v>
      </c>
      <c r="L1243" s="16">
        <v>80</v>
      </c>
      <c r="M1243" s="17">
        <v>1680</v>
      </c>
      <c r="N1243" s="15" t="s">
        <v>367</v>
      </c>
      <c r="O1243" s="15" t="s">
        <v>19</v>
      </c>
      <c r="Q1243"/>
    </row>
    <row r="1244" spans="1:17" ht="15.6" x14ac:dyDescent="0.3">
      <c r="A1244" s="11">
        <v>10239</v>
      </c>
      <c r="B1244" s="10">
        <v>38089</v>
      </c>
      <c r="C1244" s="10" t="s">
        <v>315</v>
      </c>
      <c r="D1244" s="11" t="s">
        <v>145</v>
      </c>
      <c r="E1244" s="11" t="s">
        <v>146</v>
      </c>
      <c r="F1244" s="11" t="s">
        <v>135</v>
      </c>
      <c r="G1244" s="11" t="s">
        <v>25</v>
      </c>
      <c r="H1244" s="11" t="s">
        <v>32</v>
      </c>
      <c r="I1244" s="11" t="s">
        <v>46</v>
      </c>
      <c r="J1244" s="11" t="s">
        <v>254</v>
      </c>
      <c r="K1244" s="11">
        <v>46</v>
      </c>
      <c r="L1244" s="12">
        <v>90</v>
      </c>
      <c r="M1244" s="13">
        <v>4140</v>
      </c>
      <c r="N1244" s="11" t="s">
        <v>367</v>
      </c>
      <c r="O1244" s="11" t="s">
        <v>19</v>
      </c>
      <c r="Q1244"/>
    </row>
    <row r="1245" spans="1:17" ht="15.6" x14ac:dyDescent="0.3">
      <c r="A1245" s="15">
        <v>10239</v>
      </c>
      <c r="B1245" s="14">
        <v>38089</v>
      </c>
      <c r="C1245" s="14" t="s">
        <v>315</v>
      </c>
      <c r="D1245" s="15" t="s">
        <v>145</v>
      </c>
      <c r="E1245" s="15" t="s">
        <v>146</v>
      </c>
      <c r="F1245" s="15" t="s">
        <v>135</v>
      </c>
      <c r="G1245" s="15" t="s">
        <v>25</v>
      </c>
      <c r="H1245" s="15" t="s">
        <v>32</v>
      </c>
      <c r="I1245" s="15" t="s">
        <v>34</v>
      </c>
      <c r="J1245" s="15" t="s">
        <v>246</v>
      </c>
      <c r="K1245" s="15">
        <v>47</v>
      </c>
      <c r="L1245" s="16">
        <v>80</v>
      </c>
      <c r="M1245" s="17">
        <v>3760</v>
      </c>
      <c r="N1245" s="15" t="s">
        <v>367</v>
      </c>
      <c r="O1245" s="15" t="s">
        <v>19</v>
      </c>
      <c r="Q1245"/>
    </row>
    <row r="1246" spans="1:17" ht="15.6" x14ac:dyDescent="0.3">
      <c r="A1246" s="11">
        <v>10239</v>
      </c>
      <c r="B1246" s="10">
        <v>38089</v>
      </c>
      <c r="C1246" s="10" t="s">
        <v>315</v>
      </c>
      <c r="D1246" s="11" t="s">
        <v>145</v>
      </c>
      <c r="E1246" s="11" t="s">
        <v>146</v>
      </c>
      <c r="F1246" s="11" t="s">
        <v>135</v>
      </c>
      <c r="G1246" s="11" t="s">
        <v>25</v>
      </c>
      <c r="H1246" s="11" t="s">
        <v>32</v>
      </c>
      <c r="I1246" s="11" t="s">
        <v>44</v>
      </c>
      <c r="J1246" s="11" t="s">
        <v>252</v>
      </c>
      <c r="K1246" s="11">
        <v>20</v>
      </c>
      <c r="L1246" s="12">
        <v>55</v>
      </c>
      <c r="M1246" s="13">
        <v>1100</v>
      </c>
      <c r="N1246" s="11" t="s">
        <v>367</v>
      </c>
      <c r="O1246" s="11" t="s">
        <v>19</v>
      </c>
      <c r="Q1246"/>
    </row>
    <row r="1247" spans="1:17" ht="15.6" x14ac:dyDescent="0.3">
      <c r="A1247" s="15">
        <v>10239</v>
      </c>
      <c r="B1247" s="14">
        <v>38089</v>
      </c>
      <c r="C1247" s="14" t="s">
        <v>315</v>
      </c>
      <c r="D1247" s="15" t="s">
        <v>145</v>
      </c>
      <c r="E1247" s="15" t="s">
        <v>146</v>
      </c>
      <c r="F1247" s="15" t="s">
        <v>135</v>
      </c>
      <c r="G1247" s="15" t="s">
        <v>25</v>
      </c>
      <c r="H1247" s="15" t="s">
        <v>32</v>
      </c>
      <c r="I1247" s="15" t="s">
        <v>34</v>
      </c>
      <c r="J1247" s="15" t="s">
        <v>246</v>
      </c>
      <c r="K1247" s="15">
        <v>29</v>
      </c>
      <c r="L1247" s="16">
        <v>80</v>
      </c>
      <c r="M1247" s="17">
        <v>2320</v>
      </c>
      <c r="N1247" s="15" t="s">
        <v>367</v>
      </c>
      <c r="O1247" s="15" t="s">
        <v>19</v>
      </c>
      <c r="Q1247"/>
    </row>
    <row r="1248" spans="1:17" ht="15.6" x14ac:dyDescent="0.3">
      <c r="A1248" s="11">
        <v>10240</v>
      </c>
      <c r="B1248" s="10">
        <v>38090</v>
      </c>
      <c r="C1248" s="10" t="s">
        <v>344</v>
      </c>
      <c r="D1248" s="11" t="s">
        <v>199</v>
      </c>
      <c r="E1248" s="11" t="s">
        <v>200</v>
      </c>
      <c r="F1248" s="11" t="s">
        <v>74</v>
      </c>
      <c r="G1248" s="11" t="s">
        <v>74</v>
      </c>
      <c r="H1248" s="11" t="s">
        <v>32</v>
      </c>
      <c r="I1248" s="11" t="s">
        <v>34</v>
      </c>
      <c r="J1248" s="11" t="s">
        <v>246</v>
      </c>
      <c r="K1248" s="11">
        <v>41</v>
      </c>
      <c r="L1248" s="12">
        <v>80</v>
      </c>
      <c r="M1248" s="13">
        <v>3280</v>
      </c>
      <c r="N1248" s="11" t="s">
        <v>367</v>
      </c>
      <c r="O1248" s="11" t="s">
        <v>19</v>
      </c>
      <c r="Q1248"/>
    </row>
    <row r="1249" spans="1:17" ht="15.6" x14ac:dyDescent="0.3">
      <c r="A1249" s="15">
        <v>10241</v>
      </c>
      <c r="B1249" s="14">
        <v>38090</v>
      </c>
      <c r="C1249" s="14" t="s">
        <v>356</v>
      </c>
      <c r="D1249" s="15" t="s">
        <v>223</v>
      </c>
      <c r="E1249" s="15" t="s">
        <v>224</v>
      </c>
      <c r="F1249" s="15" t="s">
        <v>92</v>
      </c>
      <c r="G1249" s="15" t="s">
        <v>25</v>
      </c>
      <c r="H1249" s="15" t="s">
        <v>32</v>
      </c>
      <c r="I1249" s="15" t="s">
        <v>34</v>
      </c>
      <c r="J1249" s="15" t="s">
        <v>246</v>
      </c>
      <c r="K1249" s="15">
        <v>21</v>
      </c>
      <c r="L1249" s="16">
        <v>80</v>
      </c>
      <c r="M1249" s="17">
        <v>1680</v>
      </c>
      <c r="N1249" s="15" t="s">
        <v>367</v>
      </c>
      <c r="O1249" s="15" t="s">
        <v>19</v>
      </c>
      <c r="Q1249"/>
    </row>
    <row r="1250" spans="1:17" ht="15.6" x14ac:dyDescent="0.3">
      <c r="A1250" s="11">
        <v>10241</v>
      </c>
      <c r="B1250" s="10">
        <v>38090</v>
      </c>
      <c r="C1250" s="10" t="s">
        <v>356</v>
      </c>
      <c r="D1250" s="11" t="s">
        <v>223</v>
      </c>
      <c r="E1250" s="11" t="s">
        <v>224</v>
      </c>
      <c r="F1250" s="11" t="s">
        <v>92</v>
      </c>
      <c r="G1250" s="11" t="s">
        <v>25</v>
      </c>
      <c r="H1250" s="11" t="s">
        <v>17</v>
      </c>
      <c r="I1250" s="11" t="s">
        <v>18</v>
      </c>
      <c r="J1250" s="11" t="s">
        <v>241</v>
      </c>
      <c r="K1250" s="11">
        <v>41</v>
      </c>
      <c r="L1250" s="12">
        <v>30</v>
      </c>
      <c r="M1250" s="13">
        <v>1230</v>
      </c>
      <c r="N1250" s="11" t="s">
        <v>367</v>
      </c>
      <c r="O1250" s="11" t="s">
        <v>19</v>
      </c>
      <c r="Q1250"/>
    </row>
    <row r="1251" spans="1:17" ht="15.6" x14ac:dyDescent="0.3">
      <c r="A1251" s="15">
        <v>10240</v>
      </c>
      <c r="B1251" s="14">
        <v>38090</v>
      </c>
      <c r="C1251" s="14" t="s">
        <v>344</v>
      </c>
      <c r="D1251" s="15" t="s">
        <v>199</v>
      </c>
      <c r="E1251" s="15" t="s">
        <v>200</v>
      </c>
      <c r="F1251" s="15" t="s">
        <v>74</v>
      </c>
      <c r="G1251" s="15" t="s">
        <v>74</v>
      </c>
      <c r="H1251" s="15" t="s">
        <v>32</v>
      </c>
      <c r="I1251" s="15" t="s">
        <v>34</v>
      </c>
      <c r="J1251" s="15" t="s">
        <v>246</v>
      </c>
      <c r="K1251" s="15">
        <v>37</v>
      </c>
      <c r="L1251" s="16">
        <v>80</v>
      </c>
      <c r="M1251" s="17">
        <v>2960</v>
      </c>
      <c r="N1251" s="15" t="s">
        <v>367</v>
      </c>
      <c r="O1251" s="15" t="s">
        <v>19</v>
      </c>
      <c r="Q1251"/>
    </row>
    <row r="1252" spans="1:17" ht="15.6" x14ac:dyDescent="0.3">
      <c r="A1252" s="11">
        <v>10241</v>
      </c>
      <c r="B1252" s="10">
        <v>38090</v>
      </c>
      <c r="C1252" s="10" t="s">
        <v>356</v>
      </c>
      <c r="D1252" s="11" t="s">
        <v>223</v>
      </c>
      <c r="E1252" s="11" t="s">
        <v>224</v>
      </c>
      <c r="F1252" s="11" t="s">
        <v>92</v>
      </c>
      <c r="G1252" s="11" t="s">
        <v>25</v>
      </c>
      <c r="H1252" s="11" t="s">
        <v>17</v>
      </c>
      <c r="I1252" s="11" t="s">
        <v>20</v>
      </c>
      <c r="J1252" s="11" t="s">
        <v>242</v>
      </c>
      <c r="K1252" s="11">
        <v>33</v>
      </c>
      <c r="L1252" s="12">
        <v>48</v>
      </c>
      <c r="M1252" s="13">
        <v>1584</v>
      </c>
      <c r="N1252" s="11" t="s">
        <v>367</v>
      </c>
      <c r="O1252" s="11" t="s">
        <v>19</v>
      </c>
      <c r="Q1252"/>
    </row>
    <row r="1253" spans="1:17" ht="15.6" x14ac:dyDescent="0.3">
      <c r="A1253" s="15">
        <v>10241</v>
      </c>
      <c r="B1253" s="14">
        <v>38090</v>
      </c>
      <c r="C1253" s="14" t="s">
        <v>356</v>
      </c>
      <c r="D1253" s="15" t="s">
        <v>223</v>
      </c>
      <c r="E1253" s="15" t="s">
        <v>224</v>
      </c>
      <c r="F1253" s="15" t="s">
        <v>92</v>
      </c>
      <c r="G1253" s="15" t="s">
        <v>25</v>
      </c>
      <c r="H1253" s="15" t="s">
        <v>32</v>
      </c>
      <c r="I1253" s="15" t="s">
        <v>45</v>
      </c>
      <c r="J1253" s="15" t="s">
        <v>253</v>
      </c>
      <c r="K1253" s="15">
        <v>44</v>
      </c>
      <c r="L1253" s="16">
        <v>35</v>
      </c>
      <c r="M1253" s="17">
        <v>1540</v>
      </c>
      <c r="N1253" s="15" t="s">
        <v>367</v>
      </c>
      <c r="O1253" s="15" t="s">
        <v>19</v>
      </c>
      <c r="Q1253"/>
    </row>
    <row r="1254" spans="1:17" ht="15.6" x14ac:dyDescent="0.3">
      <c r="A1254" s="11">
        <v>10240</v>
      </c>
      <c r="B1254" s="10">
        <v>38090</v>
      </c>
      <c r="C1254" s="10" t="s">
        <v>344</v>
      </c>
      <c r="D1254" s="11" t="s">
        <v>199</v>
      </c>
      <c r="E1254" s="11" t="s">
        <v>200</v>
      </c>
      <c r="F1254" s="11" t="s">
        <v>74</v>
      </c>
      <c r="G1254" s="11" t="s">
        <v>74</v>
      </c>
      <c r="H1254" s="11" t="s">
        <v>32</v>
      </c>
      <c r="I1254" s="11" t="s">
        <v>33</v>
      </c>
      <c r="J1254" s="11" t="s">
        <v>245</v>
      </c>
      <c r="K1254" s="11">
        <v>37</v>
      </c>
      <c r="L1254" s="12">
        <v>85</v>
      </c>
      <c r="M1254" s="13">
        <v>3145</v>
      </c>
      <c r="N1254" s="11" t="s">
        <v>367</v>
      </c>
      <c r="O1254" s="11" t="s">
        <v>19</v>
      </c>
      <c r="Q1254"/>
    </row>
    <row r="1255" spans="1:17" ht="15.6" x14ac:dyDescent="0.3">
      <c r="A1255" s="15">
        <v>10241</v>
      </c>
      <c r="B1255" s="14">
        <v>38090</v>
      </c>
      <c r="C1255" s="14" t="s">
        <v>356</v>
      </c>
      <c r="D1255" s="15" t="s">
        <v>223</v>
      </c>
      <c r="E1255" s="15" t="s">
        <v>224</v>
      </c>
      <c r="F1255" s="15" t="s">
        <v>92</v>
      </c>
      <c r="G1255" s="15" t="s">
        <v>25</v>
      </c>
      <c r="H1255" s="15" t="s">
        <v>17</v>
      </c>
      <c r="I1255" s="15" t="s">
        <v>20</v>
      </c>
      <c r="J1255" s="15" t="s">
        <v>242</v>
      </c>
      <c r="K1255" s="15">
        <v>42</v>
      </c>
      <c r="L1255" s="16">
        <v>48</v>
      </c>
      <c r="M1255" s="17">
        <v>2016</v>
      </c>
      <c r="N1255" s="15" t="s">
        <v>367</v>
      </c>
      <c r="O1255" s="15" t="s">
        <v>19</v>
      </c>
      <c r="Q1255"/>
    </row>
    <row r="1256" spans="1:17" ht="15.6" x14ac:dyDescent="0.3">
      <c r="A1256" s="11">
        <v>10241</v>
      </c>
      <c r="B1256" s="10">
        <v>38090</v>
      </c>
      <c r="C1256" s="10" t="s">
        <v>356</v>
      </c>
      <c r="D1256" s="11" t="s">
        <v>223</v>
      </c>
      <c r="E1256" s="11" t="s">
        <v>224</v>
      </c>
      <c r="F1256" s="11" t="s">
        <v>92</v>
      </c>
      <c r="G1256" s="11" t="s">
        <v>25</v>
      </c>
      <c r="H1256" s="11" t="s">
        <v>32</v>
      </c>
      <c r="I1256" s="11" t="s">
        <v>44</v>
      </c>
      <c r="J1256" s="11" t="s">
        <v>252</v>
      </c>
      <c r="K1256" s="11">
        <v>30</v>
      </c>
      <c r="L1256" s="12">
        <v>55</v>
      </c>
      <c r="M1256" s="13">
        <v>1650</v>
      </c>
      <c r="N1256" s="11" t="s">
        <v>367</v>
      </c>
      <c r="O1256" s="11" t="s">
        <v>19</v>
      </c>
      <c r="Q1256"/>
    </row>
    <row r="1257" spans="1:17" ht="15.6" x14ac:dyDescent="0.3">
      <c r="A1257" s="15">
        <v>10241</v>
      </c>
      <c r="B1257" s="14">
        <v>38090</v>
      </c>
      <c r="C1257" s="14" t="s">
        <v>356</v>
      </c>
      <c r="D1257" s="15" t="s">
        <v>223</v>
      </c>
      <c r="E1257" s="15" t="s">
        <v>224</v>
      </c>
      <c r="F1257" s="15" t="s">
        <v>92</v>
      </c>
      <c r="G1257" s="15" t="s">
        <v>25</v>
      </c>
      <c r="H1257" s="15" t="s">
        <v>32</v>
      </c>
      <c r="I1257" s="15" t="s">
        <v>45</v>
      </c>
      <c r="J1257" s="15" t="s">
        <v>253</v>
      </c>
      <c r="K1257" s="15">
        <v>22</v>
      </c>
      <c r="L1257" s="16">
        <v>35</v>
      </c>
      <c r="M1257" s="17">
        <v>770</v>
      </c>
      <c r="N1257" s="15" t="s">
        <v>367</v>
      </c>
      <c r="O1257" s="15" t="s">
        <v>19</v>
      </c>
      <c r="Q1257"/>
    </row>
    <row r="1258" spans="1:17" ht="15.6" x14ac:dyDescent="0.3">
      <c r="A1258" s="11">
        <v>10241</v>
      </c>
      <c r="B1258" s="10">
        <v>38090</v>
      </c>
      <c r="C1258" s="10" t="s">
        <v>356</v>
      </c>
      <c r="D1258" s="11" t="s">
        <v>223</v>
      </c>
      <c r="E1258" s="11" t="s">
        <v>224</v>
      </c>
      <c r="F1258" s="11" t="s">
        <v>92</v>
      </c>
      <c r="G1258" s="11" t="s">
        <v>25</v>
      </c>
      <c r="H1258" s="11" t="s">
        <v>32</v>
      </c>
      <c r="I1258" s="11" t="s">
        <v>33</v>
      </c>
      <c r="J1258" s="11" t="s">
        <v>245</v>
      </c>
      <c r="K1258" s="11">
        <v>21</v>
      </c>
      <c r="L1258" s="12">
        <v>85</v>
      </c>
      <c r="M1258" s="13">
        <v>1785</v>
      </c>
      <c r="N1258" s="11" t="s">
        <v>367</v>
      </c>
      <c r="O1258" s="11" t="s">
        <v>19</v>
      </c>
      <c r="Q1258"/>
    </row>
    <row r="1259" spans="1:17" ht="15.6" x14ac:dyDescent="0.3">
      <c r="A1259" s="15">
        <v>10241</v>
      </c>
      <c r="B1259" s="14">
        <v>38090</v>
      </c>
      <c r="C1259" s="14" t="s">
        <v>356</v>
      </c>
      <c r="D1259" s="15" t="s">
        <v>223</v>
      </c>
      <c r="E1259" s="15" t="s">
        <v>224</v>
      </c>
      <c r="F1259" s="15" t="s">
        <v>92</v>
      </c>
      <c r="G1259" s="15" t="s">
        <v>25</v>
      </c>
      <c r="H1259" s="15" t="s">
        <v>32</v>
      </c>
      <c r="I1259" s="15" t="s">
        <v>34</v>
      </c>
      <c r="J1259" s="15" t="s">
        <v>246</v>
      </c>
      <c r="K1259" s="15">
        <v>47</v>
      </c>
      <c r="L1259" s="16">
        <v>80</v>
      </c>
      <c r="M1259" s="17">
        <v>3760</v>
      </c>
      <c r="N1259" s="15" t="s">
        <v>367</v>
      </c>
      <c r="O1259" s="15" t="s">
        <v>19</v>
      </c>
      <c r="Q1259"/>
    </row>
    <row r="1260" spans="1:17" ht="15.6" x14ac:dyDescent="0.3">
      <c r="A1260" s="11">
        <v>10241</v>
      </c>
      <c r="B1260" s="10">
        <v>38090</v>
      </c>
      <c r="C1260" s="10" t="s">
        <v>356</v>
      </c>
      <c r="D1260" s="11" t="s">
        <v>223</v>
      </c>
      <c r="E1260" s="11" t="s">
        <v>224</v>
      </c>
      <c r="F1260" s="11" t="s">
        <v>92</v>
      </c>
      <c r="G1260" s="11" t="s">
        <v>25</v>
      </c>
      <c r="H1260" s="11" t="s">
        <v>32</v>
      </c>
      <c r="I1260" s="11" t="s">
        <v>34</v>
      </c>
      <c r="J1260" s="11" t="s">
        <v>246</v>
      </c>
      <c r="K1260" s="11">
        <v>28</v>
      </c>
      <c r="L1260" s="12">
        <v>80</v>
      </c>
      <c r="M1260" s="13">
        <v>2240</v>
      </c>
      <c r="N1260" s="11" t="s">
        <v>367</v>
      </c>
      <c r="O1260" s="11" t="s">
        <v>19</v>
      </c>
      <c r="Q1260"/>
    </row>
    <row r="1261" spans="1:17" ht="15.6" x14ac:dyDescent="0.3">
      <c r="A1261" s="15">
        <v>10241</v>
      </c>
      <c r="B1261" s="14">
        <v>38090</v>
      </c>
      <c r="C1261" s="14" t="s">
        <v>356</v>
      </c>
      <c r="D1261" s="15" t="s">
        <v>223</v>
      </c>
      <c r="E1261" s="15" t="s">
        <v>224</v>
      </c>
      <c r="F1261" s="15" t="s">
        <v>92</v>
      </c>
      <c r="G1261" s="15" t="s">
        <v>25</v>
      </c>
      <c r="H1261" s="15" t="s">
        <v>32</v>
      </c>
      <c r="I1261" s="15" t="s">
        <v>44</v>
      </c>
      <c r="J1261" s="15" t="s">
        <v>252</v>
      </c>
      <c r="K1261" s="15">
        <v>26</v>
      </c>
      <c r="L1261" s="16">
        <v>55</v>
      </c>
      <c r="M1261" s="17">
        <v>1430</v>
      </c>
      <c r="N1261" s="15" t="s">
        <v>367</v>
      </c>
      <c r="O1261" s="15" t="s">
        <v>19</v>
      </c>
      <c r="Q1261"/>
    </row>
    <row r="1262" spans="1:17" ht="15.6" x14ac:dyDescent="0.3">
      <c r="A1262" s="11">
        <v>10241</v>
      </c>
      <c r="B1262" s="10">
        <v>38090</v>
      </c>
      <c r="C1262" s="10" t="s">
        <v>356</v>
      </c>
      <c r="D1262" s="11" t="s">
        <v>223</v>
      </c>
      <c r="E1262" s="11" t="s">
        <v>224</v>
      </c>
      <c r="F1262" s="11" t="s">
        <v>92</v>
      </c>
      <c r="G1262" s="11" t="s">
        <v>25</v>
      </c>
      <c r="H1262" s="11" t="s">
        <v>32</v>
      </c>
      <c r="I1262" s="11" t="s">
        <v>46</v>
      </c>
      <c r="J1262" s="11" t="s">
        <v>254</v>
      </c>
      <c r="K1262" s="11">
        <v>27</v>
      </c>
      <c r="L1262" s="12">
        <v>90</v>
      </c>
      <c r="M1262" s="13">
        <v>2430</v>
      </c>
      <c r="N1262" s="11" t="s">
        <v>367</v>
      </c>
      <c r="O1262" s="11" t="s">
        <v>19</v>
      </c>
      <c r="Q1262"/>
    </row>
    <row r="1263" spans="1:17" ht="15.6" x14ac:dyDescent="0.3">
      <c r="A1263" s="15">
        <v>10242</v>
      </c>
      <c r="B1263" s="14">
        <v>38097</v>
      </c>
      <c r="C1263" s="14" t="s">
        <v>357</v>
      </c>
      <c r="D1263" s="15" t="s">
        <v>225</v>
      </c>
      <c r="E1263" s="15" t="s">
        <v>28</v>
      </c>
      <c r="F1263" s="15" t="s">
        <v>15</v>
      </c>
      <c r="G1263" s="15" t="s">
        <v>16</v>
      </c>
      <c r="H1263" s="15" t="s">
        <v>17</v>
      </c>
      <c r="I1263" s="15" t="s">
        <v>20</v>
      </c>
      <c r="J1263" s="15" t="s">
        <v>242</v>
      </c>
      <c r="K1263" s="15">
        <v>46</v>
      </c>
      <c r="L1263" s="16">
        <v>48</v>
      </c>
      <c r="M1263" s="17">
        <v>2208</v>
      </c>
      <c r="N1263" s="15" t="s">
        <v>367</v>
      </c>
      <c r="O1263" s="15" t="s">
        <v>19</v>
      </c>
      <c r="Q1263"/>
    </row>
    <row r="1264" spans="1:17" ht="15.6" x14ac:dyDescent="0.3">
      <c r="A1264" s="11">
        <v>10243</v>
      </c>
      <c r="B1264" s="10">
        <v>38103</v>
      </c>
      <c r="C1264" s="10" t="s">
        <v>343</v>
      </c>
      <c r="D1264" s="11" t="s">
        <v>197</v>
      </c>
      <c r="E1264" s="11" t="s">
        <v>198</v>
      </c>
      <c r="F1264" s="11" t="s">
        <v>15</v>
      </c>
      <c r="G1264" s="11" t="s">
        <v>16</v>
      </c>
      <c r="H1264" s="11" t="s">
        <v>17</v>
      </c>
      <c r="I1264" s="11" t="s">
        <v>52</v>
      </c>
      <c r="J1264" s="11" t="s">
        <v>256</v>
      </c>
      <c r="K1264" s="11">
        <v>47</v>
      </c>
      <c r="L1264" s="12">
        <v>45</v>
      </c>
      <c r="M1264" s="13">
        <v>2115</v>
      </c>
      <c r="N1264" s="11" t="s">
        <v>367</v>
      </c>
      <c r="O1264" s="11" t="s">
        <v>19</v>
      </c>
      <c r="Q1264"/>
    </row>
    <row r="1265" spans="1:17" ht="15.6" x14ac:dyDescent="0.3">
      <c r="A1265" s="15">
        <v>10243</v>
      </c>
      <c r="B1265" s="14">
        <v>38103</v>
      </c>
      <c r="C1265" s="14" t="s">
        <v>343</v>
      </c>
      <c r="D1265" s="15" t="s">
        <v>197</v>
      </c>
      <c r="E1265" s="15" t="s">
        <v>198</v>
      </c>
      <c r="F1265" s="15" t="s">
        <v>15</v>
      </c>
      <c r="G1265" s="15" t="s">
        <v>16</v>
      </c>
      <c r="H1265" s="15" t="s">
        <v>17</v>
      </c>
      <c r="I1265" s="15" t="s">
        <v>82</v>
      </c>
      <c r="J1265" s="15" t="s">
        <v>270</v>
      </c>
      <c r="K1265" s="15">
        <v>33</v>
      </c>
      <c r="L1265" s="16">
        <v>75</v>
      </c>
      <c r="M1265" s="17">
        <v>2475</v>
      </c>
      <c r="N1265" s="15" t="s">
        <v>367</v>
      </c>
      <c r="O1265" s="15" t="s">
        <v>19</v>
      </c>
      <c r="Q1265"/>
    </row>
    <row r="1266" spans="1:17" ht="15.6" x14ac:dyDescent="0.3">
      <c r="A1266" s="11">
        <v>10244</v>
      </c>
      <c r="B1266" s="10">
        <v>38106</v>
      </c>
      <c r="C1266" s="10" t="s">
        <v>279</v>
      </c>
      <c r="D1266" s="11" t="s">
        <v>41</v>
      </c>
      <c r="E1266" s="11" t="s">
        <v>42</v>
      </c>
      <c r="F1266" s="11" t="s">
        <v>43</v>
      </c>
      <c r="G1266" s="11" t="s">
        <v>25</v>
      </c>
      <c r="H1266" s="11" t="s">
        <v>17</v>
      </c>
      <c r="I1266" s="11" t="s">
        <v>82</v>
      </c>
      <c r="J1266" s="11" t="s">
        <v>270</v>
      </c>
      <c r="K1266" s="11">
        <v>40</v>
      </c>
      <c r="L1266" s="12">
        <v>75</v>
      </c>
      <c r="M1266" s="13">
        <v>3000</v>
      </c>
      <c r="N1266" s="11" t="s">
        <v>367</v>
      </c>
      <c r="O1266" s="11" t="s">
        <v>19</v>
      </c>
      <c r="Q1266"/>
    </row>
    <row r="1267" spans="1:17" ht="15.6" x14ac:dyDescent="0.3">
      <c r="A1267" s="15">
        <v>10244</v>
      </c>
      <c r="B1267" s="14">
        <v>38106</v>
      </c>
      <c r="C1267" s="14" t="s">
        <v>279</v>
      </c>
      <c r="D1267" s="15" t="s">
        <v>41</v>
      </c>
      <c r="E1267" s="15" t="s">
        <v>42</v>
      </c>
      <c r="F1267" s="15" t="s">
        <v>43</v>
      </c>
      <c r="G1267" s="15" t="s">
        <v>25</v>
      </c>
      <c r="H1267" s="15" t="s">
        <v>17</v>
      </c>
      <c r="I1267" s="15" t="s">
        <v>20</v>
      </c>
      <c r="J1267" s="15" t="s">
        <v>242</v>
      </c>
      <c r="K1267" s="15">
        <v>20</v>
      </c>
      <c r="L1267" s="16">
        <v>48</v>
      </c>
      <c r="M1267" s="17">
        <v>960</v>
      </c>
      <c r="N1267" s="15" t="s">
        <v>367</v>
      </c>
      <c r="O1267" s="15" t="s">
        <v>19</v>
      </c>
      <c r="Q1267"/>
    </row>
    <row r="1268" spans="1:17" ht="15.6" x14ac:dyDescent="0.3">
      <c r="A1268" s="11">
        <v>10244</v>
      </c>
      <c r="B1268" s="10">
        <v>38106</v>
      </c>
      <c r="C1268" s="10" t="s">
        <v>279</v>
      </c>
      <c r="D1268" s="11" t="s">
        <v>41</v>
      </c>
      <c r="E1268" s="11" t="s">
        <v>42</v>
      </c>
      <c r="F1268" s="11" t="s">
        <v>43</v>
      </c>
      <c r="G1268" s="11" t="s">
        <v>25</v>
      </c>
      <c r="H1268" s="11" t="s">
        <v>17</v>
      </c>
      <c r="I1268" s="11" t="s">
        <v>18</v>
      </c>
      <c r="J1268" s="11" t="s">
        <v>241</v>
      </c>
      <c r="K1268" s="11">
        <v>43</v>
      </c>
      <c r="L1268" s="12">
        <v>30</v>
      </c>
      <c r="M1268" s="13">
        <v>1290</v>
      </c>
      <c r="N1268" s="11" t="s">
        <v>367</v>
      </c>
      <c r="O1268" s="11" t="s">
        <v>19</v>
      </c>
      <c r="Q1268"/>
    </row>
    <row r="1269" spans="1:17" ht="15.6" x14ac:dyDescent="0.3">
      <c r="A1269" s="15">
        <v>10244</v>
      </c>
      <c r="B1269" s="14">
        <v>38106</v>
      </c>
      <c r="C1269" s="14" t="s">
        <v>279</v>
      </c>
      <c r="D1269" s="15" t="s">
        <v>41</v>
      </c>
      <c r="E1269" s="15" t="s">
        <v>42</v>
      </c>
      <c r="F1269" s="15" t="s">
        <v>43</v>
      </c>
      <c r="G1269" s="15" t="s">
        <v>25</v>
      </c>
      <c r="H1269" s="15" t="s">
        <v>17</v>
      </c>
      <c r="I1269" s="15" t="s">
        <v>20</v>
      </c>
      <c r="J1269" s="15" t="s">
        <v>242</v>
      </c>
      <c r="K1269" s="15">
        <v>30</v>
      </c>
      <c r="L1269" s="16">
        <v>48</v>
      </c>
      <c r="M1269" s="17">
        <v>1440</v>
      </c>
      <c r="N1269" s="15" t="s">
        <v>367</v>
      </c>
      <c r="O1269" s="15" t="s">
        <v>19</v>
      </c>
      <c r="Q1269"/>
    </row>
    <row r="1270" spans="1:17" ht="15.6" x14ac:dyDescent="0.3">
      <c r="A1270" s="11">
        <v>10244</v>
      </c>
      <c r="B1270" s="10">
        <v>38106</v>
      </c>
      <c r="C1270" s="10" t="s">
        <v>279</v>
      </c>
      <c r="D1270" s="11" t="s">
        <v>41</v>
      </c>
      <c r="E1270" s="11" t="s">
        <v>42</v>
      </c>
      <c r="F1270" s="11" t="s">
        <v>43</v>
      </c>
      <c r="G1270" s="11" t="s">
        <v>25</v>
      </c>
      <c r="H1270" s="11" t="s">
        <v>17</v>
      </c>
      <c r="I1270" s="11" t="s">
        <v>82</v>
      </c>
      <c r="J1270" s="11" t="s">
        <v>270</v>
      </c>
      <c r="K1270" s="11">
        <v>24</v>
      </c>
      <c r="L1270" s="12">
        <v>75</v>
      </c>
      <c r="M1270" s="13">
        <v>1800</v>
      </c>
      <c r="N1270" s="11" t="s">
        <v>367</v>
      </c>
      <c r="O1270" s="11" t="s">
        <v>19</v>
      </c>
      <c r="Q1270"/>
    </row>
    <row r="1271" spans="1:17" ht="15.6" x14ac:dyDescent="0.3">
      <c r="A1271" s="15">
        <v>10244</v>
      </c>
      <c r="B1271" s="14">
        <v>38106</v>
      </c>
      <c r="C1271" s="14" t="s">
        <v>279</v>
      </c>
      <c r="D1271" s="15" t="s">
        <v>41</v>
      </c>
      <c r="E1271" s="15" t="s">
        <v>42</v>
      </c>
      <c r="F1271" s="15" t="s">
        <v>43</v>
      </c>
      <c r="G1271" s="15" t="s">
        <v>25</v>
      </c>
      <c r="H1271" s="15" t="s">
        <v>17</v>
      </c>
      <c r="I1271" s="15" t="s">
        <v>20</v>
      </c>
      <c r="J1271" s="15" t="s">
        <v>242</v>
      </c>
      <c r="K1271" s="15">
        <v>29</v>
      </c>
      <c r="L1271" s="16">
        <v>48</v>
      </c>
      <c r="M1271" s="17">
        <v>1392</v>
      </c>
      <c r="N1271" s="15" t="s">
        <v>367</v>
      </c>
      <c r="O1271" s="15" t="s">
        <v>19</v>
      </c>
      <c r="Q1271"/>
    </row>
    <row r="1272" spans="1:17" ht="15.6" x14ac:dyDescent="0.3">
      <c r="A1272" s="11">
        <v>10244</v>
      </c>
      <c r="B1272" s="10">
        <v>38106</v>
      </c>
      <c r="C1272" s="10" t="s">
        <v>279</v>
      </c>
      <c r="D1272" s="11" t="s">
        <v>41</v>
      </c>
      <c r="E1272" s="11" t="s">
        <v>42</v>
      </c>
      <c r="F1272" s="11" t="s">
        <v>43</v>
      </c>
      <c r="G1272" s="11" t="s">
        <v>25</v>
      </c>
      <c r="H1272" s="11" t="s">
        <v>17</v>
      </c>
      <c r="I1272" s="11" t="s">
        <v>26</v>
      </c>
      <c r="J1272" s="11" t="s">
        <v>244</v>
      </c>
      <c r="K1272" s="11">
        <v>36</v>
      </c>
      <c r="L1272" s="12">
        <v>60</v>
      </c>
      <c r="M1272" s="13">
        <v>2160</v>
      </c>
      <c r="N1272" s="11" t="s">
        <v>367</v>
      </c>
      <c r="O1272" s="11" t="s">
        <v>19</v>
      </c>
      <c r="Q1272"/>
    </row>
    <row r="1273" spans="1:17" ht="15.6" x14ac:dyDescent="0.3">
      <c r="A1273" s="15">
        <v>10244</v>
      </c>
      <c r="B1273" s="14">
        <v>38106</v>
      </c>
      <c r="C1273" s="14" t="s">
        <v>279</v>
      </c>
      <c r="D1273" s="15" t="s">
        <v>41</v>
      </c>
      <c r="E1273" s="15" t="s">
        <v>42</v>
      </c>
      <c r="F1273" s="15" t="s">
        <v>43</v>
      </c>
      <c r="G1273" s="15" t="s">
        <v>25</v>
      </c>
      <c r="H1273" s="15" t="s">
        <v>17</v>
      </c>
      <c r="I1273" s="15" t="s">
        <v>82</v>
      </c>
      <c r="J1273" s="15" t="s">
        <v>270</v>
      </c>
      <c r="K1273" s="15">
        <v>39</v>
      </c>
      <c r="L1273" s="16">
        <v>75</v>
      </c>
      <c r="M1273" s="17">
        <v>2925</v>
      </c>
      <c r="N1273" s="15" t="s">
        <v>367</v>
      </c>
      <c r="O1273" s="15" t="s">
        <v>19</v>
      </c>
      <c r="Q1273"/>
    </row>
    <row r="1274" spans="1:17" ht="15.6" x14ac:dyDescent="0.3">
      <c r="A1274" s="11">
        <v>10244</v>
      </c>
      <c r="B1274" s="10">
        <v>38106</v>
      </c>
      <c r="C1274" s="10" t="s">
        <v>279</v>
      </c>
      <c r="D1274" s="11" t="s">
        <v>41</v>
      </c>
      <c r="E1274" s="11" t="s">
        <v>42</v>
      </c>
      <c r="F1274" s="11" t="s">
        <v>43</v>
      </c>
      <c r="G1274" s="11" t="s">
        <v>25</v>
      </c>
      <c r="H1274" s="11" t="s">
        <v>17</v>
      </c>
      <c r="I1274" s="11" t="s">
        <v>26</v>
      </c>
      <c r="J1274" s="11" t="s">
        <v>244</v>
      </c>
      <c r="K1274" s="11">
        <v>40</v>
      </c>
      <c r="L1274" s="12">
        <v>60</v>
      </c>
      <c r="M1274" s="13">
        <v>2400</v>
      </c>
      <c r="N1274" s="11" t="s">
        <v>367</v>
      </c>
      <c r="O1274" s="11" t="s">
        <v>19</v>
      </c>
      <c r="Q1274"/>
    </row>
    <row r="1275" spans="1:17" ht="15.6" x14ac:dyDescent="0.3">
      <c r="A1275" s="15">
        <v>10245</v>
      </c>
      <c r="B1275" s="14">
        <v>38111</v>
      </c>
      <c r="C1275" s="14" t="s">
        <v>340</v>
      </c>
      <c r="D1275" s="15" t="s">
        <v>191</v>
      </c>
      <c r="E1275" s="15" t="s">
        <v>192</v>
      </c>
      <c r="F1275" s="15" t="s">
        <v>15</v>
      </c>
      <c r="G1275" s="15" t="s">
        <v>16</v>
      </c>
      <c r="H1275" s="15" t="s">
        <v>32</v>
      </c>
      <c r="I1275" s="15" t="s">
        <v>33</v>
      </c>
      <c r="J1275" s="15" t="s">
        <v>245</v>
      </c>
      <c r="K1275" s="15">
        <v>34</v>
      </c>
      <c r="L1275" s="16">
        <v>85</v>
      </c>
      <c r="M1275" s="17">
        <v>2890</v>
      </c>
      <c r="N1275" s="15" t="s">
        <v>367</v>
      </c>
      <c r="O1275" s="15" t="s">
        <v>19</v>
      </c>
      <c r="Q1275"/>
    </row>
    <row r="1276" spans="1:17" ht="15.6" x14ac:dyDescent="0.3">
      <c r="A1276" s="11">
        <v>10245</v>
      </c>
      <c r="B1276" s="10">
        <v>38111</v>
      </c>
      <c r="C1276" s="10" t="s">
        <v>340</v>
      </c>
      <c r="D1276" s="11" t="s">
        <v>191</v>
      </c>
      <c r="E1276" s="11" t="s">
        <v>192</v>
      </c>
      <c r="F1276" s="11" t="s">
        <v>15</v>
      </c>
      <c r="G1276" s="11" t="s">
        <v>16</v>
      </c>
      <c r="H1276" s="11" t="s">
        <v>32</v>
      </c>
      <c r="I1276" s="11" t="s">
        <v>34</v>
      </c>
      <c r="J1276" s="11" t="s">
        <v>246</v>
      </c>
      <c r="K1276" s="11">
        <v>28</v>
      </c>
      <c r="L1276" s="12">
        <v>80</v>
      </c>
      <c r="M1276" s="13">
        <v>2240</v>
      </c>
      <c r="N1276" s="11" t="s">
        <v>367</v>
      </c>
      <c r="O1276" s="11" t="s">
        <v>19</v>
      </c>
      <c r="Q1276"/>
    </row>
    <row r="1277" spans="1:17" ht="15.6" x14ac:dyDescent="0.3">
      <c r="A1277" s="15">
        <v>10245</v>
      </c>
      <c r="B1277" s="14">
        <v>38111</v>
      </c>
      <c r="C1277" s="14" t="s">
        <v>340</v>
      </c>
      <c r="D1277" s="15" t="s">
        <v>191</v>
      </c>
      <c r="E1277" s="15" t="s">
        <v>192</v>
      </c>
      <c r="F1277" s="15" t="s">
        <v>15</v>
      </c>
      <c r="G1277" s="15" t="s">
        <v>16</v>
      </c>
      <c r="H1277" s="15" t="s">
        <v>35</v>
      </c>
      <c r="I1277" s="15" t="s">
        <v>40</v>
      </c>
      <c r="J1277" s="15" t="s">
        <v>251</v>
      </c>
      <c r="K1277" s="15">
        <v>38</v>
      </c>
      <c r="L1277" s="16">
        <v>25</v>
      </c>
      <c r="M1277" s="17">
        <v>950</v>
      </c>
      <c r="N1277" s="15" t="s">
        <v>367</v>
      </c>
      <c r="O1277" s="15" t="s">
        <v>19</v>
      </c>
      <c r="Q1277"/>
    </row>
    <row r="1278" spans="1:17" ht="15.6" x14ac:dyDescent="0.3">
      <c r="A1278" s="11">
        <v>10245</v>
      </c>
      <c r="B1278" s="10">
        <v>38111</v>
      </c>
      <c r="C1278" s="10" t="s">
        <v>340</v>
      </c>
      <c r="D1278" s="11" t="s">
        <v>191</v>
      </c>
      <c r="E1278" s="11" t="s">
        <v>192</v>
      </c>
      <c r="F1278" s="11" t="s">
        <v>15</v>
      </c>
      <c r="G1278" s="11" t="s">
        <v>16</v>
      </c>
      <c r="H1278" s="11" t="s">
        <v>35</v>
      </c>
      <c r="I1278" s="11" t="s">
        <v>40</v>
      </c>
      <c r="J1278" s="11" t="s">
        <v>251</v>
      </c>
      <c r="K1278" s="11">
        <v>29</v>
      </c>
      <c r="L1278" s="12">
        <v>25</v>
      </c>
      <c r="M1278" s="13">
        <v>725</v>
      </c>
      <c r="N1278" s="11" t="s">
        <v>367</v>
      </c>
      <c r="O1278" s="11" t="s">
        <v>19</v>
      </c>
      <c r="Q1278"/>
    </row>
    <row r="1279" spans="1:17" ht="15.6" x14ac:dyDescent="0.3">
      <c r="A1279" s="15">
        <v>10245</v>
      </c>
      <c r="B1279" s="14">
        <v>38111</v>
      </c>
      <c r="C1279" s="14" t="s">
        <v>340</v>
      </c>
      <c r="D1279" s="15" t="s">
        <v>191</v>
      </c>
      <c r="E1279" s="15" t="s">
        <v>192</v>
      </c>
      <c r="F1279" s="15" t="s">
        <v>15</v>
      </c>
      <c r="G1279" s="15" t="s">
        <v>16</v>
      </c>
      <c r="H1279" s="15" t="s">
        <v>35</v>
      </c>
      <c r="I1279" s="15" t="s">
        <v>38</v>
      </c>
      <c r="J1279" s="15" t="s">
        <v>249</v>
      </c>
      <c r="K1279" s="15">
        <v>21</v>
      </c>
      <c r="L1279" s="16">
        <v>20</v>
      </c>
      <c r="M1279" s="17">
        <v>420</v>
      </c>
      <c r="N1279" s="15" t="s">
        <v>367</v>
      </c>
      <c r="O1279" s="15" t="s">
        <v>19</v>
      </c>
      <c r="Q1279"/>
    </row>
    <row r="1280" spans="1:17" ht="15.6" x14ac:dyDescent="0.3">
      <c r="A1280" s="11">
        <v>10245</v>
      </c>
      <c r="B1280" s="10">
        <v>38111</v>
      </c>
      <c r="C1280" s="10" t="s">
        <v>340</v>
      </c>
      <c r="D1280" s="11" t="s">
        <v>191</v>
      </c>
      <c r="E1280" s="11" t="s">
        <v>192</v>
      </c>
      <c r="F1280" s="11" t="s">
        <v>15</v>
      </c>
      <c r="G1280" s="11" t="s">
        <v>16</v>
      </c>
      <c r="H1280" s="11" t="s">
        <v>17</v>
      </c>
      <c r="I1280" s="11" t="s">
        <v>20</v>
      </c>
      <c r="J1280" s="11" t="s">
        <v>242</v>
      </c>
      <c r="K1280" s="11">
        <v>45</v>
      </c>
      <c r="L1280" s="12">
        <v>48</v>
      </c>
      <c r="M1280" s="13">
        <v>2160</v>
      </c>
      <c r="N1280" s="11" t="s">
        <v>367</v>
      </c>
      <c r="O1280" s="11" t="s">
        <v>19</v>
      </c>
      <c r="Q1280"/>
    </row>
    <row r="1281" spans="1:17" ht="15.6" x14ac:dyDescent="0.3">
      <c r="A1281" s="15">
        <v>10245</v>
      </c>
      <c r="B1281" s="14">
        <v>38111</v>
      </c>
      <c r="C1281" s="14" t="s">
        <v>340</v>
      </c>
      <c r="D1281" s="15" t="s">
        <v>191</v>
      </c>
      <c r="E1281" s="15" t="s">
        <v>192</v>
      </c>
      <c r="F1281" s="15" t="s">
        <v>15</v>
      </c>
      <c r="G1281" s="15" t="s">
        <v>16</v>
      </c>
      <c r="H1281" s="15" t="s">
        <v>35</v>
      </c>
      <c r="I1281" s="15" t="s">
        <v>39</v>
      </c>
      <c r="J1281" s="15" t="s">
        <v>250</v>
      </c>
      <c r="K1281" s="15">
        <v>37</v>
      </c>
      <c r="L1281" s="16">
        <v>20</v>
      </c>
      <c r="M1281" s="17">
        <v>740</v>
      </c>
      <c r="N1281" s="15" t="s">
        <v>367</v>
      </c>
      <c r="O1281" s="15" t="s">
        <v>19</v>
      </c>
      <c r="Q1281"/>
    </row>
    <row r="1282" spans="1:17" ht="15.6" x14ac:dyDescent="0.3">
      <c r="A1282" s="11">
        <v>10245</v>
      </c>
      <c r="B1282" s="10">
        <v>38111</v>
      </c>
      <c r="C1282" s="10" t="s">
        <v>340</v>
      </c>
      <c r="D1282" s="11" t="s">
        <v>191</v>
      </c>
      <c r="E1282" s="11" t="s">
        <v>192</v>
      </c>
      <c r="F1282" s="11" t="s">
        <v>15</v>
      </c>
      <c r="G1282" s="11" t="s">
        <v>16</v>
      </c>
      <c r="H1282" s="11" t="s">
        <v>35</v>
      </c>
      <c r="I1282" s="11" t="s">
        <v>40</v>
      </c>
      <c r="J1282" s="11" t="s">
        <v>251</v>
      </c>
      <c r="K1282" s="11">
        <v>44</v>
      </c>
      <c r="L1282" s="12">
        <v>25</v>
      </c>
      <c r="M1282" s="13">
        <v>1100</v>
      </c>
      <c r="N1282" s="11" t="s">
        <v>367</v>
      </c>
      <c r="O1282" s="11" t="s">
        <v>19</v>
      </c>
      <c r="Q1282"/>
    </row>
    <row r="1283" spans="1:17" ht="15.6" x14ac:dyDescent="0.3">
      <c r="A1283" s="15">
        <v>10245</v>
      </c>
      <c r="B1283" s="14">
        <v>38111</v>
      </c>
      <c r="C1283" s="14" t="s">
        <v>340</v>
      </c>
      <c r="D1283" s="15" t="s">
        <v>191</v>
      </c>
      <c r="E1283" s="15" t="s">
        <v>192</v>
      </c>
      <c r="F1283" s="15" t="s">
        <v>15</v>
      </c>
      <c r="G1283" s="15" t="s">
        <v>16</v>
      </c>
      <c r="H1283" s="15" t="s">
        <v>32</v>
      </c>
      <c r="I1283" s="15" t="s">
        <v>45</v>
      </c>
      <c r="J1283" s="15" t="s">
        <v>253</v>
      </c>
      <c r="K1283" s="15">
        <v>44</v>
      </c>
      <c r="L1283" s="16">
        <v>35</v>
      </c>
      <c r="M1283" s="17">
        <v>1540</v>
      </c>
      <c r="N1283" s="15" t="s">
        <v>367</v>
      </c>
      <c r="O1283" s="15" t="s">
        <v>19</v>
      </c>
      <c r="Q1283"/>
    </row>
    <row r="1284" spans="1:17" ht="15.6" x14ac:dyDescent="0.3">
      <c r="A1284" s="11">
        <v>10247</v>
      </c>
      <c r="B1284" s="10">
        <v>38112</v>
      </c>
      <c r="C1284" s="10" t="s">
        <v>309</v>
      </c>
      <c r="D1284" s="11" t="s">
        <v>133</v>
      </c>
      <c r="E1284" s="11" t="s">
        <v>134</v>
      </c>
      <c r="F1284" s="11" t="s">
        <v>135</v>
      </c>
      <c r="G1284" s="11" t="s">
        <v>25</v>
      </c>
      <c r="H1284" s="11" t="s">
        <v>32</v>
      </c>
      <c r="I1284" s="11" t="s">
        <v>46</v>
      </c>
      <c r="J1284" s="11" t="s">
        <v>254</v>
      </c>
      <c r="K1284" s="11">
        <v>44</v>
      </c>
      <c r="L1284" s="12">
        <v>90</v>
      </c>
      <c r="M1284" s="13">
        <v>3960</v>
      </c>
      <c r="N1284" s="11" t="s">
        <v>367</v>
      </c>
      <c r="O1284" s="11" t="s">
        <v>19</v>
      </c>
      <c r="Q1284"/>
    </row>
    <row r="1285" spans="1:17" ht="15.6" x14ac:dyDescent="0.3">
      <c r="A1285" s="15">
        <v>10247</v>
      </c>
      <c r="B1285" s="14">
        <v>38112</v>
      </c>
      <c r="C1285" s="14" t="s">
        <v>309</v>
      </c>
      <c r="D1285" s="15" t="s">
        <v>133</v>
      </c>
      <c r="E1285" s="15" t="s">
        <v>134</v>
      </c>
      <c r="F1285" s="15" t="s">
        <v>135</v>
      </c>
      <c r="G1285" s="15" t="s">
        <v>25</v>
      </c>
      <c r="H1285" s="15" t="s">
        <v>32</v>
      </c>
      <c r="I1285" s="15" t="s">
        <v>34</v>
      </c>
      <c r="J1285" s="15" t="s">
        <v>246</v>
      </c>
      <c r="K1285" s="15">
        <v>25</v>
      </c>
      <c r="L1285" s="16">
        <v>80</v>
      </c>
      <c r="M1285" s="17">
        <v>2000</v>
      </c>
      <c r="N1285" s="15" t="s">
        <v>367</v>
      </c>
      <c r="O1285" s="15" t="s">
        <v>19</v>
      </c>
      <c r="Q1285"/>
    </row>
    <row r="1286" spans="1:17" ht="15.6" x14ac:dyDescent="0.3">
      <c r="A1286" s="11">
        <v>10247</v>
      </c>
      <c r="B1286" s="10">
        <v>38112</v>
      </c>
      <c r="C1286" s="10" t="s">
        <v>309</v>
      </c>
      <c r="D1286" s="11" t="s">
        <v>133</v>
      </c>
      <c r="E1286" s="11" t="s">
        <v>134</v>
      </c>
      <c r="F1286" s="11" t="s">
        <v>135</v>
      </c>
      <c r="G1286" s="11" t="s">
        <v>25</v>
      </c>
      <c r="H1286" s="11" t="s">
        <v>32</v>
      </c>
      <c r="I1286" s="11" t="s">
        <v>44</v>
      </c>
      <c r="J1286" s="11" t="s">
        <v>252</v>
      </c>
      <c r="K1286" s="11">
        <v>27</v>
      </c>
      <c r="L1286" s="12">
        <v>55</v>
      </c>
      <c r="M1286" s="13">
        <v>1485</v>
      </c>
      <c r="N1286" s="11" t="s">
        <v>367</v>
      </c>
      <c r="O1286" s="11" t="s">
        <v>19</v>
      </c>
      <c r="Q1286"/>
    </row>
    <row r="1287" spans="1:17" ht="15.6" x14ac:dyDescent="0.3">
      <c r="A1287" s="15">
        <v>10246</v>
      </c>
      <c r="B1287" s="14">
        <v>38112</v>
      </c>
      <c r="C1287" s="14" t="s">
        <v>279</v>
      </c>
      <c r="D1287" s="15" t="s">
        <v>41</v>
      </c>
      <c r="E1287" s="15" t="s">
        <v>42</v>
      </c>
      <c r="F1287" s="15" t="s">
        <v>43</v>
      </c>
      <c r="G1287" s="15" t="s">
        <v>25</v>
      </c>
      <c r="H1287" s="15" t="s">
        <v>35</v>
      </c>
      <c r="I1287" s="15" t="s">
        <v>38</v>
      </c>
      <c r="J1287" s="15" t="s">
        <v>249</v>
      </c>
      <c r="K1287" s="15">
        <v>46</v>
      </c>
      <c r="L1287" s="16">
        <v>20</v>
      </c>
      <c r="M1287" s="17">
        <v>920</v>
      </c>
      <c r="N1287" s="15" t="s">
        <v>367</v>
      </c>
      <c r="O1287" s="15" t="s">
        <v>19</v>
      </c>
      <c r="Q1287"/>
    </row>
    <row r="1288" spans="1:17" ht="15.6" x14ac:dyDescent="0.3">
      <c r="A1288" s="11">
        <v>10246</v>
      </c>
      <c r="B1288" s="10">
        <v>38112</v>
      </c>
      <c r="C1288" s="10" t="s">
        <v>279</v>
      </c>
      <c r="D1288" s="11" t="s">
        <v>41</v>
      </c>
      <c r="E1288" s="11" t="s">
        <v>42</v>
      </c>
      <c r="F1288" s="11" t="s">
        <v>43</v>
      </c>
      <c r="G1288" s="11" t="s">
        <v>25</v>
      </c>
      <c r="H1288" s="11" t="s">
        <v>32</v>
      </c>
      <c r="I1288" s="11" t="s">
        <v>44</v>
      </c>
      <c r="J1288" s="11" t="s">
        <v>252</v>
      </c>
      <c r="K1288" s="11">
        <v>40</v>
      </c>
      <c r="L1288" s="12">
        <v>55</v>
      </c>
      <c r="M1288" s="13">
        <v>2200</v>
      </c>
      <c r="N1288" s="11" t="s">
        <v>367</v>
      </c>
      <c r="O1288" s="11" t="s">
        <v>19</v>
      </c>
      <c r="Q1288"/>
    </row>
    <row r="1289" spans="1:17" ht="15.6" x14ac:dyDescent="0.3">
      <c r="A1289" s="15">
        <v>10246</v>
      </c>
      <c r="B1289" s="14">
        <v>38112</v>
      </c>
      <c r="C1289" s="14" t="s">
        <v>279</v>
      </c>
      <c r="D1289" s="15" t="s">
        <v>41</v>
      </c>
      <c r="E1289" s="15" t="s">
        <v>42</v>
      </c>
      <c r="F1289" s="15" t="s">
        <v>43</v>
      </c>
      <c r="G1289" s="15" t="s">
        <v>25</v>
      </c>
      <c r="H1289" s="15" t="s">
        <v>35</v>
      </c>
      <c r="I1289" s="15" t="s">
        <v>40</v>
      </c>
      <c r="J1289" s="15" t="s">
        <v>251</v>
      </c>
      <c r="K1289" s="15">
        <v>22</v>
      </c>
      <c r="L1289" s="16">
        <v>25</v>
      </c>
      <c r="M1289" s="17">
        <v>550</v>
      </c>
      <c r="N1289" s="15" t="s">
        <v>367</v>
      </c>
      <c r="O1289" s="15" t="s">
        <v>19</v>
      </c>
      <c r="Q1289"/>
    </row>
    <row r="1290" spans="1:17" ht="15.6" x14ac:dyDescent="0.3">
      <c r="A1290" s="11">
        <v>10246</v>
      </c>
      <c r="B1290" s="10">
        <v>38112</v>
      </c>
      <c r="C1290" s="10" t="s">
        <v>279</v>
      </c>
      <c r="D1290" s="11" t="s">
        <v>41</v>
      </c>
      <c r="E1290" s="11" t="s">
        <v>42</v>
      </c>
      <c r="F1290" s="11" t="s">
        <v>43</v>
      </c>
      <c r="G1290" s="11" t="s">
        <v>25</v>
      </c>
      <c r="H1290" s="11" t="s">
        <v>35</v>
      </c>
      <c r="I1290" s="11" t="s">
        <v>40</v>
      </c>
      <c r="J1290" s="11" t="s">
        <v>251</v>
      </c>
      <c r="K1290" s="11">
        <v>30</v>
      </c>
      <c r="L1290" s="12">
        <v>25</v>
      </c>
      <c r="M1290" s="13">
        <v>750</v>
      </c>
      <c r="N1290" s="11" t="s">
        <v>367</v>
      </c>
      <c r="O1290" s="11" t="s">
        <v>19</v>
      </c>
      <c r="Q1290"/>
    </row>
    <row r="1291" spans="1:17" ht="15.6" x14ac:dyDescent="0.3">
      <c r="A1291" s="15">
        <v>10246</v>
      </c>
      <c r="B1291" s="14">
        <v>38112</v>
      </c>
      <c r="C1291" s="14" t="s">
        <v>279</v>
      </c>
      <c r="D1291" s="15" t="s">
        <v>41</v>
      </c>
      <c r="E1291" s="15" t="s">
        <v>42</v>
      </c>
      <c r="F1291" s="15" t="s">
        <v>43</v>
      </c>
      <c r="G1291" s="15" t="s">
        <v>25</v>
      </c>
      <c r="H1291" s="15" t="s">
        <v>32</v>
      </c>
      <c r="I1291" s="15" t="s">
        <v>46</v>
      </c>
      <c r="J1291" s="15" t="s">
        <v>254</v>
      </c>
      <c r="K1291" s="15">
        <v>36</v>
      </c>
      <c r="L1291" s="16">
        <v>90</v>
      </c>
      <c r="M1291" s="17">
        <v>3240</v>
      </c>
      <c r="N1291" s="15" t="s">
        <v>367</v>
      </c>
      <c r="O1291" s="15" t="s">
        <v>19</v>
      </c>
      <c r="Q1291"/>
    </row>
    <row r="1292" spans="1:17" ht="15.6" x14ac:dyDescent="0.3">
      <c r="A1292" s="11">
        <v>10247</v>
      </c>
      <c r="B1292" s="10">
        <v>38112</v>
      </c>
      <c r="C1292" s="10" t="s">
        <v>309</v>
      </c>
      <c r="D1292" s="11" t="s">
        <v>133</v>
      </c>
      <c r="E1292" s="11" t="s">
        <v>134</v>
      </c>
      <c r="F1292" s="11" t="s">
        <v>135</v>
      </c>
      <c r="G1292" s="11" t="s">
        <v>25</v>
      </c>
      <c r="H1292" s="11" t="s">
        <v>32</v>
      </c>
      <c r="I1292" s="11" t="s">
        <v>33</v>
      </c>
      <c r="J1292" s="11" t="s">
        <v>245</v>
      </c>
      <c r="K1292" s="11">
        <v>48</v>
      </c>
      <c r="L1292" s="12">
        <v>85</v>
      </c>
      <c r="M1292" s="13">
        <v>4080</v>
      </c>
      <c r="N1292" s="11" t="s">
        <v>367</v>
      </c>
      <c r="O1292" s="11" t="s">
        <v>19</v>
      </c>
      <c r="Q1292"/>
    </row>
    <row r="1293" spans="1:17" ht="15.6" x14ac:dyDescent="0.3">
      <c r="A1293" s="15">
        <v>10246</v>
      </c>
      <c r="B1293" s="14">
        <v>38112</v>
      </c>
      <c r="C1293" s="14" t="s">
        <v>279</v>
      </c>
      <c r="D1293" s="15" t="s">
        <v>41</v>
      </c>
      <c r="E1293" s="15" t="s">
        <v>42</v>
      </c>
      <c r="F1293" s="15" t="s">
        <v>43</v>
      </c>
      <c r="G1293" s="15" t="s">
        <v>25</v>
      </c>
      <c r="H1293" s="15" t="s">
        <v>32</v>
      </c>
      <c r="I1293" s="15" t="s">
        <v>44</v>
      </c>
      <c r="J1293" s="15" t="s">
        <v>252</v>
      </c>
      <c r="K1293" s="15">
        <v>44</v>
      </c>
      <c r="L1293" s="16">
        <v>55</v>
      </c>
      <c r="M1293" s="17">
        <v>2420</v>
      </c>
      <c r="N1293" s="15" t="s">
        <v>367</v>
      </c>
      <c r="O1293" s="15" t="s">
        <v>19</v>
      </c>
      <c r="Q1293"/>
    </row>
    <row r="1294" spans="1:17" ht="15.6" x14ac:dyDescent="0.3">
      <c r="A1294" s="11">
        <v>10246</v>
      </c>
      <c r="B1294" s="10">
        <v>38112</v>
      </c>
      <c r="C1294" s="10" t="s">
        <v>279</v>
      </c>
      <c r="D1294" s="11" t="s">
        <v>41</v>
      </c>
      <c r="E1294" s="11" t="s">
        <v>42</v>
      </c>
      <c r="F1294" s="11" t="s">
        <v>43</v>
      </c>
      <c r="G1294" s="11" t="s">
        <v>25</v>
      </c>
      <c r="H1294" s="11" t="s">
        <v>35</v>
      </c>
      <c r="I1294" s="11" t="s">
        <v>39</v>
      </c>
      <c r="J1294" s="11" t="s">
        <v>250</v>
      </c>
      <c r="K1294" s="11">
        <v>29</v>
      </c>
      <c r="L1294" s="12">
        <v>20</v>
      </c>
      <c r="M1294" s="13">
        <v>580</v>
      </c>
      <c r="N1294" s="11" t="s">
        <v>367</v>
      </c>
      <c r="O1294" s="11" t="s">
        <v>19</v>
      </c>
      <c r="Q1294"/>
    </row>
    <row r="1295" spans="1:17" ht="15.6" x14ac:dyDescent="0.3">
      <c r="A1295" s="15">
        <v>10246</v>
      </c>
      <c r="B1295" s="14">
        <v>38112</v>
      </c>
      <c r="C1295" s="14" t="s">
        <v>279</v>
      </c>
      <c r="D1295" s="15" t="s">
        <v>41</v>
      </c>
      <c r="E1295" s="15" t="s">
        <v>42</v>
      </c>
      <c r="F1295" s="15" t="s">
        <v>43</v>
      </c>
      <c r="G1295" s="15" t="s">
        <v>25</v>
      </c>
      <c r="H1295" s="15" t="s">
        <v>32</v>
      </c>
      <c r="I1295" s="15" t="s">
        <v>34</v>
      </c>
      <c r="J1295" s="15" t="s">
        <v>246</v>
      </c>
      <c r="K1295" s="15">
        <v>49</v>
      </c>
      <c r="L1295" s="16">
        <v>80</v>
      </c>
      <c r="M1295" s="17">
        <v>3920</v>
      </c>
      <c r="N1295" s="15" t="s">
        <v>367</v>
      </c>
      <c r="O1295" s="15" t="s">
        <v>19</v>
      </c>
      <c r="Q1295"/>
    </row>
    <row r="1296" spans="1:17" ht="15.6" x14ac:dyDescent="0.3">
      <c r="A1296" s="11">
        <v>10246</v>
      </c>
      <c r="B1296" s="10">
        <v>38112</v>
      </c>
      <c r="C1296" s="10" t="s">
        <v>279</v>
      </c>
      <c r="D1296" s="11" t="s">
        <v>41</v>
      </c>
      <c r="E1296" s="11" t="s">
        <v>42</v>
      </c>
      <c r="F1296" s="11" t="s">
        <v>43</v>
      </c>
      <c r="G1296" s="11" t="s">
        <v>25</v>
      </c>
      <c r="H1296" s="11" t="s">
        <v>32</v>
      </c>
      <c r="I1296" s="11" t="s">
        <v>34</v>
      </c>
      <c r="J1296" s="11" t="s">
        <v>246</v>
      </c>
      <c r="K1296" s="11">
        <v>46</v>
      </c>
      <c r="L1296" s="12">
        <v>80</v>
      </c>
      <c r="M1296" s="13">
        <v>3680</v>
      </c>
      <c r="N1296" s="11" t="s">
        <v>367</v>
      </c>
      <c r="O1296" s="11" t="s">
        <v>19</v>
      </c>
      <c r="Q1296"/>
    </row>
    <row r="1297" spans="1:17" ht="15.6" x14ac:dyDescent="0.3">
      <c r="A1297" s="15">
        <v>10246</v>
      </c>
      <c r="B1297" s="14">
        <v>38112</v>
      </c>
      <c r="C1297" s="14" t="s">
        <v>279</v>
      </c>
      <c r="D1297" s="15" t="s">
        <v>41</v>
      </c>
      <c r="E1297" s="15" t="s">
        <v>42</v>
      </c>
      <c r="F1297" s="15" t="s">
        <v>43</v>
      </c>
      <c r="G1297" s="15" t="s">
        <v>25</v>
      </c>
      <c r="H1297" s="15" t="s">
        <v>35</v>
      </c>
      <c r="I1297" s="15" t="s">
        <v>39</v>
      </c>
      <c r="J1297" s="15" t="s">
        <v>250</v>
      </c>
      <c r="K1297" s="15">
        <v>35</v>
      </c>
      <c r="L1297" s="16">
        <v>20</v>
      </c>
      <c r="M1297" s="17">
        <v>700</v>
      </c>
      <c r="N1297" s="15" t="s">
        <v>367</v>
      </c>
      <c r="O1297" s="15" t="s">
        <v>19</v>
      </c>
      <c r="Q1297"/>
    </row>
    <row r="1298" spans="1:17" ht="15.6" x14ac:dyDescent="0.3">
      <c r="A1298" s="11">
        <v>10247</v>
      </c>
      <c r="B1298" s="10">
        <v>38112</v>
      </c>
      <c r="C1298" s="10" t="s">
        <v>309</v>
      </c>
      <c r="D1298" s="11" t="s">
        <v>133</v>
      </c>
      <c r="E1298" s="11" t="s">
        <v>134</v>
      </c>
      <c r="F1298" s="11" t="s">
        <v>135</v>
      </c>
      <c r="G1298" s="11" t="s">
        <v>25</v>
      </c>
      <c r="H1298" s="11" t="s">
        <v>47</v>
      </c>
      <c r="I1298" s="11" t="s">
        <v>119</v>
      </c>
      <c r="J1298" s="11" t="s">
        <v>272</v>
      </c>
      <c r="K1298" s="11">
        <v>40</v>
      </c>
      <c r="L1298" s="12">
        <v>60</v>
      </c>
      <c r="M1298" s="13">
        <v>2400</v>
      </c>
      <c r="N1298" s="11" t="s">
        <v>367</v>
      </c>
      <c r="O1298" s="11" t="s">
        <v>19</v>
      </c>
      <c r="Q1298"/>
    </row>
    <row r="1299" spans="1:17" ht="15.6" x14ac:dyDescent="0.3">
      <c r="A1299" s="15">
        <v>10246</v>
      </c>
      <c r="B1299" s="14">
        <v>38112</v>
      </c>
      <c r="C1299" s="14" t="s">
        <v>279</v>
      </c>
      <c r="D1299" s="15" t="s">
        <v>41</v>
      </c>
      <c r="E1299" s="15" t="s">
        <v>42</v>
      </c>
      <c r="F1299" s="15" t="s">
        <v>43</v>
      </c>
      <c r="G1299" s="15" t="s">
        <v>25</v>
      </c>
      <c r="H1299" s="15" t="s">
        <v>35</v>
      </c>
      <c r="I1299" s="15" t="s">
        <v>39</v>
      </c>
      <c r="J1299" s="15" t="s">
        <v>250</v>
      </c>
      <c r="K1299" s="15">
        <v>22</v>
      </c>
      <c r="L1299" s="16">
        <v>20</v>
      </c>
      <c r="M1299" s="17">
        <v>440</v>
      </c>
      <c r="N1299" s="15" t="s">
        <v>367</v>
      </c>
      <c r="O1299" s="15" t="s">
        <v>19</v>
      </c>
      <c r="Q1299"/>
    </row>
    <row r="1300" spans="1:17" ht="15.6" x14ac:dyDescent="0.3">
      <c r="A1300" s="11">
        <v>10247</v>
      </c>
      <c r="B1300" s="10">
        <v>38112</v>
      </c>
      <c r="C1300" s="10" t="s">
        <v>309</v>
      </c>
      <c r="D1300" s="11" t="s">
        <v>133</v>
      </c>
      <c r="E1300" s="11" t="s">
        <v>134</v>
      </c>
      <c r="F1300" s="11" t="s">
        <v>135</v>
      </c>
      <c r="G1300" s="11" t="s">
        <v>25</v>
      </c>
      <c r="H1300" s="11" t="s">
        <v>47</v>
      </c>
      <c r="I1300" s="11" t="s">
        <v>48</v>
      </c>
      <c r="J1300" s="11" t="s">
        <v>255</v>
      </c>
      <c r="K1300" s="11">
        <v>49</v>
      </c>
      <c r="L1300" s="12">
        <v>70</v>
      </c>
      <c r="M1300" s="13">
        <v>3430</v>
      </c>
      <c r="N1300" s="11" t="s">
        <v>367</v>
      </c>
      <c r="O1300" s="11" t="s">
        <v>19</v>
      </c>
      <c r="Q1300"/>
    </row>
    <row r="1301" spans="1:17" ht="15.6" x14ac:dyDescent="0.3">
      <c r="A1301" s="15">
        <v>10249</v>
      </c>
      <c r="B1301" s="14">
        <v>38115</v>
      </c>
      <c r="C1301" s="14" t="s">
        <v>352</v>
      </c>
      <c r="D1301" s="15" t="s">
        <v>215</v>
      </c>
      <c r="E1301" s="15" t="s">
        <v>216</v>
      </c>
      <c r="F1301" s="15" t="s">
        <v>15</v>
      </c>
      <c r="G1301" s="15" t="s">
        <v>16</v>
      </c>
      <c r="H1301" s="15" t="s">
        <v>17</v>
      </c>
      <c r="I1301" s="15" t="s">
        <v>52</v>
      </c>
      <c r="J1301" s="15" t="s">
        <v>256</v>
      </c>
      <c r="K1301" s="15">
        <v>46</v>
      </c>
      <c r="L1301" s="16">
        <v>45</v>
      </c>
      <c r="M1301" s="17">
        <v>2070</v>
      </c>
      <c r="N1301" s="15" t="s">
        <v>367</v>
      </c>
      <c r="O1301" s="15" t="s">
        <v>19</v>
      </c>
      <c r="Q1301"/>
    </row>
    <row r="1302" spans="1:17" ht="15.6" x14ac:dyDescent="0.3">
      <c r="A1302" s="11">
        <v>10249</v>
      </c>
      <c r="B1302" s="10">
        <v>38115</v>
      </c>
      <c r="C1302" s="10" t="s">
        <v>352</v>
      </c>
      <c r="D1302" s="11" t="s">
        <v>215</v>
      </c>
      <c r="E1302" s="11" t="s">
        <v>216</v>
      </c>
      <c r="F1302" s="11" t="s">
        <v>15</v>
      </c>
      <c r="G1302" s="11" t="s">
        <v>16</v>
      </c>
      <c r="H1302" s="11" t="s">
        <v>61</v>
      </c>
      <c r="I1302" s="11" t="s">
        <v>62</v>
      </c>
      <c r="J1302" s="11" t="s">
        <v>261</v>
      </c>
      <c r="K1302" s="11">
        <v>20</v>
      </c>
      <c r="L1302" s="12">
        <v>15</v>
      </c>
      <c r="M1302" s="13">
        <v>300</v>
      </c>
      <c r="N1302" s="11" t="s">
        <v>367</v>
      </c>
      <c r="O1302" s="11" t="s">
        <v>19</v>
      </c>
      <c r="Q1302"/>
    </row>
    <row r="1303" spans="1:17" ht="15.6" x14ac:dyDescent="0.3">
      <c r="A1303" s="15">
        <v>10249</v>
      </c>
      <c r="B1303" s="14">
        <v>38115</v>
      </c>
      <c r="C1303" s="14" t="s">
        <v>352</v>
      </c>
      <c r="D1303" s="15" t="s">
        <v>215</v>
      </c>
      <c r="E1303" s="15" t="s">
        <v>216</v>
      </c>
      <c r="F1303" s="15" t="s">
        <v>15</v>
      </c>
      <c r="G1303" s="15" t="s">
        <v>16</v>
      </c>
      <c r="H1303" s="15" t="s">
        <v>17</v>
      </c>
      <c r="I1303" s="15" t="s">
        <v>26</v>
      </c>
      <c r="J1303" s="15" t="s">
        <v>244</v>
      </c>
      <c r="K1303" s="15">
        <v>25</v>
      </c>
      <c r="L1303" s="16">
        <v>60</v>
      </c>
      <c r="M1303" s="17">
        <v>1500</v>
      </c>
      <c r="N1303" s="15" t="s">
        <v>367</v>
      </c>
      <c r="O1303" s="15" t="s">
        <v>19</v>
      </c>
      <c r="Q1303"/>
    </row>
    <row r="1304" spans="1:17" ht="15.6" x14ac:dyDescent="0.3">
      <c r="A1304" s="11">
        <v>10249</v>
      </c>
      <c r="B1304" s="10">
        <v>38115</v>
      </c>
      <c r="C1304" s="10" t="s">
        <v>352</v>
      </c>
      <c r="D1304" s="11" t="s">
        <v>215</v>
      </c>
      <c r="E1304" s="11" t="s">
        <v>216</v>
      </c>
      <c r="F1304" s="11" t="s">
        <v>15</v>
      </c>
      <c r="G1304" s="11" t="s">
        <v>16</v>
      </c>
      <c r="H1304" s="11" t="s">
        <v>54</v>
      </c>
      <c r="I1304" s="11" t="s">
        <v>55</v>
      </c>
      <c r="J1304" s="11" t="s">
        <v>258</v>
      </c>
      <c r="K1304" s="11">
        <v>40</v>
      </c>
      <c r="L1304" s="12">
        <v>180</v>
      </c>
      <c r="M1304" s="13">
        <v>7200</v>
      </c>
      <c r="N1304" s="11" t="s">
        <v>367</v>
      </c>
      <c r="O1304" s="11" t="s">
        <v>19</v>
      </c>
      <c r="Q1304"/>
    </row>
    <row r="1305" spans="1:17" ht="15.6" x14ac:dyDescent="0.3">
      <c r="A1305" s="15">
        <v>10249</v>
      </c>
      <c r="B1305" s="14">
        <v>38115</v>
      </c>
      <c r="C1305" s="14" t="s">
        <v>352</v>
      </c>
      <c r="D1305" s="15" t="s">
        <v>215</v>
      </c>
      <c r="E1305" s="15" t="s">
        <v>216</v>
      </c>
      <c r="F1305" s="15" t="s">
        <v>15</v>
      </c>
      <c r="G1305" s="15" t="s">
        <v>16</v>
      </c>
      <c r="H1305" s="15" t="s">
        <v>61</v>
      </c>
      <c r="I1305" s="15" t="s">
        <v>66</v>
      </c>
      <c r="J1305" s="15" t="s">
        <v>265</v>
      </c>
      <c r="K1305" s="15">
        <v>32</v>
      </c>
      <c r="L1305" s="16">
        <v>35</v>
      </c>
      <c r="M1305" s="17">
        <v>1120</v>
      </c>
      <c r="N1305" s="15" t="s">
        <v>367</v>
      </c>
      <c r="O1305" s="15" t="s">
        <v>19</v>
      </c>
      <c r="Q1305"/>
    </row>
    <row r="1306" spans="1:17" ht="15.6" x14ac:dyDescent="0.3">
      <c r="A1306" s="11">
        <v>10250</v>
      </c>
      <c r="B1306" s="10">
        <v>38118</v>
      </c>
      <c r="C1306" s="10" t="s">
        <v>358</v>
      </c>
      <c r="D1306" s="11" t="s">
        <v>226</v>
      </c>
      <c r="E1306" s="11" t="s">
        <v>227</v>
      </c>
      <c r="F1306" s="11" t="s">
        <v>15</v>
      </c>
      <c r="G1306" s="11" t="s">
        <v>16</v>
      </c>
      <c r="H1306" s="11" t="s">
        <v>61</v>
      </c>
      <c r="I1306" s="11" t="s">
        <v>62</v>
      </c>
      <c r="J1306" s="11" t="s">
        <v>261</v>
      </c>
      <c r="K1306" s="11">
        <v>45</v>
      </c>
      <c r="L1306" s="12">
        <v>15</v>
      </c>
      <c r="M1306" s="13">
        <v>675</v>
      </c>
      <c r="N1306" s="11" t="s">
        <v>367</v>
      </c>
      <c r="O1306" s="11" t="s">
        <v>19</v>
      </c>
      <c r="Q1306"/>
    </row>
    <row r="1307" spans="1:17" ht="15.6" x14ac:dyDescent="0.3">
      <c r="A1307" s="15">
        <v>10250</v>
      </c>
      <c r="B1307" s="14">
        <v>38118</v>
      </c>
      <c r="C1307" s="14" t="s">
        <v>358</v>
      </c>
      <c r="D1307" s="15" t="s">
        <v>226</v>
      </c>
      <c r="E1307" s="15" t="s">
        <v>227</v>
      </c>
      <c r="F1307" s="15" t="s">
        <v>15</v>
      </c>
      <c r="G1307" s="15" t="s">
        <v>16</v>
      </c>
      <c r="H1307" s="15" t="s">
        <v>61</v>
      </c>
      <c r="I1307" s="15" t="s">
        <v>62</v>
      </c>
      <c r="J1307" s="15" t="s">
        <v>261</v>
      </c>
      <c r="K1307" s="15">
        <v>27</v>
      </c>
      <c r="L1307" s="16">
        <v>15</v>
      </c>
      <c r="M1307" s="17">
        <v>405</v>
      </c>
      <c r="N1307" s="15" t="s">
        <v>367</v>
      </c>
      <c r="O1307" s="15" t="s">
        <v>19</v>
      </c>
      <c r="Q1307"/>
    </row>
    <row r="1308" spans="1:17" ht="15.6" x14ac:dyDescent="0.3">
      <c r="A1308" s="11">
        <v>10250</v>
      </c>
      <c r="B1308" s="10">
        <v>38118</v>
      </c>
      <c r="C1308" s="10" t="s">
        <v>358</v>
      </c>
      <c r="D1308" s="11" t="s">
        <v>226</v>
      </c>
      <c r="E1308" s="11" t="s">
        <v>227</v>
      </c>
      <c r="F1308" s="11" t="s">
        <v>15</v>
      </c>
      <c r="G1308" s="11" t="s">
        <v>16</v>
      </c>
      <c r="H1308" s="11" t="s">
        <v>61</v>
      </c>
      <c r="I1308" s="11" t="s">
        <v>62</v>
      </c>
      <c r="J1308" s="11" t="s">
        <v>261</v>
      </c>
      <c r="K1308" s="11">
        <v>31</v>
      </c>
      <c r="L1308" s="12">
        <v>15</v>
      </c>
      <c r="M1308" s="13">
        <v>465</v>
      </c>
      <c r="N1308" s="11" t="s">
        <v>367</v>
      </c>
      <c r="O1308" s="11" t="s">
        <v>19</v>
      </c>
      <c r="Q1308"/>
    </row>
    <row r="1309" spans="1:17" ht="15.6" x14ac:dyDescent="0.3">
      <c r="A1309" s="15">
        <v>10250</v>
      </c>
      <c r="B1309" s="14">
        <v>38118</v>
      </c>
      <c r="C1309" s="14" t="s">
        <v>358</v>
      </c>
      <c r="D1309" s="15" t="s">
        <v>226</v>
      </c>
      <c r="E1309" s="15" t="s">
        <v>227</v>
      </c>
      <c r="F1309" s="15" t="s">
        <v>15</v>
      </c>
      <c r="G1309" s="15" t="s">
        <v>16</v>
      </c>
      <c r="H1309" s="15" t="s">
        <v>68</v>
      </c>
      <c r="I1309" s="15" t="s">
        <v>75</v>
      </c>
      <c r="J1309" s="15" t="s">
        <v>268</v>
      </c>
      <c r="K1309" s="15">
        <v>32</v>
      </c>
      <c r="L1309" s="16">
        <v>35</v>
      </c>
      <c r="M1309" s="17">
        <v>1120</v>
      </c>
      <c r="N1309" s="15" t="s">
        <v>367</v>
      </c>
      <c r="O1309" s="15" t="s">
        <v>19</v>
      </c>
      <c r="Q1309"/>
    </row>
    <row r="1310" spans="1:17" ht="15.6" x14ac:dyDescent="0.3">
      <c r="A1310" s="11">
        <v>10250</v>
      </c>
      <c r="B1310" s="10">
        <v>38118</v>
      </c>
      <c r="C1310" s="10" t="s">
        <v>358</v>
      </c>
      <c r="D1310" s="11" t="s">
        <v>226</v>
      </c>
      <c r="E1310" s="11" t="s">
        <v>227</v>
      </c>
      <c r="F1310" s="11" t="s">
        <v>15</v>
      </c>
      <c r="G1310" s="11" t="s">
        <v>16</v>
      </c>
      <c r="H1310" s="11" t="s">
        <v>61</v>
      </c>
      <c r="I1310" s="11" t="s">
        <v>62</v>
      </c>
      <c r="J1310" s="11" t="s">
        <v>261</v>
      </c>
      <c r="K1310" s="11">
        <v>40</v>
      </c>
      <c r="L1310" s="12">
        <v>15</v>
      </c>
      <c r="M1310" s="13">
        <v>600</v>
      </c>
      <c r="N1310" s="11" t="s">
        <v>367</v>
      </c>
      <c r="O1310" s="11" t="s">
        <v>19</v>
      </c>
      <c r="Q1310"/>
    </row>
    <row r="1311" spans="1:17" ht="15.6" x14ac:dyDescent="0.3">
      <c r="A1311" s="15">
        <v>10250</v>
      </c>
      <c r="B1311" s="14">
        <v>38118</v>
      </c>
      <c r="C1311" s="14" t="s">
        <v>358</v>
      </c>
      <c r="D1311" s="15" t="s">
        <v>226</v>
      </c>
      <c r="E1311" s="15" t="s">
        <v>227</v>
      </c>
      <c r="F1311" s="15" t="s">
        <v>15</v>
      </c>
      <c r="G1311" s="15" t="s">
        <v>16</v>
      </c>
      <c r="H1311" s="15" t="s">
        <v>61</v>
      </c>
      <c r="I1311" s="15" t="s">
        <v>65</v>
      </c>
      <c r="J1311" s="15" t="s">
        <v>264</v>
      </c>
      <c r="K1311" s="15">
        <v>37</v>
      </c>
      <c r="L1311" s="16">
        <v>30</v>
      </c>
      <c r="M1311" s="17">
        <v>1110</v>
      </c>
      <c r="N1311" s="15" t="s">
        <v>367</v>
      </c>
      <c r="O1311" s="15" t="s">
        <v>19</v>
      </c>
      <c r="Q1311"/>
    </row>
    <row r="1312" spans="1:17" ht="15.6" x14ac:dyDescent="0.3">
      <c r="A1312" s="11">
        <v>10250</v>
      </c>
      <c r="B1312" s="10">
        <v>38118</v>
      </c>
      <c r="C1312" s="10" t="s">
        <v>358</v>
      </c>
      <c r="D1312" s="11" t="s">
        <v>226</v>
      </c>
      <c r="E1312" s="11" t="s">
        <v>227</v>
      </c>
      <c r="F1312" s="11" t="s">
        <v>15</v>
      </c>
      <c r="G1312" s="11" t="s">
        <v>16</v>
      </c>
      <c r="H1312" s="11" t="s">
        <v>68</v>
      </c>
      <c r="I1312" s="11" t="s">
        <v>76</v>
      </c>
      <c r="J1312" s="11" t="s">
        <v>269</v>
      </c>
      <c r="K1312" s="11">
        <v>31</v>
      </c>
      <c r="L1312" s="12">
        <v>30</v>
      </c>
      <c r="M1312" s="13">
        <v>930</v>
      </c>
      <c r="N1312" s="11" t="s">
        <v>367</v>
      </c>
      <c r="O1312" s="11" t="s">
        <v>19</v>
      </c>
      <c r="Q1312"/>
    </row>
    <row r="1313" spans="1:17" ht="15.6" x14ac:dyDescent="0.3">
      <c r="A1313" s="15">
        <v>10250</v>
      </c>
      <c r="B1313" s="14">
        <v>38118</v>
      </c>
      <c r="C1313" s="14" t="s">
        <v>358</v>
      </c>
      <c r="D1313" s="15" t="s">
        <v>226</v>
      </c>
      <c r="E1313" s="15" t="s">
        <v>227</v>
      </c>
      <c r="F1313" s="15" t="s">
        <v>15</v>
      </c>
      <c r="G1313" s="15" t="s">
        <v>16</v>
      </c>
      <c r="H1313" s="15" t="s">
        <v>17</v>
      </c>
      <c r="I1313" s="15" t="s">
        <v>26</v>
      </c>
      <c r="J1313" s="15" t="s">
        <v>244</v>
      </c>
      <c r="K1313" s="15">
        <v>50</v>
      </c>
      <c r="L1313" s="16">
        <v>60</v>
      </c>
      <c r="M1313" s="17">
        <v>3000</v>
      </c>
      <c r="N1313" s="15" t="s">
        <v>368</v>
      </c>
      <c r="O1313" s="15" t="s">
        <v>19</v>
      </c>
      <c r="Q1313"/>
    </row>
    <row r="1314" spans="1:17" ht="15.6" x14ac:dyDescent="0.3">
      <c r="A1314" s="11">
        <v>10250</v>
      </c>
      <c r="B1314" s="10">
        <v>38118</v>
      </c>
      <c r="C1314" s="10" t="s">
        <v>358</v>
      </c>
      <c r="D1314" s="11" t="s">
        <v>226</v>
      </c>
      <c r="E1314" s="11" t="s">
        <v>227</v>
      </c>
      <c r="F1314" s="11" t="s">
        <v>15</v>
      </c>
      <c r="G1314" s="11" t="s">
        <v>16</v>
      </c>
      <c r="H1314" s="11" t="s">
        <v>17</v>
      </c>
      <c r="I1314" s="11" t="s">
        <v>26</v>
      </c>
      <c r="J1314" s="11" t="s">
        <v>244</v>
      </c>
      <c r="K1314" s="11">
        <v>36</v>
      </c>
      <c r="L1314" s="12">
        <v>60</v>
      </c>
      <c r="M1314" s="13">
        <v>2160</v>
      </c>
      <c r="N1314" s="11" t="s">
        <v>367</v>
      </c>
      <c r="O1314" s="11" t="s">
        <v>19</v>
      </c>
      <c r="Q1314"/>
    </row>
    <row r="1315" spans="1:17" ht="15.6" x14ac:dyDescent="0.3">
      <c r="A1315" s="15">
        <v>10250</v>
      </c>
      <c r="B1315" s="14">
        <v>38118</v>
      </c>
      <c r="C1315" s="14" t="s">
        <v>358</v>
      </c>
      <c r="D1315" s="15" t="s">
        <v>226</v>
      </c>
      <c r="E1315" s="15" t="s">
        <v>227</v>
      </c>
      <c r="F1315" s="15" t="s">
        <v>15</v>
      </c>
      <c r="G1315" s="15" t="s">
        <v>16</v>
      </c>
      <c r="H1315" s="15" t="s">
        <v>61</v>
      </c>
      <c r="I1315" s="15" t="s">
        <v>62</v>
      </c>
      <c r="J1315" s="15" t="s">
        <v>261</v>
      </c>
      <c r="K1315" s="15">
        <v>31</v>
      </c>
      <c r="L1315" s="16">
        <v>15</v>
      </c>
      <c r="M1315" s="17">
        <v>465</v>
      </c>
      <c r="N1315" s="15" t="s">
        <v>367</v>
      </c>
      <c r="O1315" s="15" t="s">
        <v>19</v>
      </c>
      <c r="Q1315"/>
    </row>
    <row r="1316" spans="1:17" ht="15.6" x14ac:dyDescent="0.3">
      <c r="A1316" s="11">
        <v>10250</v>
      </c>
      <c r="B1316" s="10">
        <v>38118</v>
      </c>
      <c r="C1316" s="10" t="s">
        <v>358</v>
      </c>
      <c r="D1316" s="11" t="s">
        <v>226</v>
      </c>
      <c r="E1316" s="11" t="s">
        <v>227</v>
      </c>
      <c r="F1316" s="11" t="s">
        <v>15</v>
      </c>
      <c r="G1316" s="11" t="s">
        <v>16</v>
      </c>
      <c r="H1316" s="11" t="s">
        <v>61</v>
      </c>
      <c r="I1316" s="11" t="s">
        <v>62</v>
      </c>
      <c r="J1316" s="11" t="s">
        <v>261</v>
      </c>
      <c r="K1316" s="11">
        <v>35</v>
      </c>
      <c r="L1316" s="12">
        <v>15</v>
      </c>
      <c r="M1316" s="13">
        <v>525</v>
      </c>
      <c r="N1316" s="11" t="s">
        <v>367</v>
      </c>
      <c r="O1316" s="11" t="s">
        <v>19</v>
      </c>
      <c r="Q1316"/>
    </row>
    <row r="1317" spans="1:17" ht="15.6" x14ac:dyDescent="0.3">
      <c r="A1317" s="15">
        <v>10250</v>
      </c>
      <c r="B1317" s="14">
        <v>38118</v>
      </c>
      <c r="C1317" s="14" t="s">
        <v>358</v>
      </c>
      <c r="D1317" s="15" t="s">
        <v>226</v>
      </c>
      <c r="E1317" s="15" t="s">
        <v>227</v>
      </c>
      <c r="F1317" s="15" t="s">
        <v>15</v>
      </c>
      <c r="G1317" s="15" t="s">
        <v>16</v>
      </c>
      <c r="H1317" s="15" t="s">
        <v>61</v>
      </c>
      <c r="I1317" s="15" t="s">
        <v>63</v>
      </c>
      <c r="J1317" s="15" t="s">
        <v>262</v>
      </c>
      <c r="K1317" s="15">
        <v>44</v>
      </c>
      <c r="L1317" s="16">
        <v>40</v>
      </c>
      <c r="M1317" s="17">
        <v>1760</v>
      </c>
      <c r="N1317" s="15" t="s">
        <v>367</v>
      </c>
      <c r="O1317" s="15" t="s">
        <v>19</v>
      </c>
      <c r="Q1317"/>
    </row>
    <row r="1318" spans="1:17" ht="15.6" x14ac:dyDescent="0.3">
      <c r="A1318" s="11">
        <v>10250</v>
      </c>
      <c r="B1318" s="10">
        <v>38118</v>
      </c>
      <c r="C1318" s="10" t="s">
        <v>358</v>
      </c>
      <c r="D1318" s="11" t="s">
        <v>226</v>
      </c>
      <c r="E1318" s="11" t="s">
        <v>227</v>
      </c>
      <c r="F1318" s="11" t="s">
        <v>15</v>
      </c>
      <c r="G1318" s="11" t="s">
        <v>16</v>
      </c>
      <c r="H1318" s="11" t="s">
        <v>61</v>
      </c>
      <c r="I1318" s="11" t="s">
        <v>64</v>
      </c>
      <c r="J1318" s="11" t="s">
        <v>263</v>
      </c>
      <c r="K1318" s="11">
        <v>44</v>
      </c>
      <c r="L1318" s="12">
        <v>35</v>
      </c>
      <c r="M1318" s="13">
        <v>1540</v>
      </c>
      <c r="N1318" s="11" t="s">
        <v>367</v>
      </c>
      <c r="O1318" s="11" t="s">
        <v>19</v>
      </c>
      <c r="Q1318"/>
    </row>
    <row r="1319" spans="1:17" ht="15.6" x14ac:dyDescent="0.3">
      <c r="A1319" s="15">
        <v>10250</v>
      </c>
      <c r="B1319" s="14">
        <v>38118</v>
      </c>
      <c r="C1319" s="14" t="s">
        <v>358</v>
      </c>
      <c r="D1319" s="15" t="s">
        <v>226</v>
      </c>
      <c r="E1319" s="15" t="s">
        <v>227</v>
      </c>
      <c r="F1319" s="15" t="s">
        <v>15</v>
      </c>
      <c r="G1319" s="15" t="s">
        <v>16</v>
      </c>
      <c r="H1319" s="15" t="s">
        <v>61</v>
      </c>
      <c r="I1319" s="15" t="s">
        <v>62</v>
      </c>
      <c r="J1319" s="15" t="s">
        <v>261</v>
      </c>
      <c r="K1319" s="15">
        <v>38</v>
      </c>
      <c r="L1319" s="16">
        <v>15</v>
      </c>
      <c r="M1319" s="17">
        <v>570</v>
      </c>
      <c r="N1319" s="15" t="s">
        <v>367</v>
      </c>
      <c r="O1319" s="15" t="s">
        <v>19</v>
      </c>
      <c r="Q1319"/>
    </row>
    <row r="1320" spans="1:17" ht="15.6" x14ac:dyDescent="0.3">
      <c r="A1320" s="11">
        <v>10251</v>
      </c>
      <c r="B1320" s="10">
        <v>38125</v>
      </c>
      <c r="C1320" s="10" t="s">
        <v>354</v>
      </c>
      <c r="D1320" s="11" t="s">
        <v>219</v>
      </c>
      <c r="E1320" s="11" t="s">
        <v>220</v>
      </c>
      <c r="F1320" s="11" t="s">
        <v>15</v>
      </c>
      <c r="G1320" s="11" t="s">
        <v>16</v>
      </c>
      <c r="H1320" s="11" t="s">
        <v>68</v>
      </c>
      <c r="I1320" s="11" t="s">
        <v>69</v>
      </c>
      <c r="J1320" s="11" t="s">
        <v>266</v>
      </c>
      <c r="K1320" s="11">
        <v>28</v>
      </c>
      <c r="L1320" s="12">
        <v>25</v>
      </c>
      <c r="M1320" s="13">
        <v>700</v>
      </c>
      <c r="N1320" s="11" t="s">
        <v>367</v>
      </c>
      <c r="O1320" s="11" t="s">
        <v>19</v>
      </c>
      <c r="Q1320"/>
    </row>
    <row r="1321" spans="1:17" ht="15.6" x14ac:dyDescent="0.3">
      <c r="A1321" s="15">
        <v>10251</v>
      </c>
      <c r="B1321" s="14">
        <v>38125</v>
      </c>
      <c r="C1321" s="14" t="s">
        <v>354</v>
      </c>
      <c r="D1321" s="15" t="s">
        <v>219</v>
      </c>
      <c r="E1321" s="15" t="s">
        <v>220</v>
      </c>
      <c r="F1321" s="15" t="s">
        <v>15</v>
      </c>
      <c r="G1321" s="15" t="s">
        <v>16</v>
      </c>
      <c r="H1321" s="15" t="s">
        <v>68</v>
      </c>
      <c r="I1321" s="15" t="s">
        <v>70</v>
      </c>
      <c r="J1321" s="15" t="s">
        <v>267</v>
      </c>
      <c r="K1321" s="15">
        <v>44</v>
      </c>
      <c r="L1321" s="16">
        <v>50</v>
      </c>
      <c r="M1321" s="17">
        <v>2200</v>
      </c>
      <c r="N1321" s="15" t="s">
        <v>367</v>
      </c>
      <c r="O1321" s="15" t="s">
        <v>19</v>
      </c>
      <c r="Q1321"/>
    </row>
    <row r="1322" spans="1:17" ht="15.6" x14ac:dyDescent="0.3">
      <c r="A1322" s="11">
        <v>10251</v>
      </c>
      <c r="B1322" s="10">
        <v>38125</v>
      </c>
      <c r="C1322" s="10" t="s">
        <v>354</v>
      </c>
      <c r="D1322" s="11" t="s">
        <v>219</v>
      </c>
      <c r="E1322" s="11" t="s">
        <v>220</v>
      </c>
      <c r="F1322" s="11" t="s">
        <v>15</v>
      </c>
      <c r="G1322" s="11" t="s">
        <v>16</v>
      </c>
      <c r="H1322" s="11" t="s">
        <v>68</v>
      </c>
      <c r="I1322" s="11" t="s">
        <v>75</v>
      </c>
      <c r="J1322" s="11" t="s">
        <v>268</v>
      </c>
      <c r="K1322" s="11">
        <v>43</v>
      </c>
      <c r="L1322" s="12">
        <v>35</v>
      </c>
      <c r="M1322" s="13">
        <v>1505</v>
      </c>
      <c r="N1322" s="11" t="s">
        <v>367</v>
      </c>
      <c r="O1322" s="11" t="s">
        <v>19</v>
      </c>
      <c r="Q1322"/>
    </row>
    <row r="1323" spans="1:17" ht="15.6" x14ac:dyDescent="0.3">
      <c r="A1323" s="15">
        <v>10251</v>
      </c>
      <c r="B1323" s="14">
        <v>38125</v>
      </c>
      <c r="C1323" s="14" t="s">
        <v>354</v>
      </c>
      <c r="D1323" s="15" t="s">
        <v>219</v>
      </c>
      <c r="E1323" s="15" t="s">
        <v>220</v>
      </c>
      <c r="F1323" s="15" t="s">
        <v>15</v>
      </c>
      <c r="G1323" s="15" t="s">
        <v>16</v>
      </c>
      <c r="H1323" s="15" t="s">
        <v>68</v>
      </c>
      <c r="I1323" s="15" t="s">
        <v>70</v>
      </c>
      <c r="J1323" s="15" t="s">
        <v>267</v>
      </c>
      <c r="K1323" s="15">
        <v>46</v>
      </c>
      <c r="L1323" s="16">
        <v>50</v>
      </c>
      <c r="M1323" s="17">
        <v>2300</v>
      </c>
      <c r="N1323" s="15" t="s">
        <v>367</v>
      </c>
      <c r="O1323" s="15" t="s">
        <v>19</v>
      </c>
      <c r="Q1323"/>
    </row>
    <row r="1324" spans="1:17" ht="15.6" x14ac:dyDescent="0.3">
      <c r="A1324" s="11">
        <v>10251</v>
      </c>
      <c r="B1324" s="10">
        <v>38125</v>
      </c>
      <c r="C1324" s="10" t="s">
        <v>354</v>
      </c>
      <c r="D1324" s="11" t="s">
        <v>219</v>
      </c>
      <c r="E1324" s="11" t="s">
        <v>220</v>
      </c>
      <c r="F1324" s="11" t="s">
        <v>15</v>
      </c>
      <c r="G1324" s="11" t="s">
        <v>16</v>
      </c>
      <c r="H1324" s="11" t="s">
        <v>68</v>
      </c>
      <c r="I1324" s="11" t="s">
        <v>69</v>
      </c>
      <c r="J1324" s="11" t="s">
        <v>266</v>
      </c>
      <c r="K1324" s="11">
        <v>29</v>
      </c>
      <c r="L1324" s="12">
        <v>25</v>
      </c>
      <c r="M1324" s="13">
        <v>725</v>
      </c>
      <c r="N1324" s="11" t="s">
        <v>367</v>
      </c>
      <c r="O1324" s="11" t="s">
        <v>19</v>
      </c>
      <c r="Q1324"/>
    </row>
    <row r="1325" spans="1:17" ht="15.6" x14ac:dyDescent="0.3">
      <c r="A1325" s="15">
        <v>10251</v>
      </c>
      <c r="B1325" s="14">
        <v>38125</v>
      </c>
      <c r="C1325" s="14" t="s">
        <v>354</v>
      </c>
      <c r="D1325" s="15" t="s">
        <v>219</v>
      </c>
      <c r="E1325" s="15" t="s">
        <v>220</v>
      </c>
      <c r="F1325" s="15" t="s">
        <v>15</v>
      </c>
      <c r="G1325" s="15" t="s">
        <v>16</v>
      </c>
      <c r="H1325" s="15" t="s">
        <v>68</v>
      </c>
      <c r="I1325" s="15" t="s">
        <v>69</v>
      </c>
      <c r="J1325" s="15" t="s">
        <v>266</v>
      </c>
      <c r="K1325" s="15">
        <v>26</v>
      </c>
      <c r="L1325" s="16">
        <v>25</v>
      </c>
      <c r="M1325" s="17">
        <v>650</v>
      </c>
      <c r="N1325" s="15" t="s">
        <v>367</v>
      </c>
      <c r="O1325" s="15" t="s">
        <v>19</v>
      </c>
      <c r="Q1325"/>
    </row>
    <row r="1326" spans="1:17" ht="15.6" x14ac:dyDescent="0.3">
      <c r="A1326" s="11">
        <v>10252</v>
      </c>
      <c r="B1326" s="10">
        <v>38133</v>
      </c>
      <c r="C1326" s="10" t="s">
        <v>345</v>
      </c>
      <c r="D1326" s="11" t="s">
        <v>201</v>
      </c>
      <c r="E1326" s="11" t="s">
        <v>91</v>
      </c>
      <c r="F1326" s="11" t="s">
        <v>92</v>
      </c>
      <c r="G1326" s="11" t="s">
        <v>25</v>
      </c>
      <c r="H1326" s="11" t="s">
        <v>32</v>
      </c>
      <c r="I1326" s="11" t="s">
        <v>44</v>
      </c>
      <c r="J1326" s="11" t="s">
        <v>252</v>
      </c>
      <c r="K1326" s="11">
        <v>20</v>
      </c>
      <c r="L1326" s="12">
        <v>55</v>
      </c>
      <c r="M1326" s="13">
        <v>1100</v>
      </c>
      <c r="N1326" s="11" t="s">
        <v>367</v>
      </c>
      <c r="O1326" s="11" t="s">
        <v>19</v>
      </c>
      <c r="Q1326"/>
    </row>
    <row r="1327" spans="1:17" ht="15.6" x14ac:dyDescent="0.3">
      <c r="A1327" s="15">
        <v>10252</v>
      </c>
      <c r="B1327" s="14">
        <v>38133</v>
      </c>
      <c r="C1327" s="14" t="s">
        <v>345</v>
      </c>
      <c r="D1327" s="15" t="s">
        <v>201</v>
      </c>
      <c r="E1327" s="15" t="s">
        <v>91</v>
      </c>
      <c r="F1327" s="15" t="s">
        <v>92</v>
      </c>
      <c r="G1327" s="15" t="s">
        <v>25</v>
      </c>
      <c r="H1327" s="15" t="s">
        <v>32</v>
      </c>
      <c r="I1327" s="15" t="s">
        <v>44</v>
      </c>
      <c r="J1327" s="15" t="s">
        <v>252</v>
      </c>
      <c r="K1327" s="15">
        <v>41</v>
      </c>
      <c r="L1327" s="16">
        <v>55</v>
      </c>
      <c r="M1327" s="17">
        <v>2255</v>
      </c>
      <c r="N1327" s="15" t="s">
        <v>367</v>
      </c>
      <c r="O1327" s="15" t="s">
        <v>19</v>
      </c>
      <c r="Q1327"/>
    </row>
    <row r="1328" spans="1:17" ht="15.6" x14ac:dyDescent="0.3">
      <c r="A1328" s="11">
        <v>10252</v>
      </c>
      <c r="B1328" s="10">
        <v>38133</v>
      </c>
      <c r="C1328" s="10" t="s">
        <v>345</v>
      </c>
      <c r="D1328" s="11" t="s">
        <v>201</v>
      </c>
      <c r="E1328" s="11" t="s">
        <v>91</v>
      </c>
      <c r="F1328" s="11" t="s">
        <v>92</v>
      </c>
      <c r="G1328" s="11" t="s">
        <v>25</v>
      </c>
      <c r="H1328" s="11" t="s">
        <v>68</v>
      </c>
      <c r="I1328" s="11" t="s">
        <v>69</v>
      </c>
      <c r="J1328" s="11" t="s">
        <v>266</v>
      </c>
      <c r="K1328" s="11">
        <v>31</v>
      </c>
      <c r="L1328" s="12">
        <v>25</v>
      </c>
      <c r="M1328" s="13">
        <v>775</v>
      </c>
      <c r="N1328" s="11" t="s">
        <v>367</v>
      </c>
      <c r="O1328" s="11" t="s">
        <v>19</v>
      </c>
      <c r="Q1328"/>
    </row>
    <row r="1329" spans="1:17" ht="15.6" x14ac:dyDescent="0.3">
      <c r="A1329" s="15">
        <v>10252</v>
      </c>
      <c r="B1329" s="14">
        <v>38133</v>
      </c>
      <c r="C1329" s="14" t="s">
        <v>345</v>
      </c>
      <c r="D1329" s="15" t="s">
        <v>201</v>
      </c>
      <c r="E1329" s="15" t="s">
        <v>91</v>
      </c>
      <c r="F1329" s="15" t="s">
        <v>92</v>
      </c>
      <c r="G1329" s="15" t="s">
        <v>25</v>
      </c>
      <c r="H1329" s="15" t="s">
        <v>32</v>
      </c>
      <c r="I1329" s="15" t="s">
        <v>44</v>
      </c>
      <c r="J1329" s="15" t="s">
        <v>252</v>
      </c>
      <c r="K1329" s="15">
        <v>26</v>
      </c>
      <c r="L1329" s="16">
        <v>55</v>
      </c>
      <c r="M1329" s="17">
        <v>1430</v>
      </c>
      <c r="N1329" s="15" t="s">
        <v>367</v>
      </c>
      <c r="O1329" s="15" t="s">
        <v>19</v>
      </c>
      <c r="Q1329"/>
    </row>
    <row r="1330" spans="1:17" ht="15.6" x14ac:dyDescent="0.3">
      <c r="A1330" s="11">
        <v>10252</v>
      </c>
      <c r="B1330" s="10">
        <v>38133</v>
      </c>
      <c r="C1330" s="10" t="s">
        <v>345</v>
      </c>
      <c r="D1330" s="11" t="s">
        <v>201</v>
      </c>
      <c r="E1330" s="11" t="s">
        <v>91</v>
      </c>
      <c r="F1330" s="11" t="s">
        <v>92</v>
      </c>
      <c r="G1330" s="11" t="s">
        <v>25</v>
      </c>
      <c r="H1330" s="11" t="s">
        <v>68</v>
      </c>
      <c r="I1330" s="11" t="s">
        <v>76</v>
      </c>
      <c r="J1330" s="11" t="s">
        <v>269</v>
      </c>
      <c r="K1330" s="11">
        <v>47</v>
      </c>
      <c r="L1330" s="12">
        <v>30</v>
      </c>
      <c r="M1330" s="13">
        <v>1410</v>
      </c>
      <c r="N1330" s="11" t="s">
        <v>367</v>
      </c>
      <c r="O1330" s="11" t="s">
        <v>19</v>
      </c>
      <c r="Q1330"/>
    </row>
    <row r="1331" spans="1:17" ht="15.6" x14ac:dyDescent="0.3">
      <c r="A1331" s="15">
        <v>10252</v>
      </c>
      <c r="B1331" s="14">
        <v>38133</v>
      </c>
      <c r="C1331" s="14" t="s">
        <v>345</v>
      </c>
      <c r="D1331" s="15" t="s">
        <v>201</v>
      </c>
      <c r="E1331" s="15" t="s">
        <v>91</v>
      </c>
      <c r="F1331" s="15" t="s">
        <v>92</v>
      </c>
      <c r="G1331" s="15" t="s">
        <v>25</v>
      </c>
      <c r="H1331" s="15" t="s">
        <v>32</v>
      </c>
      <c r="I1331" s="15" t="s">
        <v>45</v>
      </c>
      <c r="J1331" s="15" t="s">
        <v>253</v>
      </c>
      <c r="K1331" s="15">
        <v>38</v>
      </c>
      <c r="L1331" s="16">
        <v>35</v>
      </c>
      <c r="M1331" s="17">
        <v>1330</v>
      </c>
      <c r="N1331" s="15" t="s">
        <v>367</v>
      </c>
      <c r="O1331" s="15" t="s">
        <v>19</v>
      </c>
      <c r="Q1331"/>
    </row>
    <row r="1332" spans="1:17" ht="15.6" x14ac:dyDescent="0.3">
      <c r="A1332" s="11">
        <v>10252</v>
      </c>
      <c r="B1332" s="10">
        <v>38133</v>
      </c>
      <c r="C1332" s="10" t="s">
        <v>345</v>
      </c>
      <c r="D1332" s="11" t="s">
        <v>201</v>
      </c>
      <c r="E1332" s="11" t="s">
        <v>91</v>
      </c>
      <c r="F1332" s="11" t="s">
        <v>92</v>
      </c>
      <c r="G1332" s="11" t="s">
        <v>25</v>
      </c>
      <c r="H1332" s="11" t="s">
        <v>68</v>
      </c>
      <c r="I1332" s="11" t="s">
        <v>70</v>
      </c>
      <c r="J1332" s="11" t="s">
        <v>267</v>
      </c>
      <c r="K1332" s="11">
        <v>36</v>
      </c>
      <c r="L1332" s="12">
        <v>50</v>
      </c>
      <c r="M1332" s="13">
        <v>1800</v>
      </c>
      <c r="N1332" s="11" t="s">
        <v>367</v>
      </c>
      <c r="O1332" s="11" t="s">
        <v>19</v>
      </c>
      <c r="Q1332"/>
    </row>
    <row r="1333" spans="1:17" ht="15.6" x14ac:dyDescent="0.3">
      <c r="A1333" s="15">
        <v>10252</v>
      </c>
      <c r="B1333" s="14">
        <v>38133</v>
      </c>
      <c r="C1333" s="14" t="s">
        <v>345</v>
      </c>
      <c r="D1333" s="15" t="s">
        <v>201</v>
      </c>
      <c r="E1333" s="15" t="s">
        <v>91</v>
      </c>
      <c r="F1333" s="15" t="s">
        <v>92</v>
      </c>
      <c r="G1333" s="15" t="s">
        <v>25</v>
      </c>
      <c r="H1333" s="15" t="s">
        <v>68</v>
      </c>
      <c r="I1333" s="15" t="s">
        <v>76</v>
      </c>
      <c r="J1333" s="15" t="s">
        <v>269</v>
      </c>
      <c r="K1333" s="15">
        <v>25</v>
      </c>
      <c r="L1333" s="16">
        <v>30</v>
      </c>
      <c r="M1333" s="17">
        <v>750</v>
      </c>
      <c r="N1333" s="15" t="s">
        <v>367</v>
      </c>
      <c r="O1333" s="15" t="s">
        <v>19</v>
      </c>
      <c r="Q1333"/>
    </row>
    <row r="1334" spans="1:17" ht="15.6" x14ac:dyDescent="0.3">
      <c r="A1334" s="11">
        <v>10252</v>
      </c>
      <c r="B1334" s="10">
        <v>38133</v>
      </c>
      <c r="C1334" s="10" t="s">
        <v>345</v>
      </c>
      <c r="D1334" s="11" t="s">
        <v>201</v>
      </c>
      <c r="E1334" s="11" t="s">
        <v>91</v>
      </c>
      <c r="F1334" s="11" t="s">
        <v>92</v>
      </c>
      <c r="G1334" s="11" t="s">
        <v>25</v>
      </c>
      <c r="H1334" s="11" t="s">
        <v>68</v>
      </c>
      <c r="I1334" s="11" t="s">
        <v>76</v>
      </c>
      <c r="J1334" s="11" t="s">
        <v>269</v>
      </c>
      <c r="K1334" s="11">
        <v>48</v>
      </c>
      <c r="L1334" s="12">
        <v>30</v>
      </c>
      <c r="M1334" s="13">
        <v>1440</v>
      </c>
      <c r="N1334" s="11" t="s">
        <v>367</v>
      </c>
      <c r="O1334" s="11" t="s">
        <v>19</v>
      </c>
      <c r="Q1334"/>
    </row>
    <row r="1335" spans="1:17" ht="15.6" x14ac:dyDescent="0.3">
      <c r="A1335" s="15">
        <v>10255</v>
      </c>
      <c r="B1335" s="14">
        <v>38142</v>
      </c>
      <c r="C1335" s="14" t="s">
        <v>356</v>
      </c>
      <c r="D1335" s="15" t="s">
        <v>223</v>
      </c>
      <c r="E1335" s="15" t="s">
        <v>224</v>
      </c>
      <c r="F1335" s="15" t="s">
        <v>92</v>
      </c>
      <c r="G1335" s="15" t="s">
        <v>25</v>
      </c>
      <c r="H1335" s="15" t="s">
        <v>17</v>
      </c>
      <c r="I1335" s="15" t="s">
        <v>52</v>
      </c>
      <c r="J1335" s="15" t="s">
        <v>256</v>
      </c>
      <c r="K1335" s="15">
        <v>24</v>
      </c>
      <c r="L1335" s="16">
        <v>45</v>
      </c>
      <c r="M1335" s="17">
        <v>1080</v>
      </c>
      <c r="N1335" s="15" t="s">
        <v>367</v>
      </c>
      <c r="O1335" s="15" t="s">
        <v>19</v>
      </c>
      <c r="Q1335"/>
    </row>
    <row r="1336" spans="1:17" ht="15.6" x14ac:dyDescent="0.3">
      <c r="A1336" s="11">
        <v>10255</v>
      </c>
      <c r="B1336" s="10">
        <v>38142</v>
      </c>
      <c r="C1336" s="10" t="s">
        <v>356</v>
      </c>
      <c r="D1336" s="11" t="s">
        <v>223</v>
      </c>
      <c r="E1336" s="11" t="s">
        <v>224</v>
      </c>
      <c r="F1336" s="11" t="s">
        <v>92</v>
      </c>
      <c r="G1336" s="11" t="s">
        <v>25</v>
      </c>
      <c r="H1336" s="11" t="s">
        <v>17</v>
      </c>
      <c r="I1336" s="11" t="s">
        <v>20</v>
      </c>
      <c r="J1336" s="11" t="s">
        <v>242</v>
      </c>
      <c r="K1336" s="11">
        <v>37</v>
      </c>
      <c r="L1336" s="12">
        <v>48</v>
      </c>
      <c r="M1336" s="13">
        <v>1776</v>
      </c>
      <c r="N1336" s="11" t="s">
        <v>367</v>
      </c>
      <c r="O1336" s="11" t="s">
        <v>19</v>
      </c>
      <c r="Q1336"/>
    </row>
    <row r="1337" spans="1:17" ht="15.6" x14ac:dyDescent="0.3">
      <c r="A1337" s="15">
        <v>10256</v>
      </c>
      <c r="B1337" s="14">
        <v>38146</v>
      </c>
      <c r="C1337" s="14" t="s">
        <v>280</v>
      </c>
      <c r="D1337" s="15" t="s">
        <v>49</v>
      </c>
      <c r="E1337" s="15" t="s">
        <v>50</v>
      </c>
      <c r="F1337" s="15" t="s">
        <v>51</v>
      </c>
      <c r="G1337" s="15" t="s">
        <v>25</v>
      </c>
      <c r="H1337" s="15" t="s">
        <v>17</v>
      </c>
      <c r="I1337" s="15" t="s">
        <v>20</v>
      </c>
      <c r="J1337" s="15" t="s">
        <v>242</v>
      </c>
      <c r="K1337" s="15">
        <v>34</v>
      </c>
      <c r="L1337" s="16">
        <v>48</v>
      </c>
      <c r="M1337" s="17">
        <v>1632</v>
      </c>
      <c r="N1337" s="15" t="s">
        <v>367</v>
      </c>
      <c r="O1337" s="15" t="s">
        <v>19</v>
      </c>
      <c r="Q1337"/>
    </row>
    <row r="1338" spans="1:17" ht="15.6" x14ac:dyDescent="0.3">
      <c r="A1338" s="11">
        <v>10256</v>
      </c>
      <c r="B1338" s="10">
        <v>38146</v>
      </c>
      <c r="C1338" s="10" t="s">
        <v>280</v>
      </c>
      <c r="D1338" s="11" t="s">
        <v>49</v>
      </c>
      <c r="E1338" s="11" t="s">
        <v>50</v>
      </c>
      <c r="F1338" s="11" t="s">
        <v>51</v>
      </c>
      <c r="G1338" s="11" t="s">
        <v>25</v>
      </c>
      <c r="H1338" s="11" t="s">
        <v>17</v>
      </c>
      <c r="I1338" s="11" t="s">
        <v>20</v>
      </c>
      <c r="J1338" s="11" t="s">
        <v>242</v>
      </c>
      <c r="K1338" s="11">
        <v>29</v>
      </c>
      <c r="L1338" s="12">
        <v>48</v>
      </c>
      <c r="M1338" s="13">
        <v>1392</v>
      </c>
      <c r="N1338" s="11" t="s">
        <v>367</v>
      </c>
      <c r="O1338" s="11" t="s">
        <v>19</v>
      </c>
      <c r="Q1338"/>
    </row>
    <row r="1339" spans="1:17" ht="15.6" x14ac:dyDescent="0.3">
      <c r="A1339" s="15">
        <v>10257</v>
      </c>
      <c r="B1339" s="14">
        <v>38152</v>
      </c>
      <c r="C1339" s="14" t="s">
        <v>358</v>
      </c>
      <c r="D1339" s="15" t="s">
        <v>226</v>
      </c>
      <c r="E1339" s="15" t="s">
        <v>227</v>
      </c>
      <c r="F1339" s="15" t="s">
        <v>15</v>
      </c>
      <c r="G1339" s="15" t="s">
        <v>16</v>
      </c>
      <c r="H1339" s="15" t="s">
        <v>17</v>
      </c>
      <c r="I1339" s="15" t="s">
        <v>20</v>
      </c>
      <c r="J1339" s="15" t="s">
        <v>242</v>
      </c>
      <c r="K1339" s="15">
        <v>50</v>
      </c>
      <c r="L1339" s="16">
        <v>48</v>
      </c>
      <c r="M1339" s="17">
        <v>2400</v>
      </c>
      <c r="N1339" s="15" t="s">
        <v>368</v>
      </c>
      <c r="O1339" s="15" t="s">
        <v>19</v>
      </c>
      <c r="Q1339"/>
    </row>
    <row r="1340" spans="1:17" ht="15.6" x14ac:dyDescent="0.3">
      <c r="A1340" s="11">
        <v>10257</v>
      </c>
      <c r="B1340" s="10">
        <v>38152</v>
      </c>
      <c r="C1340" s="10" t="s">
        <v>358</v>
      </c>
      <c r="D1340" s="11" t="s">
        <v>226</v>
      </c>
      <c r="E1340" s="11" t="s">
        <v>227</v>
      </c>
      <c r="F1340" s="11" t="s">
        <v>15</v>
      </c>
      <c r="G1340" s="11" t="s">
        <v>16</v>
      </c>
      <c r="H1340" s="11" t="s">
        <v>17</v>
      </c>
      <c r="I1340" s="11" t="s">
        <v>18</v>
      </c>
      <c r="J1340" s="11" t="s">
        <v>241</v>
      </c>
      <c r="K1340" s="11">
        <v>49</v>
      </c>
      <c r="L1340" s="12">
        <v>30</v>
      </c>
      <c r="M1340" s="13">
        <v>1470</v>
      </c>
      <c r="N1340" s="11" t="s">
        <v>367</v>
      </c>
      <c r="O1340" s="11" t="s">
        <v>19</v>
      </c>
      <c r="Q1340"/>
    </row>
    <row r="1341" spans="1:17" ht="15.6" x14ac:dyDescent="0.3">
      <c r="A1341" s="15">
        <v>10257</v>
      </c>
      <c r="B1341" s="14">
        <v>38152</v>
      </c>
      <c r="C1341" s="14" t="s">
        <v>358</v>
      </c>
      <c r="D1341" s="15" t="s">
        <v>226</v>
      </c>
      <c r="E1341" s="15" t="s">
        <v>227</v>
      </c>
      <c r="F1341" s="15" t="s">
        <v>15</v>
      </c>
      <c r="G1341" s="15" t="s">
        <v>16</v>
      </c>
      <c r="H1341" s="15" t="s">
        <v>17</v>
      </c>
      <c r="I1341" s="15" t="s">
        <v>20</v>
      </c>
      <c r="J1341" s="15" t="s">
        <v>242</v>
      </c>
      <c r="K1341" s="15">
        <v>37</v>
      </c>
      <c r="L1341" s="16">
        <v>48</v>
      </c>
      <c r="M1341" s="17">
        <v>1776</v>
      </c>
      <c r="N1341" s="15" t="s">
        <v>367</v>
      </c>
      <c r="O1341" s="15" t="s">
        <v>19</v>
      </c>
      <c r="Q1341"/>
    </row>
    <row r="1342" spans="1:17" ht="15.6" x14ac:dyDescent="0.3">
      <c r="A1342" s="11">
        <v>10257</v>
      </c>
      <c r="B1342" s="10">
        <v>38152</v>
      </c>
      <c r="C1342" s="10" t="s">
        <v>358</v>
      </c>
      <c r="D1342" s="11" t="s">
        <v>226</v>
      </c>
      <c r="E1342" s="11" t="s">
        <v>227</v>
      </c>
      <c r="F1342" s="11" t="s">
        <v>15</v>
      </c>
      <c r="G1342" s="11" t="s">
        <v>16</v>
      </c>
      <c r="H1342" s="11" t="s">
        <v>17</v>
      </c>
      <c r="I1342" s="11" t="s">
        <v>20</v>
      </c>
      <c r="J1342" s="11" t="s">
        <v>242</v>
      </c>
      <c r="K1342" s="11">
        <v>26</v>
      </c>
      <c r="L1342" s="12">
        <v>48</v>
      </c>
      <c r="M1342" s="13">
        <v>1248</v>
      </c>
      <c r="N1342" s="11" t="s">
        <v>367</v>
      </c>
      <c r="O1342" s="11" t="s">
        <v>19</v>
      </c>
      <c r="Q1342"/>
    </row>
    <row r="1343" spans="1:17" ht="15.6" x14ac:dyDescent="0.3">
      <c r="A1343" s="15">
        <v>10257</v>
      </c>
      <c r="B1343" s="14">
        <v>38152</v>
      </c>
      <c r="C1343" s="14" t="s">
        <v>358</v>
      </c>
      <c r="D1343" s="15" t="s">
        <v>226</v>
      </c>
      <c r="E1343" s="15" t="s">
        <v>227</v>
      </c>
      <c r="F1343" s="15" t="s">
        <v>15</v>
      </c>
      <c r="G1343" s="15" t="s">
        <v>16</v>
      </c>
      <c r="H1343" s="15" t="s">
        <v>17</v>
      </c>
      <c r="I1343" s="15" t="s">
        <v>20</v>
      </c>
      <c r="J1343" s="15" t="s">
        <v>242</v>
      </c>
      <c r="K1343" s="15">
        <v>46</v>
      </c>
      <c r="L1343" s="16">
        <v>48</v>
      </c>
      <c r="M1343" s="17">
        <v>2208</v>
      </c>
      <c r="N1343" s="15" t="s">
        <v>367</v>
      </c>
      <c r="O1343" s="15" t="s">
        <v>19</v>
      </c>
      <c r="Q1343"/>
    </row>
    <row r="1344" spans="1:17" ht="15.6" x14ac:dyDescent="0.3">
      <c r="A1344" s="11">
        <v>10258</v>
      </c>
      <c r="B1344" s="10">
        <v>38153</v>
      </c>
      <c r="C1344" s="10" t="s">
        <v>359</v>
      </c>
      <c r="D1344" s="11" t="s">
        <v>228</v>
      </c>
      <c r="E1344" s="11" t="s">
        <v>229</v>
      </c>
      <c r="F1344" s="11" t="s">
        <v>74</v>
      </c>
      <c r="G1344" s="11" t="s">
        <v>74</v>
      </c>
      <c r="H1344" s="11" t="s">
        <v>32</v>
      </c>
      <c r="I1344" s="11" t="s">
        <v>45</v>
      </c>
      <c r="J1344" s="11" t="s">
        <v>253</v>
      </c>
      <c r="K1344" s="11">
        <v>32</v>
      </c>
      <c r="L1344" s="12">
        <v>35</v>
      </c>
      <c r="M1344" s="13">
        <v>1120</v>
      </c>
      <c r="N1344" s="11" t="s">
        <v>367</v>
      </c>
      <c r="O1344" s="11" t="s">
        <v>19</v>
      </c>
      <c r="Q1344"/>
    </row>
    <row r="1345" spans="1:17" ht="15.6" x14ac:dyDescent="0.3">
      <c r="A1345" s="15">
        <v>10259</v>
      </c>
      <c r="B1345" s="14">
        <v>38153</v>
      </c>
      <c r="C1345" s="14" t="s">
        <v>347</v>
      </c>
      <c r="D1345" s="15" t="s">
        <v>204</v>
      </c>
      <c r="E1345" s="15" t="s">
        <v>98</v>
      </c>
      <c r="F1345" s="15" t="s">
        <v>98</v>
      </c>
      <c r="G1345" s="15" t="s">
        <v>107</v>
      </c>
      <c r="H1345" s="15" t="s">
        <v>32</v>
      </c>
      <c r="I1345" s="15" t="s">
        <v>46</v>
      </c>
      <c r="J1345" s="15" t="s">
        <v>254</v>
      </c>
      <c r="K1345" s="15">
        <v>26</v>
      </c>
      <c r="L1345" s="16">
        <v>90</v>
      </c>
      <c r="M1345" s="17">
        <v>2340</v>
      </c>
      <c r="N1345" s="15" t="s">
        <v>367</v>
      </c>
      <c r="O1345" s="15" t="s">
        <v>19</v>
      </c>
      <c r="Q1345"/>
    </row>
    <row r="1346" spans="1:17" ht="15.6" x14ac:dyDescent="0.3">
      <c r="A1346" s="11">
        <v>10258</v>
      </c>
      <c r="B1346" s="10">
        <v>38153</v>
      </c>
      <c r="C1346" s="10" t="s">
        <v>359</v>
      </c>
      <c r="D1346" s="11" t="s">
        <v>228</v>
      </c>
      <c r="E1346" s="11" t="s">
        <v>229</v>
      </c>
      <c r="F1346" s="11" t="s">
        <v>74</v>
      </c>
      <c r="G1346" s="11" t="s">
        <v>74</v>
      </c>
      <c r="H1346" s="11" t="s">
        <v>35</v>
      </c>
      <c r="I1346" s="11" t="s">
        <v>40</v>
      </c>
      <c r="J1346" s="11" t="s">
        <v>251</v>
      </c>
      <c r="K1346" s="11">
        <v>41</v>
      </c>
      <c r="L1346" s="12">
        <v>25</v>
      </c>
      <c r="M1346" s="13">
        <v>1025</v>
      </c>
      <c r="N1346" s="11" t="s">
        <v>367</v>
      </c>
      <c r="O1346" s="11" t="s">
        <v>19</v>
      </c>
      <c r="Q1346"/>
    </row>
    <row r="1347" spans="1:17" ht="15.6" x14ac:dyDescent="0.3">
      <c r="A1347" s="15">
        <v>10259</v>
      </c>
      <c r="B1347" s="14">
        <v>38153</v>
      </c>
      <c r="C1347" s="14" t="s">
        <v>347</v>
      </c>
      <c r="D1347" s="15" t="s">
        <v>204</v>
      </c>
      <c r="E1347" s="15" t="s">
        <v>98</v>
      </c>
      <c r="F1347" s="15" t="s">
        <v>98</v>
      </c>
      <c r="G1347" s="15" t="s">
        <v>107</v>
      </c>
      <c r="H1347" s="15" t="s">
        <v>35</v>
      </c>
      <c r="I1347" s="15" t="s">
        <v>38</v>
      </c>
      <c r="J1347" s="15" t="s">
        <v>249</v>
      </c>
      <c r="K1347" s="15">
        <v>46</v>
      </c>
      <c r="L1347" s="16">
        <v>20</v>
      </c>
      <c r="M1347" s="17">
        <v>920</v>
      </c>
      <c r="N1347" s="15" t="s">
        <v>367</v>
      </c>
      <c r="O1347" s="15" t="s">
        <v>19</v>
      </c>
      <c r="Q1347"/>
    </row>
    <row r="1348" spans="1:17" ht="15.6" x14ac:dyDescent="0.3">
      <c r="A1348" s="11">
        <v>10258</v>
      </c>
      <c r="B1348" s="10">
        <v>38153</v>
      </c>
      <c r="C1348" s="10" t="s">
        <v>359</v>
      </c>
      <c r="D1348" s="11" t="s">
        <v>228</v>
      </c>
      <c r="E1348" s="11" t="s">
        <v>229</v>
      </c>
      <c r="F1348" s="11" t="s">
        <v>74</v>
      </c>
      <c r="G1348" s="11" t="s">
        <v>74</v>
      </c>
      <c r="H1348" s="11" t="s">
        <v>35</v>
      </c>
      <c r="I1348" s="11" t="s">
        <v>39</v>
      </c>
      <c r="J1348" s="11" t="s">
        <v>250</v>
      </c>
      <c r="K1348" s="11">
        <v>41</v>
      </c>
      <c r="L1348" s="12">
        <v>20</v>
      </c>
      <c r="M1348" s="13">
        <v>820</v>
      </c>
      <c r="N1348" s="11" t="s">
        <v>367</v>
      </c>
      <c r="O1348" s="11" t="s">
        <v>19</v>
      </c>
      <c r="Q1348"/>
    </row>
    <row r="1349" spans="1:17" ht="15.6" x14ac:dyDescent="0.3">
      <c r="A1349" s="15">
        <v>10259</v>
      </c>
      <c r="B1349" s="14">
        <v>38153</v>
      </c>
      <c r="C1349" s="14" t="s">
        <v>347</v>
      </c>
      <c r="D1349" s="15" t="s">
        <v>204</v>
      </c>
      <c r="E1349" s="15" t="s">
        <v>98</v>
      </c>
      <c r="F1349" s="15" t="s">
        <v>98</v>
      </c>
      <c r="G1349" s="15" t="s">
        <v>107</v>
      </c>
      <c r="H1349" s="15" t="s">
        <v>32</v>
      </c>
      <c r="I1349" s="15" t="s">
        <v>34</v>
      </c>
      <c r="J1349" s="15" t="s">
        <v>246</v>
      </c>
      <c r="K1349" s="15">
        <v>30</v>
      </c>
      <c r="L1349" s="16">
        <v>80</v>
      </c>
      <c r="M1349" s="17">
        <v>2400</v>
      </c>
      <c r="N1349" s="15" t="s">
        <v>367</v>
      </c>
      <c r="O1349" s="15" t="s">
        <v>19</v>
      </c>
      <c r="Q1349"/>
    </row>
    <row r="1350" spans="1:17" ht="15.6" x14ac:dyDescent="0.3">
      <c r="A1350" s="11">
        <v>10259</v>
      </c>
      <c r="B1350" s="10">
        <v>38153</v>
      </c>
      <c r="C1350" s="10" t="s">
        <v>347</v>
      </c>
      <c r="D1350" s="11" t="s">
        <v>204</v>
      </c>
      <c r="E1350" s="11" t="s">
        <v>98</v>
      </c>
      <c r="F1350" s="11" t="s">
        <v>98</v>
      </c>
      <c r="G1350" s="11" t="s">
        <v>107</v>
      </c>
      <c r="H1350" s="11" t="s">
        <v>35</v>
      </c>
      <c r="I1350" s="11" t="s">
        <v>39</v>
      </c>
      <c r="J1350" s="11" t="s">
        <v>250</v>
      </c>
      <c r="K1350" s="11">
        <v>34</v>
      </c>
      <c r="L1350" s="12">
        <v>20</v>
      </c>
      <c r="M1350" s="13">
        <v>680</v>
      </c>
      <c r="N1350" s="11" t="s">
        <v>367</v>
      </c>
      <c r="O1350" s="11" t="s">
        <v>19</v>
      </c>
      <c r="Q1350"/>
    </row>
    <row r="1351" spans="1:17" ht="15.6" x14ac:dyDescent="0.3">
      <c r="A1351" s="15">
        <v>10259</v>
      </c>
      <c r="B1351" s="14">
        <v>38153</v>
      </c>
      <c r="C1351" s="14" t="s">
        <v>347</v>
      </c>
      <c r="D1351" s="15" t="s">
        <v>204</v>
      </c>
      <c r="E1351" s="15" t="s">
        <v>98</v>
      </c>
      <c r="F1351" s="15" t="s">
        <v>98</v>
      </c>
      <c r="G1351" s="15" t="s">
        <v>107</v>
      </c>
      <c r="H1351" s="15" t="s">
        <v>35</v>
      </c>
      <c r="I1351" s="15" t="s">
        <v>39</v>
      </c>
      <c r="J1351" s="15" t="s">
        <v>250</v>
      </c>
      <c r="K1351" s="15">
        <v>30</v>
      </c>
      <c r="L1351" s="16">
        <v>20</v>
      </c>
      <c r="M1351" s="17">
        <v>600</v>
      </c>
      <c r="N1351" s="15" t="s">
        <v>367</v>
      </c>
      <c r="O1351" s="15" t="s">
        <v>19</v>
      </c>
      <c r="Q1351"/>
    </row>
    <row r="1352" spans="1:17" ht="15.6" x14ac:dyDescent="0.3">
      <c r="A1352" s="11">
        <v>10259</v>
      </c>
      <c r="B1352" s="10">
        <v>38153</v>
      </c>
      <c r="C1352" s="10" t="s">
        <v>347</v>
      </c>
      <c r="D1352" s="11" t="s">
        <v>204</v>
      </c>
      <c r="E1352" s="11" t="s">
        <v>98</v>
      </c>
      <c r="F1352" s="11" t="s">
        <v>98</v>
      </c>
      <c r="G1352" s="11" t="s">
        <v>107</v>
      </c>
      <c r="H1352" s="11" t="s">
        <v>32</v>
      </c>
      <c r="I1352" s="11" t="s">
        <v>33</v>
      </c>
      <c r="J1352" s="11" t="s">
        <v>245</v>
      </c>
      <c r="K1352" s="11">
        <v>27</v>
      </c>
      <c r="L1352" s="12">
        <v>85</v>
      </c>
      <c r="M1352" s="13">
        <v>2295</v>
      </c>
      <c r="N1352" s="11" t="s">
        <v>367</v>
      </c>
      <c r="O1352" s="11" t="s">
        <v>19</v>
      </c>
      <c r="Q1352"/>
    </row>
    <row r="1353" spans="1:17" ht="15.6" x14ac:dyDescent="0.3">
      <c r="A1353" s="15">
        <v>10259</v>
      </c>
      <c r="B1353" s="14">
        <v>38153</v>
      </c>
      <c r="C1353" s="14" t="s">
        <v>347</v>
      </c>
      <c r="D1353" s="15" t="s">
        <v>204</v>
      </c>
      <c r="E1353" s="15" t="s">
        <v>98</v>
      </c>
      <c r="F1353" s="15" t="s">
        <v>98</v>
      </c>
      <c r="G1353" s="15" t="s">
        <v>107</v>
      </c>
      <c r="H1353" s="15" t="s">
        <v>35</v>
      </c>
      <c r="I1353" s="15" t="s">
        <v>38</v>
      </c>
      <c r="J1353" s="15" t="s">
        <v>249</v>
      </c>
      <c r="K1353" s="15">
        <v>41</v>
      </c>
      <c r="L1353" s="16">
        <v>20</v>
      </c>
      <c r="M1353" s="17">
        <v>820</v>
      </c>
      <c r="N1353" s="15" t="s">
        <v>367</v>
      </c>
      <c r="O1353" s="15" t="s">
        <v>19</v>
      </c>
      <c r="Q1353"/>
    </row>
    <row r="1354" spans="1:17" ht="15.6" x14ac:dyDescent="0.3">
      <c r="A1354" s="11">
        <v>10258</v>
      </c>
      <c r="B1354" s="10">
        <v>38153</v>
      </c>
      <c r="C1354" s="10" t="s">
        <v>359</v>
      </c>
      <c r="D1354" s="11" t="s">
        <v>228</v>
      </c>
      <c r="E1354" s="11" t="s">
        <v>229</v>
      </c>
      <c r="F1354" s="11" t="s">
        <v>74</v>
      </c>
      <c r="G1354" s="11" t="s">
        <v>74</v>
      </c>
      <c r="H1354" s="11" t="s">
        <v>17</v>
      </c>
      <c r="I1354" s="11" t="s">
        <v>20</v>
      </c>
      <c r="J1354" s="11" t="s">
        <v>242</v>
      </c>
      <c r="K1354" s="11">
        <v>21</v>
      </c>
      <c r="L1354" s="12">
        <v>48</v>
      </c>
      <c r="M1354" s="13">
        <v>1008</v>
      </c>
      <c r="N1354" s="11" t="s">
        <v>367</v>
      </c>
      <c r="O1354" s="11" t="s">
        <v>19</v>
      </c>
      <c r="Q1354"/>
    </row>
    <row r="1355" spans="1:17" ht="15.6" x14ac:dyDescent="0.3">
      <c r="A1355" s="15">
        <v>10259</v>
      </c>
      <c r="B1355" s="14">
        <v>38153</v>
      </c>
      <c r="C1355" s="14" t="s">
        <v>347</v>
      </c>
      <c r="D1355" s="15" t="s">
        <v>204</v>
      </c>
      <c r="E1355" s="15" t="s">
        <v>98</v>
      </c>
      <c r="F1355" s="15" t="s">
        <v>98</v>
      </c>
      <c r="G1355" s="15" t="s">
        <v>107</v>
      </c>
      <c r="H1355" s="15" t="s">
        <v>32</v>
      </c>
      <c r="I1355" s="15" t="s">
        <v>45</v>
      </c>
      <c r="J1355" s="15" t="s">
        <v>253</v>
      </c>
      <c r="K1355" s="15">
        <v>28</v>
      </c>
      <c r="L1355" s="16">
        <v>35</v>
      </c>
      <c r="M1355" s="17">
        <v>980</v>
      </c>
      <c r="N1355" s="15" t="s">
        <v>367</v>
      </c>
      <c r="O1355" s="15" t="s">
        <v>19</v>
      </c>
      <c r="Q1355"/>
    </row>
    <row r="1356" spans="1:17" ht="15.6" x14ac:dyDescent="0.3">
      <c r="A1356" s="11">
        <v>10259</v>
      </c>
      <c r="B1356" s="10">
        <v>38153</v>
      </c>
      <c r="C1356" s="10" t="s">
        <v>347</v>
      </c>
      <c r="D1356" s="11" t="s">
        <v>204</v>
      </c>
      <c r="E1356" s="11" t="s">
        <v>98</v>
      </c>
      <c r="F1356" s="11" t="s">
        <v>98</v>
      </c>
      <c r="G1356" s="11" t="s">
        <v>107</v>
      </c>
      <c r="H1356" s="11" t="s">
        <v>35</v>
      </c>
      <c r="I1356" s="11" t="s">
        <v>39</v>
      </c>
      <c r="J1356" s="11" t="s">
        <v>250</v>
      </c>
      <c r="K1356" s="11">
        <v>47</v>
      </c>
      <c r="L1356" s="12">
        <v>20</v>
      </c>
      <c r="M1356" s="13">
        <v>940</v>
      </c>
      <c r="N1356" s="11" t="s">
        <v>367</v>
      </c>
      <c r="O1356" s="11" t="s">
        <v>19</v>
      </c>
      <c r="Q1356"/>
    </row>
    <row r="1357" spans="1:17" ht="15.6" x14ac:dyDescent="0.3">
      <c r="A1357" s="15">
        <v>10259</v>
      </c>
      <c r="B1357" s="14">
        <v>38153</v>
      </c>
      <c r="C1357" s="14" t="s">
        <v>347</v>
      </c>
      <c r="D1357" s="15" t="s">
        <v>204</v>
      </c>
      <c r="E1357" s="15" t="s">
        <v>98</v>
      </c>
      <c r="F1357" s="15" t="s">
        <v>98</v>
      </c>
      <c r="G1357" s="15" t="s">
        <v>107</v>
      </c>
      <c r="H1357" s="15" t="s">
        <v>32</v>
      </c>
      <c r="I1357" s="15" t="s">
        <v>44</v>
      </c>
      <c r="J1357" s="15" t="s">
        <v>252</v>
      </c>
      <c r="K1357" s="15">
        <v>31</v>
      </c>
      <c r="L1357" s="16">
        <v>55</v>
      </c>
      <c r="M1357" s="17">
        <v>1705</v>
      </c>
      <c r="N1357" s="15" t="s">
        <v>367</v>
      </c>
      <c r="O1357" s="15" t="s">
        <v>19</v>
      </c>
      <c r="Q1357"/>
    </row>
    <row r="1358" spans="1:17" ht="15.6" x14ac:dyDescent="0.3">
      <c r="A1358" s="11">
        <v>10259</v>
      </c>
      <c r="B1358" s="10">
        <v>38153</v>
      </c>
      <c r="C1358" s="10" t="s">
        <v>347</v>
      </c>
      <c r="D1358" s="11" t="s">
        <v>204</v>
      </c>
      <c r="E1358" s="11" t="s">
        <v>98</v>
      </c>
      <c r="F1358" s="11" t="s">
        <v>98</v>
      </c>
      <c r="G1358" s="11" t="s">
        <v>107</v>
      </c>
      <c r="H1358" s="11" t="s">
        <v>35</v>
      </c>
      <c r="I1358" s="11" t="s">
        <v>40</v>
      </c>
      <c r="J1358" s="11" t="s">
        <v>251</v>
      </c>
      <c r="K1358" s="11">
        <v>45</v>
      </c>
      <c r="L1358" s="12">
        <v>25</v>
      </c>
      <c r="M1358" s="13">
        <v>1125</v>
      </c>
      <c r="N1358" s="11" t="s">
        <v>367</v>
      </c>
      <c r="O1358" s="11" t="s">
        <v>19</v>
      </c>
      <c r="Q1358"/>
    </row>
    <row r="1359" spans="1:17" ht="15.6" x14ac:dyDescent="0.3">
      <c r="A1359" s="15">
        <v>10259</v>
      </c>
      <c r="B1359" s="14">
        <v>38153</v>
      </c>
      <c r="C1359" s="14" t="s">
        <v>347</v>
      </c>
      <c r="D1359" s="15" t="s">
        <v>204</v>
      </c>
      <c r="E1359" s="15" t="s">
        <v>98</v>
      </c>
      <c r="F1359" s="15" t="s">
        <v>98</v>
      </c>
      <c r="G1359" s="15" t="s">
        <v>107</v>
      </c>
      <c r="H1359" s="15" t="s">
        <v>35</v>
      </c>
      <c r="I1359" s="15" t="s">
        <v>40</v>
      </c>
      <c r="J1359" s="15" t="s">
        <v>251</v>
      </c>
      <c r="K1359" s="15">
        <v>40</v>
      </c>
      <c r="L1359" s="16">
        <v>25</v>
      </c>
      <c r="M1359" s="17">
        <v>1000</v>
      </c>
      <c r="N1359" s="15" t="s">
        <v>367</v>
      </c>
      <c r="O1359" s="15" t="s">
        <v>19</v>
      </c>
      <c r="Q1359"/>
    </row>
    <row r="1360" spans="1:17" ht="15.6" x14ac:dyDescent="0.3">
      <c r="A1360" s="11">
        <v>10258</v>
      </c>
      <c r="B1360" s="10">
        <v>38153</v>
      </c>
      <c r="C1360" s="10" t="s">
        <v>359</v>
      </c>
      <c r="D1360" s="11" t="s">
        <v>228</v>
      </c>
      <c r="E1360" s="11" t="s">
        <v>229</v>
      </c>
      <c r="F1360" s="11" t="s">
        <v>74</v>
      </c>
      <c r="G1360" s="11" t="s">
        <v>74</v>
      </c>
      <c r="H1360" s="11" t="s">
        <v>35</v>
      </c>
      <c r="I1360" s="11" t="s">
        <v>40</v>
      </c>
      <c r="J1360" s="11" t="s">
        <v>251</v>
      </c>
      <c r="K1360" s="11">
        <v>20</v>
      </c>
      <c r="L1360" s="12">
        <v>25</v>
      </c>
      <c r="M1360" s="13">
        <v>500</v>
      </c>
      <c r="N1360" s="11" t="s">
        <v>367</v>
      </c>
      <c r="O1360" s="11" t="s">
        <v>19</v>
      </c>
      <c r="Q1360"/>
    </row>
    <row r="1361" spans="1:17" ht="15.6" x14ac:dyDescent="0.3">
      <c r="A1361" s="15">
        <v>10259</v>
      </c>
      <c r="B1361" s="14">
        <v>38153</v>
      </c>
      <c r="C1361" s="14" t="s">
        <v>347</v>
      </c>
      <c r="D1361" s="15" t="s">
        <v>204</v>
      </c>
      <c r="E1361" s="15" t="s">
        <v>98</v>
      </c>
      <c r="F1361" s="15" t="s">
        <v>98</v>
      </c>
      <c r="G1361" s="15" t="s">
        <v>107</v>
      </c>
      <c r="H1361" s="15" t="s">
        <v>35</v>
      </c>
      <c r="I1361" s="15" t="s">
        <v>36</v>
      </c>
      <c r="J1361" s="15" t="s">
        <v>247</v>
      </c>
      <c r="K1361" s="15">
        <v>29</v>
      </c>
      <c r="L1361" s="16">
        <v>30</v>
      </c>
      <c r="M1361" s="17">
        <v>870</v>
      </c>
      <c r="N1361" s="15" t="s">
        <v>367</v>
      </c>
      <c r="O1361" s="15" t="s">
        <v>19</v>
      </c>
      <c r="Q1361"/>
    </row>
    <row r="1362" spans="1:17" ht="15.6" x14ac:dyDescent="0.3">
      <c r="A1362" s="11">
        <v>10258</v>
      </c>
      <c r="B1362" s="10">
        <v>38153</v>
      </c>
      <c r="C1362" s="10" t="s">
        <v>359</v>
      </c>
      <c r="D1362" s="11" t="s">
        <v>228</v>
      </c>
      <c r="E1362" s="11" t="s">
        <v>229</v>
      </c>
      <c r="F1362" s="11" t="s">
        <v>74</v>
      </c>
      <c r="G1362" s="11" t="s">
        <v>74</v>
      </c>
      <c r="H1362" s="11" t="s">
        <v>32</v>
      </c>
      <c r="I1362" s="11" t="s">
        <v>46</v>
      </c>
      <c r="J1362" s="11" t="s">
        <v>254</v>
      </c>
      <c r="K1362" s="11">
        <v>45</v>
      </c>
      <c r="L1362" s="12">
        <v>90</v>
      </c>
      <c r="M1362" s="13">
        <v>4050</v>
      </c>
      <c r="N1362" s="11" t="s">
        <v>367</v>
      </c>
      <c r="O1362" s="11" t="s">
        <v>19</v>
      </c>
      <c r="Q1362"/>
    </row>
    <row r="1363" spans="1:17" ht="15.6" x14ac:dyDescent="0.3">
      <c r="A1363" s="15">
        <v>10261</v>
      </c>
      <c r="B1363" s="14">
        <v>38155</v>
      </c>
      <c r="C1363" s="14" t="s">
        <v>327</v>
      </c>
      <c r="D1363" s="15" t="s">
        <v>167</v>
      </c>
      <c r="E1363" s="15" t="s">
        <v>168</v>
      </c>
      <c r="F1363" s="15" t="s">
        <v>169</v>
      </c>
      <c r="G1363" s="15" t="s">
        <v>16</v>
      </c>
      <c r="H1363" s="15" t="s">
        <v>32</v>
      </c>
      <c r="I1363" s="15" t="s">
        <v>44</v>
      </c>
      <c r="J1363" s="15" t="s">
        <v>252</v>
      </c>
      <c r="K1363" s="15">
        <v>27</v>
      </c>
      <c r="L1363" s="16">
        <v>55</v>
      </c>
      <c r="M1363" s="17">
        <v>1485</v>
      </c>
      <c r="N1363" s="15" t="s">
        <v>367</v>
      </c>
      <c r="O1363" s="15" t="s">
        <v>19</v>
      </c>
      <c r="Q1363"/>
    </row>
    <row r="1364" spans="1:17" ht="15.6" x14ac:dyDescent="0.3">
      <c r="A1364" s="11">
        <v>10261</v>
      </c>
      <c r="B1364" s="10">
        <v>38155</v>
      </c>
      <c r="C1364" s="10" t="s">
        <v>327</v>
      </c>
      <c r="D1364" s="11" t="s">
        <v>167</v>
      </c>
      <c r="E1364" s="11" t="s">
        <v>168</v>
      </c>
      <c r="F1364" s="11" t="s">
        <v>169</v>
      </c>
      <c r="G1364" s="11" t="s">
        <v>16</v>
      </c>
      <c r="H1364" s="11" t="s">
        <v>17</v>
      </c>
      <c r="I1364" s="11" t="s">
        <v>26</v>
      </c>
      <c r="J1364" s="11" t="s">
        <v>244</v>
      </c>
      <c r="K1364" s="11">
        <v>20</v>
      </c>
      <c r="L1364" s="12">
        <v>60</v>
      </c>
      <c r="M1364" s="13">
        <v>1200</v>
      </c>
      <c r="N1364" s="11" t="s">
        <v>367</v>
      </c>
      <c r="O1364" s="11" t="s">
        <v>19</v>
      </c>
      <c r="Q1364"/>
    </row>
    <row r="1365" spans="1:17" ht="15.6" x14ac:dyDescent="0.3">
      <c r="A1365" s="15">
        <v>10261</v>
      </c>
      <c r="B1365" s="14">
        <v>38155</v>
      </c>
      <c r="C1365" s="14" t="s">
        <v>327</v>
      </c>
      <c r="D1365" s="15" t="s">
        <v>167</v>
      </c>
      <c r="E1365" s="15" t="s">
        <v>168</v>
      </c>
      <c r="F1365" s="15" t="s">
        <v>169</v>
      </c>
      <c r="G1365" s="15" t="s">
        <v>16</v>
      </c>
      <c r="H1365" s="15" t="s">
        <v>54</v>
      </c>
      <c r="I1365" s="15" t="s">
        <v>56</v>
      </c>
      <c r="J1365" s="15" t="s">
        <v>259</v>
      </c>
      <c r="K1365" s="15">
        <v>36</v>
      </c>
      <c r="L1365" s="16">
        <v>250</v>
      </c>
      <c r="M1365" s="17">
        <v>9000</v>
      </c>
      <c r="N1365" s="15" t="s">
        <v>367</v>
      </c>
      <c r="O1365" s="15" t="s">
        <v>19</v>
      </c>
      <c r="Q1365"/>
    </row>
    <row r="1366" spans="1:17" ht="15.6" x14ac:dyDescent="0.3">
      <c r="A1366" s="11">
        <v>10261</v>
      </c>
      <c r="B1366" s="10">
        <v>38155</v>
      </c>
      <c r="C1366" s="10" t="s">
        <v>327</v>
      </c>
      <c r="D1366" s="11" t="s">
        <v>167</v>
      </c>
      <c r="E1366" s="11" t="s">
        <v>168</v>
      </c>
      <c r="F1366" s="11" t="s">
        <v>169</v>
      </c>
      <c r="G1366" s="11" t="s">
        <v>16</v>
      </c>
      <c r="H1366" s="11" t="s">
        <v>17</v>
      </c>
      <c r="I1366" s="11" t="s">
        <v>20</v>
      </c>
      <c r="J1366" s="11" t="s">
        <v>242</v>
      </c>
      <c r="K1366" s="11">
        <v>22</v>
      </c>
      <c r="L1366" s="12">
        <v>48</v>
      </c>
      <c r="M1366" s="13">
        <v>1056</v>
      </c>
      <c r="N1366" s="11" t="s">
        <v>367</v>
      </c>
      <c r="O1366" s="11" t="s">
        <v>19</v>
      </c>
      <c r="Q1366"/>
    </row>
    <row r="1367" spans="1:17" ht="15.6" x14ac:dyDescent="0.3">
      <c r="A1367" s="15">
        <v>10261</v>
      </c>
      <c r="B1367" s="14">
        <v>38155</v>
      </c>
      <c r="C1367" s="14" t="s">
        <v>327</v>
      </c>
      <c r="D1367" s="15" t="s">
        <v>167</v>
      </c>
      <c r="E1367" s="15" t="s">
        <v>168</v>
      </c>
      <c r="F1367" s="15" t="s">
        <v>169</v>
      </c>
      <c r="G1367" s="15" t="s">
        <v>16</v>
      </c>
      <c r="H1367" s="15" t="s">
        <v>54</v>
      </c>
      <c r="I1367" s="15" t="s">
        <v>166</v>
      </c>
      <c r="J1367" s="15" t="s">
        <v>273</v>
      </c>
      <c r="K1367" s="15">
        <v>34</v>
      </c>
      <c r="L1367" s="16">
        <v>160</v>
      </c>
      <c r="M1367" s="17">
        <v>5440</v>
      </c>
      <c r="N1367" s="15" t="s">
        <v>367</v>
      </c>
      <c r="O1367" s="15" t="s">
        <v>19</v>
      </c>
      <c r="Q1367"/>
    </row>
    <row r="1368" spans="1:17" ht="15.6" x14ac:dyDescent="0.3">
      <c r="A1368" s="11">
        <v>10261</v>
      </c>
      <c r="B1368" s="10">
        <v>38155</v>
      </c>
      <c r="C1368" s="10" t="s">
        <v>327</v>
      </c>
      <c r="D1368" s="11" t="s">
        <v>167</v>
      </c>
      <c r="E1368" s="11" t="s">
        <v>168</v>
      </c>
      <c r="F1368" s="11" t="s">
        <v>169</v>
      </c>
      <c r="G1368" s="11" t="s">
        <v>16</v>
      </c>
      <c r="H1368" s="11" t="s">
        <v>54</v>
      </c>
      <c r="I1368" s="11" t="s">
        <v>56</v>
      </c>
      <c r="J1368" s="11" t="s">
        <v>259</v>
      </c>
      <c r="K1368" s="11">
        <v>44</v>
      </c>
      <c r="L1368" s="12">
        <v>250</v>
      </c>
      <c r="M1368" s="13">
        <v>11000</v>
      </c>
      <c r="N1368" s="11" t="s">
        <v>367</v>
      </c>
      <c r="O1368" s="11" t="s">
        <v>19</v>
      </c>
      <c r="Q1368"/>
    </row>
    <row r="1369" spans="1:17" ht="15.6" x14ac:dyDescent="0.3">
      <c r="A1369" s="15">
        <v>10261</v>
      </c>
      <c r="B1369" s="14">
        <v>38155</v>
      </c>
      <c r="C1369" s="14" t="s">
        <v>327</v>
      </c>
      <c r="D1369" s="15" t="s">
        <v>167</v>
      </c>
      <c r="E1369" s="15" t="s">
        <v>168</v>
      </c>
      <c r="F1369" s="15" t="s">
        <v>169</v>
      </c>
      <c r="G1369" s="15" t="s">
        <v>16</v>
      </c>
      <c r="H1369" s="15" t="s">
        <v>54</v>
      </c>
      <c r="I1369" s="15" t="s">
        <v>56</v>
      </c>
      <c r="J1369" s="15" t="s">
        <v>259</v>
      </c>
      <c r="K1369" s="15">
        <v>25</v>
      </c>
      <c r="L1369" s="16">
        <v>250</v>
      </c>
      <c r="M1369" s="17">
        <v>6250</v>
      </c>
      <c r="N1369" s="15" t="s">
        <v>367</v>
      </c>
      <c r="O1369" s="15" t="s">
        <v>19</v>
      </c>
      <c r="Q1369"/>
    </row>
    <row r="1370" spans="1:17" ht="15.6" x14ac:dyDescent="0.3">
      <c r="A1370" s="11">
        <v>10261</v>
      </c>
      <c r="B1370" s="10">
        <v>38155</v>
      </c>
      <c r="C1370" s="10" t="s">
        <v>327</v>
      </c>
      <c r="D1370" s="11" t="s">
        <v>167</v>
      </c>
      <c r="E1370" s="11" t="s">
        <v>168</v>
      </c>
      <c r="F1370" s="11" t="s">
        <v>169</v>
      </c>
      <c r="G1370" s="11" t="s">
        <v>16</v>
      </c>
      <c r="H1370" s="11" t="s">
        <v>54</v>
      </c>
      <c r="I1370" s="11" t="s">
        <v>55</v>
      </c>
      <c r="J1370" s="11" t="s">
        <v>258</v>
      </c>
      <c r="K1370" s="11">
        <v>50</v>
      </c>
      <c r="L1370" s="12">
        <v>180</v>
      </c>
      <c r="M1370" s="13">
        <v>9000</v>
      </c>
      <c r="N1370" s="11" t="s">
        <v>368</v>
      </c>
      <c r="O1370" s="11" t="s">
        <v>19</v>
      </c>
      <c r="Q1370"/>
    </row>
    <row r="1371" spans="1:17" ht="15.6" x14ac:dyDescent="0.3">
      <c r="A1371" s="15">
        <v>10261</v>
      </c>
      <c r="B1371" s="14">
        <v>38155</v>
      </c>
      <c r="C1371" s="14" t="s">
        <v>327</v>
      </c>
      <c r="D1371" s="15" t="s">
        <v>167</v>
      </c>
      <c r="E1371" s="15" t="s">
        <v>168</v>
      </c>
      <c r="F1371" s="15" t="s">
        <v>169</v>
      </c>
      <c r="G1371" s="15" t="s">
        <v>16</v>
      </c>
      <c r="H1371" s="15" t="s">
        <v>54</v>
      </c>
      <c r="I1371" s="15" t="s">
        <v>55</v>
      </c>
      <c r="J1371" s="15" t="s">
        <v>258</v>
      </c>
      <c r="K1371" s="15">
        <v>29</v>
      </c>
      <c r="L1371" s="16">
        <v>180</v>
      </c>
      <c r="M1371" s="17">
        <v>5220</v>
      </c>
      <c r="N1371" s="15" t="s">
        <v>367</v>
      </c>
      <c r="O1371" s="15" t="s">
        <v>19</v>
      </c>
      <c r="Q1371"/>
    </row>
    <row r="1372" spans="1:17" ht="15.6" x14ac:dyDescent="0.3">
      <c r="A1372" s="11">
        <v>10263</v>
      </c>
      <c r="B1372" s="10">
        <v>38166</v>
      </c>
      <c r="C1372" s="10" t="s">
        <v>328</v>
      </c>
      <c r="D1372" s="11" t="s">
        <v>170</v>
      </c>
      <c r="E1372" s="11" t="s">
        <v>171</v>
      </c>
      <c r="F1372" s="11" t="s">
        <v>15</v>
      </c>
      <c r="G1372" s="11" t="s">
        <v>16</v>
      </c>
      <c r="H1372" s="11" t="s">
        <v>68</v>
      </c>
      <c r="I1372" s="11" t="s">
        <v>75</v>
      </c>
      <c r="J1372" s="11" t="s">
        <v>268</v>
      </c>
      <c r="K1372" s="11">
        <v>34</v>
      </c>
      <c r="L1372" s="12">
        <v>35</v>
      </c>
      <c r="M1372" s="13">
        <v>1190</v>
      </c>
      <c r="N1372" s="11" t="s">
        <v>367</v>
      </c>
      <c r="O1372" s="11" t="s">
        <v>19</v>
      </c>
      <c r="Q1372"/>
    </row>
    <row r="1373" spans="1:17" ht="15.6" x14ac:dyDescent="0.3">
      <c r="A1373" s="15">
        <v>10263</v>
      </c>
      <c r="B1373" s="14">
        <v>38166</v>
      </c>
      <c r="C1373" s="14" t="s">
        <v>328</v>
      </c>
      <c r="D1373" s="15" t="s">
        <v>170</v>
      </c>
      <c r="E1373" s="15" t="s">
        <v>171</v>
      </c>
      <c r="F1373" s="15" t="s">
        <v>15</v>
      </c>
      <c r="G1373" s="15" t="s">
        <v>16</v>
      </c>
      <c r="H1373" s="15" t="s">
        <v>68</v>
      </c>
      <c r="I1373" s="15" t="s">
        <v>69</v>
      </c>
      <c r="J1373" s="15" t="s">
        <v>266</v>
      </c>
      <c r="K1373" s="15">
        <v>40</v>
      </c>
      <c r="L1373" s="16">
        <v>25</v>
      </c>
      <c r="M1373" s="17">
        <v>1000</v>
      </c>
      <c r="N1373" s="15" t="s">
        <v>367</v>
      </c>
      <c r="O1373" s="15" t="s">
        <v>19</v>
      </c>
      <c r="Q1373"/>
    </row>
    <row r="1374" spans="1:17" ht="15.6" x14ac:dyDescent="0.3">
      <c r="A1374" s="11">
        <v>10263</v>
      </c>
      <c r="B1374" s="10">
        <v>38166</v>
      </c>
      <c r="C1374" s="10" t="s">
        <v>328</v>
      </c>
      <c r="D1374" s="11" t="s">
        <v>170</v>
      </c>
      <c r="E1374" s="11" t="s">
        <v>171</v>
      </c>
      <c r="F1374" s="11" t="s">
        <v>15</v>
      </c>
      <c r="G1374" s="11" t="s">
        <v>16</v>
      </c>
      <c r="H1374" s="11" t="s">
        <v>68</v>
      </c>
      <c r="I1374" s="11" t="s">
        <v>69</v>
      </c>
      <c r="J1374" s="11" t="s">
        <v>266</v>
      </c>
      <c r="K1374" s="11">
        <v>41</v>
      </c>
      <c r="L1374" s="12">
        <v>25</v>
      </c>
      <c r="M1374" s="13">
        <v>1025</v>
      </c>
      <c r="N1374" s="11" t="s">
        <v>367</v>
      </c>
      <c r="O1374" s="11" t="s">
        <v>19</v>
      </c>
      <c r="Q1374"/>
    </row>
    <row r="1375" spans="1:17" ht="15.6" x14ac:dyDescent="0.3">
      <c r="A1375" s="15">
        <v>10263</v>
      </c>
      <c r="B1375" s="14">
        <v>38166</v>
      </c>
      <c r="C1375" s="14" t="s">
        <v>328</v>
      </c>
      <c r="D1375" s="15" t="s">
        <v>170</v>
      </c>
      <c r="E1375" s="15" t="s">
        <v>171</v>
      </c>
      <c r="F1375" s="15" t="s">
        <v>15</v>
      </c>
      <c r="G1375" s="15" t="s">
        <v>16</v>
      </c>
      <c r="H1375" s="15" t="s">
        <v>68</v>
      </c>
      <c r="I1375" s="15" t="s">
        <v>69</v>
      </c>
      <c r="J1375" s="15" t="s">
        <v>266</v>
      </c>
      <c r="K1375" s="15">
        <v>48</v>
      </c>
      <c r="L1375" s="16">
        <v>25</v>
      </c>
      <c r="M1375" s="17">
        <v>1200</v>
      </c>
      <c r="N1375" s="15" t="s">
        <v>367</v>
      </c>
      <c r="O1375" s="15" t="s">
        <v>19</v>
      </c>
      <c r="Q1375"/>
    </row>
    <row r="1376" spans="1:17" ht="15.6" x14ac:dyDescent="0.3">
      <c r="A1376" s="11">
        <v>10263</v>
      </c>
      <c r="B1376" s="10">
        <v>38166</v>
      </c>
      <c r="C1376" s="10" t="s">
        <v>328</v>
      </c>
      <c r="D1376" s="11" t="s">
        <v>170</v>
      </c>
      <c r="E1376" s="11" t="s">
        <v>171</v>
      </c>
      <c r="F1376" s="11" t="s">
        <v>15</v>
      </c>
      <c r="G1376" s="11" t="s">
        <v>16</v>
      </c>
      <c r="H1376" s="11" t="s">
        <v>61</v>
      </c>
      <c r="I1376" s="11" t="s">
        <v>66</v>
      </c>
      <c r="J1376" s="11" t="s">
        <v>265</v>
      </c>
      <c r="K1376" s="11">
        <v>33</v>
      </c>
      <c r="L1376" s="12">
        <v>35</v>
      </c>
      <c r="M1376" s="13">
        <v>1155</v>
      </c>
      <c r="N1376" s="11" t="s">
        <v>367</v>
      </c>
      <c r="O1376" s="11" t="s">
        <v>19</v>
      </c>
      <c r="Q1376"/>
    </row>
    <row r="1377" spans="1:17" ht="15.6" x14ac:dyDescent="0.3">
      <c r="A1377" s="15">
        <v>10263</v>
      </c>
      <c r="B1377" s="14">
        <v>38166</v>
      </c>
      <c r="C1377" s="14" t="s">
        <v>328</v>
      </c>
      <c r="D1377" s="15" t="s">
        <v>170</v>
      </c>
      <c r="E1377" s="15" t="s">
        <v>171</v>
      </c>
      <c r="F1377" s="15" t="s">
        <v>15</v>
      </c>
      <c r="G1377" s="15" t="s">
        <v>16</v>
      </c>
      <c r="H1377" s="15" t="s">
        <v>68</v>
      </c>
      <c r="I1377" s="15" t="s">
        <v>69</v>
      </c>
      <c r="J1377" s="15" t="s">
        <v>266</v>
      </c>
      <c r="K1377" s="15">
        <v>34</v>
      </c>
      <c r="L1377" s="16">
        <v>25</v>
      </c>
      <c r="M1377" s="17">
        <v>850</v>
      </c>
      <c r="N1377" s="15" t="s">
        <v>367</v>
      </c>
      <c r="O1377" s="15" t="s">
        <v>19</v>
      </c>
      <c r="Q1377"/>
    </row>
    <row r="1378" spans="1:17" ht="15.6" x14ac:dyDescent="0.3">
      <c r="A1378" s="11">
        <v>10263</v>
      </c>
      <c r="B1378" s="10">
        <v>38166</v>
      </c>
      <c r="C1378" s="10" t="s">
        <v>328</v>
      </c>
      <c r="D1378" s="11" t="s">
        <v>170</v>
      </c>
      <c r="E1378" s="11" t="s">
        <v>171</v>
      </c>
      <c r="F1378" s="11" t="s">
        <v>15</v>
      </c>
      <c r="G1378" s="11" t="s">
        <v>16</v>
      </c>
      <c r="H1378" s="11" t="s">
        <v>68</v>
      </c>
      <c r="I1378" s="11" t="s">
        <v>69</v>
      </c>
      <c r="J1378" s="11" t="s">
        <v>266</v>
      </c>
      <c r="K1378" s="11">
        <v>42</v>
      </c>
      <c r="L1378" s="12">
        <v>25</v>
      </c>
      <c r="M1378" s="13">
        <v>1050</v>
      </c>
      <c r="N1378" s="11" t="s">
        <v>367</v>
      </c>
      <c r="O1378" s="11" t="s">
        <v>19</v>
      </c>
      <c r="Q1378"/>
    </row>
    <row r="1379" spans="1:17" ht="15.6" x14ac:dyDescent="0.3">
      <c r="A1379" s="15">
        <v>10263</v>
      </c>
      <c r="B1379" s="14">
        <v>38166</v>
      </c>
      <c r="C1379" s="14" t="s">
        <v>328</v>
      </c>
      <c r="D1379" s="15" t="s">
        <v>170</v>
      </c>
      <c r="E1379" s="15" t="s">
        <v>171</v>
      </c>
      <c r="F1379" s="15" t="s">
        <v>15</v>
      </c>
      <c r="G1379" s="15" t="s">
        <v>16</v>
      </c>
      <c r="H1379" s="15" t="s">
        <v>68</v>
      </c>
      <c r="I1379" s="15" t="s">
        <v>69</v>
      </c>
      <c r="J1379" s="15" t="s">
        <v>266</v>
      </c>
      <c r="K1379" s="15">
        <v>37</v>
      </c>
      <c r="L1379" s="16">
        <v>25</v>
      </c>
      <c r="M1379" s="17">
        <v>925</v>
      </c>
      <c r="N1379" s="15" t="s">
        <v>367</v>
      </c>
      <c r="O1379" s="15" t="s">
        <v>19</v>
      </c>
      <c r="Q1379"/>
    </row>
    <row r="1380" spans="1:17" ht="15.6" x14ac:dyDescent="0.3">
      <c r="A1380" s="11">
        <v>10263</v>
      </c>
      <c r="B1380" s="10">
        <v>38166</v>
      </c>
      <c r="C1380" s="10" t="s">
        <v>328</v>
      </c>
      <c r="D1380" s="11" t="s">
        <v>170</v>
      </c>
      <c r="E1380" s="11" t="s">
        <v>171</v>
      </c>
      <c r="F1380" s="11" t="s">
        <v>15</v>
      </c>
      <c r="G1380" s="11" t="s">
        <v>16</v>
      </c>
      <c r="H1380" s="11" t="s">
        <v>61</v>
      </c>
      <c r="I1380" s="11" t="s">
        <v>62</v>
      </c>
      <c r="J1380" s="11" t="s">
        <v>261</v>
      </c>
      <c r="K1380" s="11">
        <v>24</v>
      </c>
      <c r="L1380" s="12">
        <v>15</v>
      </c>
      <c r="M1380" s="13">
        <v>360</v>
      </c>
      <c r="N1380" s="11" t="s">
        <v>367</v>
      </c>
      <c r="O1380" s="11" t="s">
        <v>19</v>
      </c>
      <c r="Q1380"/>
    </row>
    <row r="1381" spans="1:17" ht="15.6" x14ac:dyDescent="0.3">
      <c r="A1381" s="15">
        <v>10263</v>
      </c>
      <c r="B1381" s="14">
        <v>38166</v>
      </c>
      <c r="C1381" s="14" t="s">
        <v>328</v>
      </c>
      <c r="D1381" s="15" t="s">
        <v>170</v>
      </c>
      <c r="E1381" s="15" t="s">
        <v>171</v>
      </c>
      <c r="F1381" s="15" t="s">
        <v>15</v>
      </c>
      <c r="G1381" s="15" t="s">
        <v>16</v>
      </c>
      <c r="H1381" s="15" t="s">
        <v>68</v>
      </c>
      <c r="I1381" s="15" t="s">
        <v>70</v>
      </c>
      <c r="J1381" s="15" t="s">
        <v>267</v>
      </c>
      <c r="K1381" s="15">
        <v>31</v>
      </c>
      <c r="L1381" s="16">
        <v>50</v>
      </c>
      <c r="M1381" s="17">
        <v>1550</v>
      </c>
      <c r="N1381" s="15" t="s">
        <v>367</v>
      </c>
      <c r="O1381" s="15" t="s">
        <v>19</v>
      </c>
      <c r="Q1381"/>
    </row>
    <row r="1382" spans="1:17" ht="15.6" x14ac:dyDescent="0.3">
      <c r="A1382" s="11">
        <v>10263</v>
      </c>
      <c r="B1382" s="10">
        <v>38166</v>
      </c>
      <c r="C1382" s="10" t="s">
        <v>328</v>
      </c>
      <c r="D1382" s="11" t="s">
        <v>170</v>
      </c>
      <c r="E1382" s="11" t="s">
        <v>171</v>
      </c>
      <c r="F1382" s="11" t="s">
        <v>15</v>
      </c>
      <c r="G1382" s="11" t="s">
        <v>16</v>
      </c>
      <c r="H1382" s="11" t="s">
        <v>61</v>
      </c>
      <c r="I1382" s="11" t="s">
        <v>62</v>
      </c>
      <c r="J1382" s="11" t="s">
        <v>261</v>
      </c>
      <c r="K1382" s="11">
        <v>47</v>
      </c>
      <c r="L1382" s="12">
        <v>15</v>
      </c>
      <c r="M1382" s="13">
        <v>705</v>
      </c>
      <c r="N1382" s="11" t="s">
        <v>367</v>
      </c>
      <c r="O1382" s="11" t="s">
        <v>19</v>
      </c>
      <c r="Q1382"/>
    </row>
    <row r="1383" spans="1:17" ht="15.6" x14ac:dyDescent="0.3">
      <c r="A1383" s="15">
        <v>10264</v>
      </c>
      <c r="B1383" s="14">
        <v>38168</v>
      </c>
      <c r="C1383" s="14" t="s">
        <v>360</v>
      </c>
      <c r="D1383" s="15" t="s">
        <v>230</v>
      </c>
      <c r="E1383" s="15" t="s">
        <v>198</v>
      </c>
      <c r="F1383" s="15" t="s">
        <v>15</v>
      </c>
      <c r="G1383" s="15" t="s">
        <v>16</v>
      </c>
      <c r="H1383" s="15" t="s">
        <v>68</v>
      </c>
      <c r="I1383" s="15" t="s">
        <v>70</v>
      </c>
      <c r="J1383" s="15" t="s">
        <v>267</v>
      </c>
      <c r="K1383" s="15">
        <v>48</v>
      </c>
      <c r="L1383" s="16">
        <v>50</v>
      </c>
      <c r="M1383" s="17">
        <v>2400</v>
      </c>
      <c r="N1383" s="15" t="s">
        <v>367</v>
      </c>
      <c r="O1383" s="15" t="s">
        <v>19</v>
      </c>
      <c r="Q1383"/>
    </row>
    <row r="1384" spans="1:17" ht="15.6" x14ac:dyDescent="0.3">
      <c r="A1384" s="11">
        <v>10264</v>
      </c>
      <c r="B1384" s="10">
        <v>38168</v>
      </c>
      <c r="C1384" s="10" t="s">
        <v>360</v>
      </c>
      <c r="D1384" s="11" t="s">
        <v>230</v>
      </c>
      <c r="E1384" s="11" t="s">
        <v>198</v>
      </c>
      <c r="F1384" s="11" t="s">
        <v>15</v>
      </c>
      <c r="G1384" s="11" t="s">
        <v>16</v>
      </c>
      <c r="H1384" s="11" t="s">
        <v>32</v>
      </c>
      <c r="I1384" s="11" t="s">
        <v>34</v>
      </c>
      <c r="J1384" s="11" t="s">
        <v>246</v>
      </c>
      <c r="K1384" s="11">
        <v>20</v>
      </c>
      <c r="L1384" s="12">
        <v>80</v>
      </c>
      <c r="M1384" s="13">
        <v>1600</v>
      </c>
      <c r="N1384" s="11" t="s">
        <v>367</v>
      </c>
      <c r="O1384" s="11" t="s">
        <v>19</v>
      </c>
      <c r="Q1384"/>
    </row>
    <row r="1385" spans="1:17" ht="15.6" x14ac:dyDescent="0.3">
      <c r="A1385" s="15">
        <v>10264</v>
      </c>
      <c r="B1385" s="14">
        <v>38168</v>
      </c>
      <c r="C1385" s="14" t="s">
        <v>360</v>
      </c>
      <c r="D1385" s="15" t="s">
        <v>230</v>
      </c>
      <c r="E1385" s="15" t="s">
        <v>198</v>
      </c>
      <c r="F1385" s="15" t="s">
        <v>15</v>
      </c>
      <c r="G1385" s="15" t="s">
        <v>16</v>
      </c>
      <c r="H1385" s="15" t="s">
        <v>68</v>
      </c>
      <c r="I1385" s="15" t="s">
        <v>76</v>
      </c>
      <c r="J1385" s="15" t="s">
        <v>269</v>
      </c>
      <c r="K1385" s="15">
        <v>37</v>
      </c>
      <c r="L1385" s="16">
        <v>30</v>
      </c>
      <c r="M1385" s="17">
        <v>1110</v>
      </c>
      <c r="N1385" s="15" t="s">
        <v>367</v>
      </c>
      <c r="O1385" s="15" t="s">
        <v>19</v>
      </c>
      <c r="Q1385"/>
    </row>
    <row r="1386" spans="1:17" ht="15.6" x14ac:dyDescent="0.3">
      <c r="A1386" s="11">
        <v>10264</v>
      </c>
      <c r="B1386" s="10">
        <v>38168</v>
      </c>
      <c r="C1386" s="10" t="s">
        <v>360</v>
      </c>
      <c r="D1386" s="11" t="s">
        <v>230</v>
      </c>
      <c r="E1386" s="11" t="s">
        <v>198</v>
      </c>
      <c r="F1386" s="11" t="s">
        <v>15</v>
      </c>
      <c r="G1386" s="11" t="s">
        <v>16</v>
      </c>
      <c r="H1386" s="11" t="s">
        <v>32</v>
      </c>
      <c r="I1386" s="11" t="s">
        <v>34</v>
      </c>
      <c r="J1386" s="11" t="s">
        <v>246</v>
      </c>
      <c r="K1386" s="11">
        <v>47</v>
      </c>
      <c r="L1386" s="12">
        <v>80</v>
      </c>
      <c r="M1386" s="13">
        <v>3760</v>
      </c>
      <c r="N1386" s="11" t="s">
        <v>367</v>
      </c>
      <c r="O1386" s="11" t="s">
        <v>19</v>
      </c>
      <c r="Q1386"/>
    </row>
    <row r="1387" spans="1:17" ht="15.6" x14ac:dyDescent="0.3">
      <c r="A1387" s="15">
        <v>10264</v>
      </c>
      <c r="B1387" s="14">
        <v>38168</v>
      </c>
      <c r="C1387" s="14" t="s">
        <v>360</v>
      </c>
      <c r="D1387" s="15" t="s">
        <v>230</v>
      </c>
      <c r="E1387" s="15" t="s">
        <v>198</v>
      </c>
      <c r="F1387" s="15" t="s">
        <v>15</v>
      </c>
      <c r="G1387" s="15" t="s">
        <v>16</v>
      </c>
      <c r="H1387" s="15" t="s">
        <v>68</v>
      </c>
      <c r="I1387" s="15" t="s">
        <v>76</v>
      </c>
      <c r="J1387" s="15" t="s">
        <v>269</v>
      </c>
      <c r="K1387" s="15">
        <v>20</v>
      </c>
      <c r="L1387" s="16">
        <v>30</v>
      </c>
      <c r="M1387" s="17">
        <v>600</v>
      </c>
      <c r="N1387" s="15" t="s">
        <v>367</v>
      </c>
      <c r="O1387" s="15" t="s">
        <v>19</v>
      </c>
      <c r="Q1387"/>
    </row>
    <row r="1388" spans="1:17" ht="15.6" x14ac:dyDescent="0.3">
      <c r="A1388" s="11">
        <v>10264</v>
      </c>
      <c r="B1388" s="10">
        <v>38168</v>
      </c>
      <c r="C1388" s="10" t="s">
        <v>360</v>
      </c>
      <c r="D1388" s="11" t="s">
        <v>230</v>
      </c>
      <c r="E1388" s="11" t="s">
        <v>198</v>
      </c>
      <c r="F1388" s="11" t="s">
        <v>15</v>
      </c>
      <c r="G1388" s="11" t="s">
        <v>16</v>
      </c>
      <c r="H1388" s="11" t="s">
        <v>68</v>
      </c>
      <c r="I1388" s="11" t="s">
        <v>108</v>
      </c>
      <c r="J1388" s="11" t="s">
        <v>271</v>
      </c>
      <c r="K1388" s="11">
        <v>34</v>
      </c>
      <c r="L1388" s="12">
        <v>45</v>
      </c>
      <c r="M1388" s="13">
        <v>1530</v>
      </c>
      <c r="N1388" s="11" t="s">
        <v>367</v>
      </c>
      <c r="O1388" s="11" t="s">
        <v>19</v>
      </c>
      <c r="Q1388"/>
    </row>
    <row r="1389" spans="1:17" ht="15.6" x14ac:dyDescent="0.3">
      <c r="A1389" s="15">
        <v>10264</v>
      </c>
      <c r="B1389" s="14">
        <v>38168</v>
      </c>
      <c r="C1389" s="14" t="s">
        <v>360</v>
      </c>
      <c r="D1389" s="15" t="s">
        <v>230</v>
      </c>
      <c r="E1389" s="15" t="s">
        <v>198</v>
      </c>
      <c r="F1389" s="15" t="s">
        <v>15</v>
      </c>
      <c r="G1389" s="15" t="s">
        <v>16</v>
      </c>
      <c r="H1389" s="15" t="s">
        <v>68</v>
      </c>
      <c r="I1389" s="15" t="s">
        <v>70</v>
      </c>
      <c r="J1389" s="15" t="s">
        <v>267</v>
      </c>
      <c r="K1389" s="15">
        <v>47</v>
      </c>
      <c r="L1389" s="16">
        <v>50</v>
      </c>
      <c r="M1389" s="17">
        <v>2350</v>
      </c>
      <c r="N1389" s="15" t="s">
        <v>367</v>
      </c>
      <c r="O1389" s="15" t="s">
        <v>19</v>
      </c>
      <c r="Q1389"/>
    </row>
    <row r="1390" spans="1:17" ht="15.6" x14ac:dyDescent="0.3">
      <c r="A1390" s="11">
        <v>10265</v>
      </c>
      <c r="B1390" s="10">
        <v>38170</v>
      </c>
      <c r="C1390" s="10" t="s">
        <v>337</v>
      </c>
      <c r="D1390" s="11" t="s">
        <v>185</v>
      </c>
      <c r="E1390" s="11" t="s">
        <v>186</v>
      </c>
      <c r="F1390" s="11" t="s">
        <v>106</v>
      </c>
      <c r="G1390" s="11" t="s">
        <v>107</v>
      </c>
      <c r="H1390" s="11" t="s">
        <v>32</v>
      </c>
      <c r="I1390" s="11" t="s">
        <v>45</v>
      </c>
      <c r="J1390" s="11" t="s">
        <v>253</v>
      </c>
      <c r="K1390" s="11">
        <v>45</v>
      </c>
      <c r="L1390" s="12">
        <v>35</v>
      </c>
      <c r="M1390" s="13">
        <v>1575</v>
      </c>
      <c r="N1390" s="11" t="s">
        <v>367</v>
      </c>
      <c r="O1390" s="11" t="s">
        <v>19</v>
      </c>
      <c r="Q1390"/>
    </row>
    <row r="1391" spans="1:17" ht="15.6" x14ac:dyDescent="0.3">
      <c r="A1391" s="15">
        <v>10265</v>
      </c>
      <c r="B1391" s="14">
        <v>38170</v>
      </c>
      <c r="C1391" s="14" t="s">
        <v>337</v>
      </c>
      <c r="D1391" s="15" t="s">
        <v>185</v>
      </c>
      <c r="E1391" s="15" t="s">
        <v>186</v>
      </c>
      <c r="F1391" s="15" t="s">
        <v>106</v>
      </c>
      <c r="G1391" s="15" t="s">
        <v>107</v>
      </c>
      <c r="H1391" s="15" t="s">
        <v>32</v>
      </c>
      <c r="I1391" s="15" t="s">
        <v>46</v>
      </c>
      <c r="J1391" s="15" t="s">
        <v>254</v>
      </c>
      <c r="K1391" s="15">
        <v>49</v>
      </c>
      <c r="L1391" s="16">
        <v>90</v>
      </c>
      <c r="M1391" s="17">
        <v>4410</v>
      </c>
      <c r="N1391" s="15" t="s">
        <v>367</v>
      </c>
      <c r="O1391" s="15" t="s">
        <v>19</v>
      </c>
      <c r="Q1391"/>
    </row>
    <row r="1392" spans="1:17" ht="15.6" x14ac:dyDescent="0.3">
      <c r="A1392" s="11">
        <v>10266</v>
      </c>
      <c r="B1392" s="10">
        <v>38174</v>
      </c>
      <c r="C1392" s="10" t="s">
        <v>329</v>
      </c>
      <c r="D1392" s="11" t="s">
        <v>172</v>
      </c>
      <c r="E1392" s="11" t="s">
        <v>173</v>
      </c>
      <c r="F1392" s="11" t="s">
        <v>60</v>
      </c>
      <c r="G1392" s="11" t="s">
        <v>25</v>
      </c>
      <c r="H1392" s="11" t="s">
        <v>32</v>
      </c>
      <c r="I1392" s="11" t="s">
        <v>44</v>
      </c>
      <c r="J1392" s="11" t="s">
        <v>252</v>
      </c>
      <c r="K1392" s="11">
        <v>44</v>
      </c>
      <c r="L1392" s="12">
        <v>55</v>
      </c>
      <c r="M1392" s="13">
        <v>2420</v>
      </c>
      <c r="N1392" s="11" t="s">
        <v>367</v>
      </c>
      <c r="O1392" s="11" t="s">
        <v>19</v>
      </c>
      <c r="Q1392"/>
    </row>
    <row r="1393" spans="1:17" ht="15.6" x14ac:dyDescent="0.3">
      <c r="A1393" s="15">
        <v>10266</v>
      </c>
      <c r="B1393" s="14">
        <v>38174</v>
      </c>
      <c r="C1393" s="14" t="s">
        <v>329</v>
      </c>
      <c r="D1393" s="15" t="s">
        <v>172</v>
      </c>
      <c r="E1393" s="15" t="s">
        <v>173</v>
      </c>
      <c r="F1393" s="15" t="s">
        <v>60</v>
      </c>
      <c r="G1393" s="15" t="s">
        <v>25</v>
      </c>
      <c r="H1393" s="15" t="s">
        <v>32</v>
      </c>
      <c r="I1393" s="15" t="s">
        <v>44</v>
      </c>
      <c r="J1393" s="15" t="s">
        <v>252</v>
      </c>
      <c r="K1393" s="15">
        <v>22</v>
      </c>
      <c r="L1393" s="16">
        <v>55</v>
      </c>
      <c r="M1393" s="17">
        <v>1210</v>
      </c>
      <c r="N1393" s="15" t="s">
        <v>367</v>
      </c>
      <c r="O1393" s="15" t="s">
        <v>19</v>
      </c>
      <c r="Q1393"/>
    </row>
    <row r="1394" spans="1:17" ht="15.6" x14ac:dyDescent="0.3">
      <c r="A1394" s="11">
        <v>10266</v>
      </c>
      <c r="B1394" s="10">
        <v>38174</v>
      </c>
      <c r="C1394" s="10" t="s">
        <v>329</v>
      </c>
      <c r="D1394" s="11" t="s">
        <v>172</v>
      </c>
      <c r="E1394" s="11" t="s">
        <v>173</v>
      </c>
      <c r="F1394" s="11" t="s">
        <v>60</v>
      </c>
      <c r="G1394" s="11" t="s">
        <v>25</v>
      </c>
      <c r="H1394" s="11" t="s">
        <v>32</v>
      </c>
      <c r="I1394" s="11" t="s">
        <v>33</v>
      </c>
      <c r="J1394" s="11" t="s">
        <v>245</v>
      </c>
      <c r="K1394" s="11">
        <v>35</v>
      </c>
      <c r="L1394" s="12">
        <v>85</v>
      </c>
      <c r="M1394" s="13">
        <v>2975</v>
      </c>
      <c r="N1394" s="11" t="s">
        <v>367</v>
      </c>
      <c r="O1394" s="11" t="s">
        <v>19</v>
      </c>
      <c r="Q1394"/>
    </row>
    <row r="1395" spans="1:17" ht="15.6" x14ac:dyDescent="0.3">
      <c r="A1395" s="15">
        <v>10266</v>
      </c>
      <c r="B1395" s="14">
        <v>38174</v>
      </c>
      <c r="C1395" s="14" t="s">
        <v>329</v>
      </c>
      <c r="D1395" s="15" t="s">
        <v>172</v>
      </c>
      <c r="E1395" s="15" t="s">
        <v>173</v>
      </c>
      <c r="F1395" s="15" t="s">
        <v>60</v>
      </c>
      <c r="G1395" s="15" t="s">
        <v>25</v>
      </c>
      <c r="H1395" s="15" t="s">
        <v>32</v>
      </c>
      <c r="I1395" s="15" t="s">
        <v>34</v>
      </c>
      <c r="J1395" s="15" t="s">
        <v>246</v>
      </c>
      <c r="K1395" s="15">
        <v>40</v>
      </c>
      <c r="L1395" s="16">
        <v>80</v>
      </c>
      <c r="M1395" s="17">
        <v>3200</v>
      </c>
      <c r="N1395" s="15" t="s">
        <v>367</v>
      </c>
      <c r="O1395" s="15" t="s">
        <v>19</v>
      </c>
      <c r="Q1395"/>
    </row>
    <row r="1396" spans="1:17" ht="15.6" x14ac:dyDescent="0.3">
      <c r="A1396" s="11">
        <v>10266</v>
      </c>
      <c r="B1396" s="10">
        <v>38174</v>
      </c>
      <c r="C1396" s="10" t="s">
        <v>329</v>
      </c>
      <c r="D1396" s="11" t="s">
        <v>172</v>
      </c>
      <c r="E1396" s="11" t="s">
        <v>173</v>
      </c>
      <c r="F1396" s="11" t="s">
        <v>60</v>
      </c>
      <c r="G1396" s="11" t="s">
        <v>25</v>
      </c>
      <c r="H1396" s="11" t="s">
        <v>32</v>
      </c>
      <c r="I1396" s="11" t="s">
        <v>33</v>
      </c>
      <c r="J1396" s="11" t="s">
        <v>245</v>
      </c>
      <c r="K1396" s="11">
        <v>21</v>
      </c>
      <c r="L1396" s="12">
        <v>85</v>
      </c>
      <c r="M1396" s="13">
        <v>1785</v>
      </c>
      <c r="N1396" s="11" t="s">
        <v>367</v>
      </c>
      <c r="O1396" s="11" t="s">
        <v>19</v>
      </c>
      <c r="Q1396"/>
    </row>
    <row r="1397" spans="1:17" ht="15.6" x14ac:dyDescent="0.3">
      <c r="A1397" s="15">
        <v>10266</v>
      </c>
      <c r="B1397" s="14">
        <v>38174</v>
      </c>
      <c r="C1397" s="14" t="s">
        <v>329</v>
      </c>
      <c r="D1397" s="15" t="s">
        <v>172</v>
      </c>
      <c r="E1397" s="15" t="s">
        <v>173</v>
      </c>
      <c r="F1397" s="15" t="s">
        <v>60</v>
      </c>
      <c r="G1397" s="15" t="s">
        <v>25</v>
      </c>
      <c r="H1397" s="15" t="s">
        <v>32</v>
      </c>
      <c r="I1397" s="15" t="s">
        <v>34</v>
      </c>
      <c r="J1397" s="15" t="s">
        <v>246</v>
      </c>
      <c r="K1397" s="15">
        <v>36</v>
      </c>
      <c r="L1397" s="16">
        <v>80</v>
      </c>
      <c r="M1397" s="17">
        <v>2880</v>
      </c>
      <c r="N1397" s="15" t="s">
        <v>367</v>
      </c>
      <c r="O1397" s="15" t="s">
        <v>19</v>
      </c>
      <c r="Q1397"/>
    </row>
    <row r="1398" spans="1:17" ht="15.6" x14ac:dyDescent="0.3">
      <c r="A1398" s="11">
        <v>10266</v>
      </c>
      <c r="B1398" s="10">
        <v>38174</v>
      </c>
      <c r="C1398" s="10" t="s">
        <v>329</v>
      </c>
      <c r="D1398" s="11" t="s">
        <v>172</v>
      </c>
      <c r="E1398" s="11" t="s">
        <v>173</v>
      </c>
      <c r="F1398" s="11" t="s">
        <v>60</v>
      </c>
      <c r="G1398" s="11" t="s">
        <v>25</v>
      </c>
      <c r="H1398" s="11" t="s">
        <v>32</v>
      </c>
      <c r="I1398" s="11" t="s">
        <v>46</v>
      </c>
      <c r="J1398" s="11" t="s">
        <v>254</v>
      </c>
      <c r="K1398" s="11">
        <v>33</v>
      </c>
      <c r="L1398" s="12">
        <v>90</v>
      </c>
      <c r="M1398" s="13">
        <v>2970</v>
      </c>
      <c r="N1398" s="11" t="s">
        <v>367</v>
      </c>
      <c r="O1398" s="11" t="s">
        <v>19</v>
      </c>
      <c r="Q1398"/>
    </row>
    <row r="1399" spans="1:17" ht="15.6" x14ac:dyDescent="0.3">
      <c r="A1399" s="15">
        <v>10266</v>
      </c>
      <c r="B1399" s="14">
        <v>38174</v>
      </c>
      <c r="C1399" s="14" t="s">
        <v>329</v>
      </c>
      <c r="D1399" s="15" t="s">
        <v>172</v>
      </c>
      <c r="E1399" s="15" t="s">
        <v>173</v>
      </c>
      <c r="F1399" s="15" t="s">
        <v>60</v>
      </c>
      <c r="G1399" s="15" t="s">
        <v>25</v>
      </c>
      <c r="H1399" s="15" t="s">
        <v>32</v>
      </c>
      <c r="I1399" s="15" t="s">
        <v>34</v>
      </c>
      <c r="J1399" s="15" t="s">
        <v>246</v>
      </c>
      <c r="K1399" s="15">
        <v>49</v>
      </c>
      <c r="L1399" s="16">
        <v>80</v>
      </c>
      <c r="M1399" s="17">
        <v>3920</v>
      </c>
      <c r="N1399" s="15" t="s">
        <v>367</v>
      </c>
      <c r="O1399" s="15" t="s">
        <v>19</v>
      </c>
      <c r="Q1399"/>
    </row>
    <row r="1400" spans="1:17" ht="15.6" x14ac:dyDescent="0.3">
      <c r="A1400" s="11">
        <v>10266</v>
      </c>
      <c r="B1400" s="10">
        <v>38174</v>
      </c>
      <c r="C1400" s="10" t="s">
        <v>329</v>
      </c>
      <c r="D1400" s="11" t="s">
        <v>172</v>
      </c>
      <c r="E1400" s="11" t="s">
        <v>173</v>
      </c>
      <c r="F1400" s="11" t="s">
        <v>60</v>
      </c>
      <c r="G1400" s="11" t="s">
        <v>25</v>
      </c>
      <c r="H1400" s="11" t="s">
        <v>32</v>
      </c>
      <c r="I1400" s="11" t="s">
        <v>34</v>
      </c>
      <c r="J1400" s="11" t="s">
        <v>246</v>
      </c>
      <c r="K1400" s="11">
        <v>20</v>
      </c>
      <c r="L1400" s="12">
        <v>80</v>
      </c>
      <c r="M1400" s="13">
        <v>1600</v>
      </c>
      <c r="N1400" s="11" t="s">
        <v>367</v>
      </c>
      <c r="O1400" s="11" t="s">
        <v>19</v>
      </c>
      <c r="Q1400"/>
    </row>
    <row r="1401" spans="1:17" ht="15.6" x14ac:dyDescent="0.3">
      <c r="A1401" s="15">
        <v>10266</v>
      </c>
      <c r="B1401" s="14">
        <v>38174</v>
      </c>
      <c r="C1401" s="14" t="s">
        <v>329</v>
      </c>
      <c r="D1401" s="15" t="s">
        <v>172</v>
      </c>
      <c r="E1401" s="15" t="s">
        <v>173</v>
      </c>
      <c r="F1401" s="15" t="s">
        <v>60</v>
      </c>
      <c r="G1401" s="15" t="s">
        <v>25</v>
      </c>
      <c r="H1401" s="15" t="s">
        <v>32</v>
      </c>
      <c r="I1401" s="15" t="s">
        <v>34</v>
      </c>
      <c r="J1401" s="15" t="s">
        <v>246</v>
      </c>
      <c r="K1401" s="15">
        <v>29</v>
      </c>
      <c r="L1401" s="16">
        <v>80</v>
      </c>
      <c r="M1401" s="17">
        <v>2320</v>
      </c>
      <c r="N1401" s="15" t="s">
        <v>367</v>
      </c>
      <c r="O1401" s="15" t="s">
        <v>19</v>
      </c>
      <c r="Q1401"/>
    </row>
    <row r="1402" spans="1:17" ht="15.6" x14ac:dyDescent="0.3">
      <c r="A1402" s="11">
        <v>10266</v>
      </c>
      <c r="B1402" s="10">
        <v>38174</v>
      </c>
      <c r="C1402" s="10" t="s">
        <v>329</v>
      </c>
      <c r="D1402" s="11" t="s">
        <v>172</v>
      </c>
      <c r="E1402" s="11" t="s">
        <v>173</v>
      </c>
      <c r="F1402" s="11" t="s">
        <v>60</v>
      </c>
      <c r="G1402" s="11" t="s">
        <v>25</v>
      </c>
      <c r="H1402" s="11" t="s">
        <v>32</v>
      </c>
      <c r="I1402" s="11" t="s">
        <v>34</v>
      </c>
      <c r="J1402" s="11" t="s">
        <v>246</v>
      </c>
      <c r="K1402" s="11">
        <v>33</v>
      </c>
      <c r="L1402" s="12">
        <v>80</v>
      </c>
      <c r="M1402" s="13">
        <v>2640</v>
      </c>
      <c r="N1402" s="11" t="s">
        <v>367</v>
      </c>
      <c r="O1402" s="11" t="s">
        <v>19</v>
      </c>
      <c r="Q1402"/>
    </row>
    <row r="1403" spans="1:17" ht="15.6" x14ac:dyDescent="0.3">
      <c r="A1403" s="15">
        <v>10266</v>
      </c>
      <c r="B1403" s="14">
        <v>38174</v>
      </c>
      <c r="C1403" s="14" t="s">
        <v>329</v>
      </c>
      <c r="D1403" s="15" t="s">
        <v>172</v>
      </c>
      <c r="E1403" s="15" t="s">
        <v>173</v>
      </c>
      <c r="F1403" s="15" t="s">
        <v>60</v>
      </c>
      <c r="G1403" s="15" t="s">
        <v>25</v>
      </c>
      <c r="H1403" s="15" t="s">
        <v>32</v>
      </c>
      <c r="I1403" s="15" t="s">
        <v>33</v>
      </c>
      <c r="J1403" s="15" t="s">
        <v>245</v>
      </c>
      <c r="K1403" s="15">
        <v>28</v>
      </c>
      <c r="L1403" s="16">
        <v>85</v>
      </c>
      <c r="M1403" s="17">
        <v>2380</v>
      </c>
      <c r="N1403" s="15" t="s">
        <v>367</v>
      </c>
      <c r="O1403" s="15" t="s">
        <v>19</v>
      </c>
      <c r="Q1403"/>
    </row>
    <row r="1404" spans="1:17" ht="15.6" x14ac:dyDescent="0.3">
      <c r="A1404" s="11">
        <v>10266</v>
      </c>
      <c r="B1404" s="10">
        <v>38174</v>
      </c>
      <c r="C1404" s="10" t="s">
        <v>329</v>
      </c>
      <c r="D1404" s="11" t="s">
        <v>172</v>
      </c>
      <c r="E1404" s="11" t="s">
        <v>173</v>
      </c>
      <c r="F1404" s="11" t="s">
        <v>60</v>
      </c>
      <c r="G1404" s="11" t="s">
        <v>25</v>
      </c>
      <c r="H1404" s="11" t="s">
        <v>32</v>
      </c>
      <c r="I1404" s="11" t="s">
        <v>46</v>
      </c>
      <c r="J1404" s="11" t="s">
        <v>254</v>
      </c>
      <c r="K1404" s="11">
        <v>34</v>
      </c>
      <c r="L1404" s="12">
        <v>90</v>
      </c>
      <c r="M1404" s="13">
        <v>3060</v>
      </c>
      <c r="N1404" s="11" t="s">
        <v>367</v>
      </c>
      <c r="O1404" s="11" t="s">
        <v>19</v>
      </c>
      <c r="Q1404"/>
    </row>
    <row r="1405" spans="1:17" ht="15.6" x14ac:dyDescent="0.3">
      <c r="A1405" s="15">
        <v>10266</v>
      </c>
      <c r="B1405" s="14">
        <v>38174</v>
      </c>
      <c r="C1405" s="14" t="s">
        <v>329</v>
      </c>
      <c r="D1405" s="15" t="s">
        <v>172</v>
      </c>
      <c r="E1405" s="15" t="s">
        <v>173</v>
      </c>
      <c r="F1405" s="15" t="s">
        <v>60</v>
      </c>
      <c r="G1405" s="15" t="s">
        <v>25</v>
      </c>
      <c r="H1405" s="15" t="s">
        <v>32</v>
      </c>
      <c r="I1405" s="15" t="s">
        <v>46</v>
      </c>
      <c r="J1405" s="15" t="s">
        <v>254</v>
      </c>
      <c r="K1405" s="15">
        <v>47</v>
      </c>
      <c r="L1405" s="16">
        <v>90</v>
      </c>
      <c r="M1405" s="17">
        <v>4230</v>
      </c>
      <c r="N1405" s="15" t="s">
        <v>367</v>
      </c>
      <c r="O1405" s="15" t="s">
        <v>19</v>
      </c>
      <c r="Q1405"/>
    </row>
    <row r="1406" spans="1:17" ht="15.6" x14ac:dyDescent="0.3">
      <c r="A1406" s="11">
        <v>10266</v>
      </c>
      <c r="B1406" s="10">
        <v>38174</v>
      </c>
      <c r="C1406" s="10" t="s">
        <v>329</v>
      </c>
      <c r="D1406" s="11" t="s">
        <v>172</v>
      </c>
      <c r="E1406" s="11" t="s">
        <v>173</v>
      </c>
      <c r="F1406" s="11" t="s">
        <v>60</v>
      </c>
      <c r="G1406" s="11" t="s">
        <v>25</v>
      </c>
      <c r="H1406" s="11" t="s">
        <v>32</v>
      </c>
      <c r="I1406" s="11" t="s">
        <v>46</v>
      </c>
      <c r="J1406" s="11" t="s">
        <v>254</v>
      </c>
      <c r="K1406" s="11">
        <v>24</v>
      </c>
      <c r="L1406" s="12">
        <v>90</v>
      </c>
      <c r="M1406" s="13">
        <v>2160</v>
      </c>
      <c r="N1406" s="11" t="s">
        <v>367</v>
      </c>
      <c r="O1406" s="11" t="s">
        <v>19</v>
      </c>
      <c r="Q1406"/>
    </row>
    <row r="1407" spans="1:17" ht="15.6" x14ac:dyDescent="0.3">
      <c r="A1407" s="15">
        <v>10267</v>
      </c>
      <c r="B1407" s="14">
        <v>38175</v>
      </c>
      <c r="C1407" s="14" t="s">
        <v>301</v>
      </c>
      <c r="D1407" s="15" t="s">
        <v>118</v>
      </c>
      <c r="E1407" s="15" t="s">
        <v>28</v>
      </c>
      <c r="F1407" s="15" t="s">
        <v>15</v>
      </c>
      <c r="G1407" s="15" t="s">
        <v>16</v>
      </c>
      <c r="H1407" s="15" t="s">
        <v>32</v>
      </c>
      <c r="I1407" s="15" t="s">
        <v>34</v>
      </c>
      <c r="J1407" s="15" t="s">
        <v>246</v>
      </c>
      <c r="K1407" s="15">
        <v>36</v>
      </c>
      <c r="L1407" s="16">
        <v>80</v>
      </c>
      <c r="M1407" s="17">
        <v>2880</v>
      </c>
      <c r="N1407" s="15" t="s">
        <v>367</v>
      </c>
      <c r="O1407" s="15" t="s">
        <v>19</v>
      </c>
      <c r="Q1407"/>
    </row>
    <row r="1408" spans="1:17" ht="15.6" x14ac:dyDescent="0.3">
      <c r="A1408" s="11">
        <v>10267</v>
      </c>
      <c r="B1408" s="10">
        <v>38175</v>
      </c>
      <c r="C1408" s="10" t="s">
        <v>301</v>
      </c>
      <c r="D1408" s="11" t="s">
        <v>118</v>
      </c>
      <c r="E1408" s="11" t="s">
        <v>28</v>
      </c>
      <c r="F1408" s="11" t="s">
        <v>15</v>
      </c>
      <c r="G1408" s="11" t="s">
        <v>16</v>
      </c>
      <c r="H1408" s="11" t="s">
        <v>32</v>
      </c>
      <c r="I1408" s="11" t="s">
        <v>34</v>
      </c>
      <c r="J1408" s="11" t="s">
        <v>246</v>
      </c>
      <c r="K1408" s="11">
        <v>40</v>
      </c>
      <c r="L1408" s="12">
        <v>80</v>
      </c>
      <c r="M1408" s="13">
        <v>3200</v>
      </c>
      <c r="N1408" s="11" t="s">
        <v>367</v>
      </c>
      <c r="O1408" s="11" t="s">
        <v>19</v>
      </c>
      <c r="Q1408"/>
    </row>
    <row r="1409" spans="1:17" ht="15.6" x14ac:dyDescent="0.3">
      <c r="A1409" s="15">
        <v>10267</v>
      </c>
      <c r="B1409" s="14">
        <v>38175</v>
      </c>
      <c r="C1409" s="14" t="s">
        <v>301</v>
      </c>
      <c r="D1409" s="15" t="s">
        <v>118</v>
      </c>
      <c r="E1409" s="15" t="s">
        <v>28</v>
      </c>
      <c r="F1409" s="15" t="s">
        <v>15</v>
      </c>
      <c r="G1409" s="15" t="s">
        <v>16</v>
      </c>
      <c r="H1409" s="15" t="s">
        <v>32</v>
      </c>
      <c r="I1409" s="15" t="s">
        <v>46</v>
      </c>
      <c r="J1409" s="15" t="s">
        <v>254</v>
      </c>
      <c r="K1409" s="15">
        <v>38</v>
      </c>
      <c r="L1409" s="16">
        <v>90</v>
      </c>
      <c r="M1409" s="17">
        <v>3420</v>
      </c>
      <c r="N1409" s="15" t="s">
        <v>367</v>
      </c>
      <c r="O1409" s="15" t="s">
        <v>19</v>
      </c>
      <c r="Q1409"/>
    </row>
    <row r="1410" spans="1:17" ht="15.6" x14ac:dyDescent="0.3">
      <c r="A1410" s="11">
        <v>10267</v>
      </c>
      <c r="B1410" s="10">
        <v>38175</v>
      </c>
      <c r="C1410" s="10" t="s">
        <v>301</v>
      </c>
      <c r="D1410" s="11" t="s">
        <v>118</v>
      </c>
      <c r="E1410" s="11" t="s">
        <v>28</v>
      </c>
      <c r="F1410" s="11" t="s">
        <v>15</v>
      </c>
      <c r="G1410" s="11" t="s">
        <v>16</v>
      </c>
      <c r="H1410" s="11" t="s">
        <v>32</v>
      </c>
      <c r="I1410" s="11" t="s">
        <v>34</v>
      </c>
      <c r="J1410" s="11" t="s">
        <v>246</v>
      </c>
      <c r="K1410" s="11">
        <v>43</v>
      </c>
      <c r="L1410" s="12">
        <v>80</v>
      </c>
      <c r="M1410" s="13">
        <v>3440</v>
      </c>
      <c r="N1410" s="11" t="s">
        <v>367</v>
      </c>
      <c r="O1410" s="11" t="s">
        <v>19</v>
      </c>
      <c r="Q1410"/>
    </row>
    <row r="1411" spans="1:17" ht="15.6" x14ac:dyDescent="0.3">
      <c r="A1411" s="15">
        <v>10267</v>
      </c>
      <c r="B1411" s="14">
        <v>38175</v>
      </c>
      <c r="C1411" s="14" t="s">
        <v>301</v>
      </c>
      <c r="D1411" s="15" t="s">
        <v>118</v>
      </c>
      <c r="E1411" s="15" t="s">
        <v>28</v>
      </c>
      <c r="F1411" s="15" t="s">
        <v>15</v>
      </c>
      <c r="G1411" s="15" t="s">
        <v>16</v>
      </c>
      <c r="H1411" s="15" t="s">
        <v>32</v>
      </c>
      <c r="I1411" s="15" t="s">
        <v>34</v>
      </c>
      <c r="J1411" s="15" t="s">
        <v>246</v>
      </c>
      <c r="K1411" s="15">
        <v>44</v>
      </c>
      <c r="L1411" s="16">
        <v>80</v>
      </c>
      <c r="M1411" s="17">
        <v>3520</v>
      </c>
      <c r="N1411" s="15" t="s">
        <v>367</v>
      </c>
      <c r="O1411" s="15" t="s">
        <v>19</v>
      </c>
      <c r="Q1411"/>
    </row>
    <row r="1412" spans="1:17" ht="15.6" x14ac:dyDescent="0.3">
      <c r="A1412" s="11">
        <v>10267</v>
      </c>
      <c r="B1412" s="10">
        <v>38175</v>
      </c>
      <c r="C1412" s="10" t="s">
        <v>301</v>
      </c>
      <c r="D1412" s="11" t="s">
        <v>118</v>
      </c>
      <c r="E1412" s="11" t="s">
        <v>28</v>
      </c>
      <c r="F1412" s="11" t="s">
        <v>15</v>
      </c>
      <c r="G1412" s="11" t="s">
        <v>16</v>
      </c>
      <c r="H1412" s="11" t="s">
        <v>32</v>
      </c>
      <c r="I1412" s="11" t="s">
        <v>33</v>
      </c>
      <c r="J1412" s="11" t="s">
        <v>245</v>
      </c>
      <c r="K1412" s="11">
        <v>43</v>
      </c>
      <c r="L1412" s="12">
        <v>85</v>
      </c>
      <c r="M1412" s="13">
        <v>3655</v>
      </c>
      <c r="N1412" s="11" t="s">
        <v>367</v>
      </c>
      <c r="O1412" s="11" t="s">
        <v>19</v>
      </c>
      <c r="Q1412"/>
    </row>
    <row r="1413" spans="1:17" ht="15.6" x14ac:dyDescent="0.3">
      <c r="A1413" s="15">
        <v>10269</v>
      </c>
      <c r="B1413" s="14">
        <v>38184</v>
      </c>
      <c r="C1413" s="14" t="s">
        <v>294</v>
      </c>
      <c r="D1413" s="15" t="s">
        <v>101</v>
      </c>
      <c r="E1413" s="15" t="s">
        <v>102</v>
      </c>
      <c r="F1413" s="15" t="s">
        <v>103</v>
      </c>
      <c r="G1413" s="15" t="s">
        <v>25</v>
      </c>
      <c r="H1413" s="15" t="s">
        <v>17</v>
      </c>
      <c r="I1413" s="15" t="s">
        <v>20</v>
      </c>
      <c r="J1413" s="15" t="s">
        <v>242</v>
      </c>
      <c r="K1413" s="15">
        <v>32</v>
      </c>
      <c r="L1413" s="16">
        <v>48</v>
      </c>
      <c r="M1413" s="17">
        <v>1536</v>
      </c>
      <c r="N1413" s="15" t="s">
        <v>367</v>
      </c>
      <c r="O1413" s="15" t="s">
        <v>19</v>
      </c>
      <c r="Q1413"/>
    </row>
    <row r="1414" spans="1:17" ht="15.6" x14ac:dyDescent="0.3">
      <c r="A1414" s="11">
        <v>10269</v>
      </c>
      <c r="B1414" s="10">
        <v>38184</v>
      </c>
      <c r="C1414" s="10" t="s">
        <v>294</v>
      </c>
      <c r="D1414" s="11" t="s">
        <v>101</v>
      </c>
      <c r="E1414" s="11" t="s">
        <v>102</v>
      </c>
      <c r="F1414" s="11" t="s">
        <v>103</v>
      </c>
      <c r="G1414" s="11" t="s">
        <v>25</v>
      </c>
      <c r="H1414" s="11" t="s">
        <v>17</v>
      </c>
      <c r="I1414" s="11" t="s">
        <v>21</v>
      </c>
      <c r="J1414" s="11" t="s">
        <v>243</v>
      </c>
      <c r="K1414" s="11">
        <v>48</v>
      </c>
      <c r="L1414" s="12">
        <v>110</v>
      </c>
      <c r="M1414" s="13">
        <v>5280</v>
      </c>
      <c r="N1414" s="11" t="s">
        <v>367</v>
      </c>
      <c r="O1414" s="11" t="s">
        <v>19</v>
      </c>
      <c r="Q1414"/>
    </row>
    <row r="1415" spans="1:17" ht="15.6" x14ac:dyDescent="0.3">
      <c r="A1415" s="15">
        <v>10270</v>
      </c>
      <c r="B1415" s="14">
        <v>38187</v>
      </c>
      <c r="C1415" s="14" t="s">
        <v>307</v>
      </c>
      <c r="D1415" s="15" t="s">
        <v>129</v>
      </c>
      <c r="E1415" s="15" t="s">
        <v>130</v>
      </c>
      <c r="F1415" s="15" t="s">
        <v>106</v>
      </c>
      <c r="G1415" s="15" t="s">
        <v>107</v>
      </c>
      <c r="H1415" s="15" t="s">
        <v>32</v>
      </c>
      <c r="I1415" s="15" t="s">
        <v>34</v>
      </c>
      <c r="J1415" s="15" t="s">
        <v>246</v>
      </c>
      <c r="K1415" s="15">
        <v>21</v>
      </c>
      <c r="L1415" s="16">
        <v>80</v>
      </c>
      <c r="M1415" s="17">
        <v>1680</v>
      </c>
      <c r="N1415" s="15" t="s">
        <v>367</v>
      </c>
      <c r="O1415" s="15" t="s">
        <v>19</v>
      </c>
      <c r="Q1415"/>
    </row>
    <row r="1416" spans="1:17" ht="15.6" x14ac:dyDescent="0.3">
      <c r="A1416" s="11">
        <v>10270</v>
      </c>
      <c r="B1416" s="10">
        <v>38187</v>
      </c>
      <c r="C1416" s="10" t="s">
        <v>307</v>
      </c>
      <c r="D1416" s="11" t="s">
        <v>129</v>
      </c>
      <c r="E1416" s="11" t="s">
        <v>130</v>
      </c>
      <c r="F1416" s="11" t="s">
        <v>106</v>
      </c>
      <c r="G1416" s="11" t="s">
        <v>107</v>
      </c>
      <c r="H1416" s="11" t="s">
        <v>32</v>
      </c>
      <c r="I1416" s="11" t="s">
        <v>34</v>
      </c>
      <c r="J1416" s="11" t="s">
        <v>246</v>
      </c>
      <c r="K1416" s="11">
        <v>32</v>
      </c>
      <c r="L1416" s="12">
        <v>80</v>
      </c>
      <c r="M1416" s="13">
        <v>2560</v>
      </c>
      <c r="N1416" s="11" t="s">
        <v>367</v>
      </c>
      <c r="O1416" s="11" t="s">
        <v>19</v>
      </c>
      <c r="Q1416"/>
    </row>
    <row r="1417" spans="1:17" ht="15.6" x14ac:dyDescent="0.3">
      <c r="A1417" s="15">
        <v>10270</v>
      </c>
      <c r="B1417" s="14">
        <v>38187</v>
      </c>
      <c r="C1417" s="14" t="s">
        <v>307</v>
      </c>
      <c r="D1417" s="15" t="s">
        <v>129</v>
      </c>
      <c r="E1417" s="15" t="s">
        <v>130</v>
      </c>
      <c r="F1417" s="15" t="s">
        <v>106</v>
      </c>
      <c r="G1417" s="15" t="s">
        <v>107</v>
      </c>
      <c r="H1417" s="15" t="s">
        <v>35</v>
      </c>
      <c r="I1417" s="15" t="s">
        <v>39</v>
      </c>
      <c r="J1417" s="15" t="s">
        <v>250</v>
      </c>
      <c r="K1417" s="15">
        <v>28</v>
      </c>
      <c r="L1417" s="16">
        <v>20</v>
      </c>
      <c r="M1417" s="17">
        <v>560</v>
      </c>
      <c r="N1417" s="15" t="s">
        <v>367</v>
      </c>
      <c r="O1417" s="15" t="s">
        <v>19</v>
      </c>
      <c r="Q1417"/>
    </row>
    <row r="1418" spans="1:17" ht="15.6" x14ac:dyDescent="0.3">
      <c r="A1418" s="11">
        <v>10270</v>
      </c>
      <c r="B1418" s="10">
        <v>38187</v>
      </c>
      <c r="C1418" s="10" t="s">
        <v>307</v>
      </c>
      <c r="D1418" s="11" t="s">
        <v>129</v>
      </c>
      <c r="E1418" s="11" t="s">
        <v>130</v>
      </c>
      <c r="F1418" s="11" t="s">
        <v>106</v>
      </c>
      <c r="G1418" s="11" t="s">
        <v>107</v>
      </c>
      <c r="H1418" s="11" t="s">
        <v>35</v>
      </c>
      <c r="I1418" s="11" t="s">
        <v>40</v>
      </c>
      <c r="J1418" s="11" t="s">
        <v>251</v>
      </c>
      <c r="K1418" s="11">
        <v>43</v>
      </c>
      <c r="L1418" s="12">
        <v>25</v>
      </c>
      <c r="M1418" s="13">
        <v>1075</v>
      </c>
      <c r="N1418" s="11" t="s">
        <v>367</v>
      </c>
      <c r="O1418" s="11" t="s">
        <v>19</v>
      </c>
      <c r="Q1418"/>
    </row>
    <row r="1419" spans="1:17" ht="15.6" x14ac:dyDescent="0.3">
      <c r="A1419" s="15">
        <v>10270</v>
      </c>
      <c r="B1419" s="14">
        <v>38187</v>
      </c>
      <c r="C1419" s="14" t="s">
        <v>307</v>
      </c>
      <c r="D1419" s="15" t="s">
        <v>129</v>
      </c>
      <c r="E1419" s="15" t="s">
        <v>130</v>
      </c>
      <c r="F1419" s="15" t="s">
        <v>106</v>
      </c>
      <c r="G1419" s="15" t="s">
        <v>107</v>
      </c>
      <c r="H1419" s="15" t="s">
        <v>17</v>
      </c>
      <c r="I1419" s="15" t="s">
        <v>82</v>
      </c>
      <c r="J1419" s="15" t="s">
        <v>270</v>
      </c>
      <c r="K1419" s="15">
        <v>31</v>
      </c>
      <c r="L1419" s="16">
        <v>75</v>
      </c>
      <c r="M1419" s="17">
        <v>2325</v>
      </c>
      <c r="N1419" s="15" t="s">
        <v>367</v>
      </c>
      <c r="O1419" s="15" t="s">
        <v>19</v>
      </c>
      <c r="Q1419"/>
    </row>
    <row r="1420" spans="1:17" ht="15.6" x14ac:dyDescent="0.3">
      <c r="A1420" s="11">
        <v>10270</v>
      </c>
      <c r="B1420" s="10">
        <v>38187</v>
      </c>
      <c r="C1420" s="10" t="s">
        <v>307</v>
      </c>
      <c r="D1420" s="11" t="s">
        <v>129</v>
      </c>
      <c r="E1420" s="11" t="s">
        <v>130</v>
      </c>
      <c r="F1420" s="11" t="s">
        <v>106</v>
      </c>
      <c r="G1420" s="11" t="s">
        <v>107</v>
      </c>
      <c r="H1420" s="11" t="s">
        <v>17</v>
      </c>
      <c r="I1420" s="11" t="s">
        <v>20</v>
      </c>
      <c r="J1420" s="11" t="s">
        <v>242</v>
      </c>
      <c r="K1420" s="11">
        <v>38</v>
      </c>
      <c r="L1420" s="12">
        <v>48</v>
      </c>
      <c r="M1420" s="13">
        <v>1824</v>
      </c>
      <c r="N1420" s="11" t="s">
        <v>367</v>
      </c>
      <c r="O1420" s="11" t="s">
        <v>19</v>
      </c>
      <c r="Q1420"/>
    </row>
    <row r="1421" spans="1:17" ht="15.6" x14ac:dyDescent="0.3">
      <c r="A1421" s="15">
        <v>10270</v>
      </c>
      <c r="B1421" s="14">
        <v>38187</v>
      </c>
      <c r="C1421" s="14" t="s">
        <v>307</v>
      </c>
      <c r="D1421" s="15" t="s">
        <v>129</v>
      </c>
      <c r="E1421" s="15" t="s">
        <v>130</v>
      </c>
      <c r="F1421" s="15" t="s">
        <v>106</v>
      </c>
      <c r="G1421" s="15" t="s">
        <v>107</v>
      </c>
      <c r="H1421" s="15" t="s">
        <v>35</v>
      </c>
      <c r="I1421" s="15" t="s">
        <v>38</v>
      </c>
      <c r="J1421" s="15" t="s">
        <v>249</v>
      </c>
      <c r="K1421" s="15">
        <v>38</v>
      </c>
      <c r="L1421" s="16">
        <v>20</v>
      </c>
      <c r="M1421" s="17">
        <v>760</v>
      </c>
      <c r="N1421" s="15" t="s">
        <v>367</v>
      </c>
      <c r="O1421" s="15" t="s">
        <v>19</v>
      </c>
      <c r="Q1421"/>
    </row>
    <row r="1422" spans="1:17" ht="15.6" x14ac:dyDescent="0.3">
      <c r="A1422" s="11">
        <v>10270</v>
      </c>
      <c r="B1422" s="10">
        <v>38187</v>
      </c>
      <c r="C1422" s="10" t="s">
        <v>307</v>
      </c>
      <c r="D1422" s="11" t="s">
        <v>129</v>
      </c>
      <c r="E1422" s="11" t="s">
        <v>130</v>
      </c>
      <c r="F1422" s="11" t="s">
        <v>106</v>
      </c>
      <c r="G1422" s="11" t="s">
        <v>107</v>
      </c>
      <c r="H1422" s="11" t="s">
        <v>17</v>
      </c>
      <c r="I1422" s="11" t="s">
        <v>20</v>
      </c>
      <c r="J1422" s="11" t="s">
        <v>242</v>
      </c>
      <c r="K1422" s="11">
        <v>44</v>
      </c>
      <c r="L1422" s="12">
        <v>48</v>
      </c>
      <c r="M1422" s="13">
        <v>2112</v>
      </c>
      <c r="N1422" s="11" t="s">
        <v>367</v>
      </c>
      <c r="O1422" s="11" t="s">
        <v>19</v>
      </c>
      <c r="Q1422"/>
    </row>
    <row r="1423" spans="1:17" ht="15.6" x14ac:dyDescent="0.3">
      <c r="A1423" s="15">
        <v>10270</v>
      </c>
      <c r="B1423" s="14">
        <v>38187</v>
      </c>
      <c r="C1423" s="14" t="s">
        <v>307</v>
      </c>
      <c r="D1423" s="15" t="s">
        <v>129</v>
      </c>
      <c r="E1423" s="15" t="s">
        <v>130</v>
      </c>
      <c r="F1423" s="15" t="s">
        <v>106</v>
      </c>
      <c r="G1423" s="15" t="s">
        <v>107</v>
      </c>
      <c r="H1423" s="15" t="s">
        <v>35</v>
      </c>
      <c r="I1423" s="15" t="s">
        <v>39</v>
      </c>
      <c r="J1423" s="15" t="s">
        <v>250</v>
      </c>
      <c r="K1423" s="15">
        <v>32</v>
      </c>
      <c r="L1423" s="16">
        <v>20</v>
      </c>
      <c r="M1423" s="17">
        <v>640</v>
      </c>
      <c r="N1423" s="15" t="s">
        <v>367</v>
      </c>
      <c r="O1423" s="15" t="s">
        <v>19</v>
      </c>
      <c r="Q1423"/>
    </row>
    <row r="1424" spans="1:17" ht="15.6" x14ac:dyDescent="0.3">
      <c r="A1424" s="11">
        <v>10270</v>
      </c>
      <c r="B1424" s="10">
        <v>38187</v>
      </c>
      <c r="C1424" s="10" t="s">
        <v>307</v>
      </c>
      <c r="D1424" s="11" t="s">
        <v>129</v>
      </c>
      <c r="E1424" s="11" t="s">
        <v>130</v>
      </c>
      <c r="F1424" s="11" t="s">
        <v>106</v>
      </c>
      <c r="G1424" s="11" t="s">
        <v>107</v>
      </c>
      <c r="H1424" s="11" t="s">
        <v>35</v>
      </c>
      <c r="I1424" s="11" t="s">
        <v>37</v>
      </c>
      <c r="J1424" s="11" t="s">
        <v>248</v>
      </c>
      <c r="K1424" s="11">
        <v>21</v>
      </c>
      <c r="L1424" s="12">
        <v>30</v>
      </c>
      <c r="M1424" s="13">
        <v>630</v>
      </c>
      <c r="N1424" s="11" t="s">
        <v>367</v>
      </c>
      <c r="O1424" s="11" t="s">
        <v>19</v>
      </c>
      <c r="Q1424"/>
    </row>
    <row r="1425" spans="1:17" ht="15.6" x14ac:dyDescent="0.3">
      <c r="A1425" s="15">
        <v>10270</v>
      </c>
      <c r="B1425" s="14">
        <v>38187</v>
      </c>
      <c r="C1425" s="14" t="s">
        <v>307</v>
      </c>
      <c r="D1425" s="15" t="s">
        <v>129</v>
      </c>
      <c r="E1425" s="15" t="s">
        <v>130</v>
      </c>
      <c r="F1425" s="15" t="s">
        <v>106</v>
      </c>
      <c r="G1425" s="15" t="s">
        <v>107</v>
      </c>
      <c r="H1425" s="15" t="s">
        <v>32</v>
      </c>
      <c r="I1425" s="15" t="s">
        <v>44</v>
      </c>
      <c r="J1425" s="15" t="s">
        <v>252</v>
      </c>
      <c r="K1425" s="15">
        <v>46</v>
      </c>
      <c r="L1425" s="16">
        <v>55</v>
      </c>
      <c r="M1425" s="17">
        <v>2530</v>
      </c>
      <c r="N1425" s="15" t="s">
        <v>367</v>
      </c>
      <c r="O1425" s="15" t="s">
        <v>19</v>
      </c>
      <c r="Q1425"/>
    </row>
    <row r="1426" spans="1:17" ht="15.6" x14ac:dyDescent="0.3">
      <c r="A1426" s="11">
        <v>10272</v>
      </c>
      <c r="B1426" s="10">
        <v>38188</v>
      </c>
      <c r="C1426" s="10" t="s">
        <v>361</v>
      </c>
      <c r="D1426" s="11" t="s">
        <v>231</v>
      </c>
      <c r="E1426" s="11" t="s">
        <v>232</v>
      </c>
      <c r="F1426" s="11" t="s">
        <v>15</v>
      </c>
      <c r="G1426" s="11" t="s">
        <v>16</v>
      </c>
      <c r="H1426" s="11" t="s">
        <v>32</v>
      </c>
      <c r="I1426" s="11" t="s">
        <v>46</v>
      </c>
      <c r="J1426" s="11" t="s">
        <v>254</v>
      </c>
      <c r="K1426" s="11">
        <v>35</v>
      </c>
      <c r="L1426" s="12">
        <v>90</v>
      </c>
      <c r="M1426" s="13">
        <v>3150</v>
      </c>
      <c r="N1426" s="11" t="s">
        <v>367</v>
      </c>
      <c r="O1426" s="11" t="s">
        <v>19</v>
      </c>
      <c r="Q1426"/>
    </row>
    <row r="1427" spans="1:17" ht="15.6" x14ac:dyDescent="0.3">
      <c r="A1427" s="15">
        <v>10272</v>
      </c>
      <c r="B1427" s="14">
        <v>38188</v>
      </c>
      <c r="C1427" s="14" t="s">
        <v>361</v>
      </c>
      <c r="D1427" s="15" t="s">
        <v>231</v>
      </c>
      <c r="E1427" s="15" t="s">
        <v>232</v>
      </c>
      <c r="F1427" s="15" t="s">
        <v>15</v>
      </c>
      <c r="G1427" s="15" t="s">
        <v>16</v>
      </c>
      <c r="H1427" s="15" t="s">
        <v>32</v>
      </c>
      <c r="I1427" s="15" t="s">
        <v>44</v>
      </c>
      <c r="J1427" s="15" t="s">
        <v>252</v>
      </c>
      <c r="K1427" s="15">
        <v>27</v>
      </c>
      <c r="L1427" s="16">
        <v>55</v>
      </c>
      <c r="M1427" s="17">
        <v>1485</v>
      </c>
      <c r="N1427" s="15" t="s">
        <v>367</v>
      </c>
      <c r="O1427" s="15" t="s">
        <v>19</v>
      </c>
      <c r="Q1427"/>
    </row>
    <row r="1428" spans="1:17" ht="15.6" x14ac:dyDescent="0.3">
      <c r="A1428" s="11">
        <v>10272</v>
      </c>
      <c r="B1428" s="10">
        <v>38188</v>
      </c>
      <c r="C1428" s="10" t="s">
        <v>361</v>
      </c>
      <c r="D1428" s="11" t="s">
        <v>231</v>
      </c>
      <c r="E1428" s="11" t="s">
        <v>232</v>
      </c>
      <c r="F1428" s="11" t="s">
        <v>15</v>
      </c>
      <c r="G1428" s="11" t="s">
        <v>16</v>
      </c>
      <c r="H1428" s="11" t="s">
        <v>32</v>
      </c>
      <c r="I1428" s="11" t="s">
        <v>33</v>
      </c>
      <c r="J1428" s="11" t="s">
        <v>245</v>
      </c>
      <c r="K1428" s="11">
        <v>39</v>
      </c>
      <c r="L1428" s="12">
        <v>85</v>
      </c>
      <c r="M1428" s="13">
        <v>3315</v>
      </c>
      <c r="N1428" s="11" t="s">
        <v>367</v>
      </c>
      <c r="O1428" s="11" t="s">
        <v>19</v>
      </c>
      <c r="Q1428"/>
    </row>
    <row r="1429" spans="1:17" ht="15.6" x14ac:dyDescent="0.3">
      <c r="A1429" s="15">
        <v>10271</v>
      </c>
      <c r="B1429" s="14">
        <v>38188</v>
      </c>
      <c r="C1429" s="14" t="s">
        <v>288</v>
      </c>
      <c r="D1429" s="15" t="s">
        <v>88</v>
      </c>
      <c r="E1429" s="15" t="s">
        <v>89</v>
      </c>
      <c r="F1429" s="15" t="s">
        <v>15</v>
      </c>
      <c r="G1429" s="15" t="s">
        <v>16</v>
      </c>
      <c r="H1429" s="15" t="s">
        <v>35</v>
      </c>
      <c r="I1429" s="15" t="s">
        <v>39</v>
      </c>
      <c r="J1429" s="15" t="s">
        <v>250</v>
      </c>
      <c r="K1429" s="15">
        <v>31</v>
      </c>
      <c r="L1429" s="16">
        <v>20</v>
      </c>
      <c r="M1429" s="17">
        <v>620</v>
      </c>
      <c r="N1429" s="15" t="s">
        <v>367</v>
      </c>
      <c r="O1429" s="15" t="s">
        <v>19</v>
      </c>
      <c r="Q1429"/>
    </row>
    <row r="1430" spans="1:17" ht="15.6" x14ac:dyDescent="0.3">
      <c r="A1430" s="11">
        <v>10271</v>
      </c>
      <c r="B1430" s="10">
        <v>38188</v>
      </c>
      <c r="C1430" s="10" t="s">
        <v>288</v>
      </c>
      <c r="D1430" s="11" t="s">
        <v>88</v>
      </c>
      <c r="E1430" s="11" t="s">
        <v>89</v>
      </c>
      <c r="F1430" s="11" t="s">
        <v>15</v>
      </c>
      <c r="G1430" s="11" t="s">
        <v>16</v>
      </c>
      <c r="H1430" s="11" t="s">
        <v>32</v>
      </c>
      <c r="I1430" s="11" t="s">
        <v>44</v>
      </c>
      <c r="J1430" s="11" t="s">
        <v>252</v>
      </c>
      <c r="K1430" s="11">
        <v>50</v>
      </c>
      <c r="L1430" s="12">
        <v>55</v>
      </c>
      <c r="M1430" s="13">
        <v>2750</v>
      </c>
      <c r="N1430" s="11" t="s">
        <v>368</v>
      </c>
      <c r="O1430" s="11" t="s">
        <v>19</v>
      </c>
      <c r="Q1430"/>
    </row>
    <row r="1431" spans="1:17" ht="15.6" x14ac:dyDescent="0.3">
      <c r="A1431" s="15">
        <v>10271</v>
      </c>
      <c r="B1431" s="14">
        <v>38188</v>
      </c>
      <c r="C1431" s="14" t="s">
        <v>288</v>
      </c>
      <c r="D1431" s="15" t="s">
        <v>88</v>
      </c>
      <c r="E1431" s="15" t="s">
        <v>89</v>
      </c>
      <c r="F1431" s="15" t="s">
        <v>15</v>
      </c>
      <c r="G1431" s="15" t="s">
        <v>16</v>
      </c>
      <c r="H1431" s="15" t="s">
        <v>35</v>
      </c>
      <c r="I1431" s="15" t="s">
        <v>40</v>
      </c>
      <c r="J1431" s="15" t="s">
        <v>251</v>
      </c>
      <c r="K1431" s="15">
        <v>50</v>
      </c>
      <c r="L1431" s="16">
        <v>25</v>
      </c>
      <c r="M1431" s="17">
        <v>1250</v>
      </c>
      <c r="N1431" s="15" t="s">
        <v>368</v>
      </c>
      <c r="O1431" s="15" t="s">
        <v>19</v>
      </c>
      <c r="Q1431"/>
    </row>
    <row r="1432" spans="1:17" ht="15.6" x14ac:dyDescent="0.3">
      <c r="A1432" s="11">
        <v>10271</v>
      </c>
      <c r="B1432" s="10">
        <v>38188</v>
      </c>
      <c r="C1432" s="10" t="s">
        <v>288</v>
      </c>
      <c r="D1432" s="11" t="s">
        <v>88</v>
      </c>
      <c r="E1432" s="11" t="s">
        <v>89</v>
      </c>
      <c r="F1432" s="11" t="s">
        <v>15</v>
      </c>
      <c r="G1432" s="11" t="s">
        <v>16</v>
      </c>
      <c r="H1432" s="11" t="s">
        <v>35</v>
      </c>
      <c r="I1432" s="11" t="s">
        <v>38</v>
      </c>
      <c r="J1432" s="11" t="s">
        <v>249</v>
      </c>
      <c r="K1432" s="11">
        <v>25</v>
      </c>
      <c r="L1432" s="12">
        <v>20</v>
      </c>
      <c r="M1432" s="13">
        <v>500</v>
      </c>
      <c r="N1432" s="11" t="s">
        <v>367</v>
      </c>
      <c r="O1432" s="11" t="s">
        <v>19</v>
      </c>
      <c r="Q1432"/>
    </row>
    <row r="1433" spans="1:17" ht="15.6" x14ac:dyDescent="0.3">
      <c r="A1433" s="15">
        <v>10271</v>
      </c>
      <c r="B1433" s="14">
        <v>38188</v>
      </c>
      <c r="C1433" s="14" t="s">
        <v>288</v>
      </c>
      <c r="D1433" s="15" t="s">
        <v>88</v>
      </c>
      <c r="E1433" s="15" t="s">
        <v>89</v>
      </c>
      <c r="F1433" s="15" t="s">
        <v>15</v>
      </c>
      <c r="G1433" s="15" t="s">
        <v>16</v>
      </c>
      <c r="H1433" s="15" t="s">
        <v>32</v>
      </c>
      <c r="I1433" s="15" t="s">
        <v>45</v>
      </c>
      <c r="J1433" s="15" t="s">
        <v>253</v>
      </c>
      <c r="K1433" s="15">
        <v>20</v>
      </c>
      <c r="L1433" s="16">
        <v>35</v>
      </c>
      <c r="M1433" s="17">
        <v>700</v>
      </c>
      <c r="N1433" s="15" t="s">
        <v>367</v>
      </c>
      <c r="O1433" s="15" t="s">
        <v>19</v>
      </c>
      <c r="Q1433"/>
    </row>
    <row r="1434" spans="1:17" ht="15.6" x14ac:dyDescent="0.3">
      <c r="A1434" s="11">
        <v>10272</v>
      </c>
      <c r="B1434" s="10">
        <v>38188</v>
      </c>
      <c r="C1434" s="10" t="s">
        <v>361</v>
      </c>
      <c r="D1434" s="11" t="s">
        <v>231</v>
      </c>
      <c r="E1434" s="11" t="s">
        <v>232</v>
      </c>
      <c r="F1434" s="11" t="s">
        <v>15</v>
      </c>
      <c r="G1434" s="11" t="s">
        <v>16</v>
      </c>
      <c r="H1434" s="11" t="s">
        <v>32</v>
      </c>
      <c r="I1434" s="11" t="s">
        <v>44</v>
      </c>
      <c r="J1434" s="11" t="s">
        <v>252</v>
      </c>
      <c r="K1434" s="11">
        <v>25</v>
      </c>
      <c r="L1434" s="12">
        <v>55</v>
      </c>
      <c r="M1434" s="13">
        <v>1375</v>
      </c>
      <c r="N1434" s="11" t="s">
        <v>367</v>
      </c>
      <c r="O1434" s="11" t="s">
        <v>19</v>
      </c>
      <c r="Q1434"/>
    </row>
    <row r="1435" spans="1:17" ht="15.6" x14ac:dyDescent="0.3">
      <c r="A1435" s="15">
        <v>10271</v>
      </c>
      <c r="B1435" s="14">
        <v>38188</v>
      </c>
      <c r="C1435" s="14" t="s">
        <v>288</v>
      </c>
      <c r="D1435" s="15" t="s">
        <v>88</v>
      </c>
      <c r="E1435" s="15" t="s">
        <v>89</v>
      </c>
      <c r="F1435" s="15" t="s">
        <v>15</v>
      </c>
      <c r="G1435" s="15" t="s">
        <v>16</v>
      </c>
      <c r="H1435" s="15" t="s">
        <v>32</v>
      </c>
      <c r="I1435" s="15" t="s">
        <v>46</v>
      </c>
      <c r="J1435" s="15" t="s">
        <v>254</v>
      </c>
      <c r="K1435" s="15">
        <v>45</v>
      </c>
      <c r="L1435" s="16">
        <v>90</v>
      </c>
      <c r="M1435" s="17">
        <v>4050</v>
      </c>
      <c r="N1435" s="15" t="s">
        <v>367</v>
      </c>
      <c r="O1435" s="15" t="s">
        <v>19</v>
      </c>
      <c r="Q1435"/>
    </row>
    <row r="1436" spans="1:17" ht="15.6" x14ac:dyDescent="0.3">
      <c r="A1436" s="11">
        <v>10271</v>
      </c>
      <c r="B1436" s="10">
        <v>38188</v>
      </c>
      <c r="C1436" s="10" t="s">
        <v>288</v>
      </c>
      <c r="D1436" s="11" t="s">
        <v>88</v>
      </c>
      <c r="E1436" s="11" t="s">
        <v>89</v>
      </c>
      <c r="F1436" s="11" t="s">
        <v>15</v>
      </c>
      <c r="G1436" s="11" t="s">
        <v>16</v>
      </c>
      <c r="H1436" s="11" t="s">
        <v>35</v>
      </c>
      <c r="I1436" s="11" t="s">
        <v>40</v>
      </c>
      <c r="J1436" s="11" t="s">
        <v>251</v>
      </c>
      <c r="K1436" s="11">
        <v>43</v>
      </c>
      <c r="L1436" s="12">
        <v>25</v>
      </c>
      <c r="M1436" s="13">
        <v>1075</v>
      </c>
      <c r="N1436" s="11" t="s">
        <v>367</v>
      </c>
      <c r="O1436" s="11" t="s">
        <v>19</v>
      </c>
      <c r="Q1436"/>
    </row>
    <row r="1437" spans="1:17" ht="15.6" x14ac:dyDescent="0.3">
      <c r="A1437" s="15">
        <v>10271</v>
      </c>
      <c r="B1437" s="14">
        <v>38188</v>
      </c>
      <c r="C1437" s="14" t="s">
        <v>288</v>
      </c>
      <c r="D1437" s="15" t="s">
        <v>88</v>
      </c>
      <c r="E1437" s="15" t="s">
        <v>89</v>
      </c>
      <c r="F1437" s="15" t="s">
        <v>15</v>
      </c>
      <c r="G1437" s="15" t="s">
        <v>16</v>
      </c>
      <c r="H1437" s="15" t="s">
        <v>32</v>
      </c>
      <c r="I1437" s="15" t="s">
        <v>45</v>
      </c>
      <c r="J1437" s="15" t="s">
        <v>253</v>
      </c>
      <c r="K1437" s="15">
        <v>38</v>
      </c>
      <c r="L1437" s="16">
        <v>35</v>
      </c>
      <c r="M1437" s="17">
        <v>1330</v>
      </c>
      <c r="N1437" s="15" t="s">
        <v>367</v>
      </c>
      <c r="O1437" s="15" t="s">
        <v>19</v>
      </c>
      <c r="Q1437"/>
    </row>
    <row r="1438" spans="1:17" ht="15.6" x14ac:dyDescent="0.3">
      <c r="A1438" s="11">
        <v>10271</v>
      </c>
      <c r="B1438" s="10">
        <v>38188</v>
      </c>
      <c r="C1438" s="10" t="s">
        <v>288</v>
      </c>
      <c r="D1438" s="11" t="s">
        <v>88</v>
      </c>
      <c r="E1438" s="11" t="s">
        <v>89</v>
      </c>
      <c r="F1438" s="11" t="s">
        <v>15</v>
      </c>
      <c r="G1438" s="11" t="s">
        <v>16</v>
      </c>
      <c r="H1438" s="11" t="s">
        <v>32</v>
      </c>
      <c r="I1438" s="11" t="s">
        <v>46</v>
      </c>
      <c r="J1438" s="11" t="s">
        <v>254</v>
      </c>
      <c r="K1438" s="11">
        <v>22</v>
      </c>
      <c r="L1438" s="12">
        <v>90</v>
      </c>
      <c r="M1438" s="13">
        <v>1980</v>
      </c>
      <c r="N1438" s="11" t="s">
        <v>367</v>
      </c>
      <c r="O1438" s="11" t="s">
        <v>19</v>
      </c>
      <c r="Q1438"/>
    </row>
    <row r="1439" spans="1:17" ht="15.6" x14ac:dyDescent="0.3">
      <c r="A1439" s="15">
        <v>10271</v>
      </c>
      <c r="B1439" s="14">
        <v>38188</v>
      </c>
      <c r="C1439" s="14" t="s">
        <v>288</v>
      </c>
      <c r="D1439" s="15" t="s">
        <v>88</v>
      </c>
      <c r="E1439" s="15" t="s">
        <v>89</v>
      </c>
      <c r="F1439" s="15" t="s">
        <v>15</v>
      </c>
      <c r="G1439" s="15" t="s">
        <v>16</v>
      </c>
      <c r="H1439" s="15" t="s">
        <v>35</v>
      </c>
      <c r="I1439" s="15" t="s">
        <v>38</v>
      </c>
      <c r="J1439" s="15" t="s">
        <v>249</v>
      </c>
      <c r="K1439" s="15">
        <v>35</v>
      </c>
      <c r="L1439" s="16">
        <v>20</v>
      </c>
      <c r="M1439" s="17">
        <v>700</v>
      </c>
      <c r="N1439" s="15" t="s">
        <v>367</v>
      </c>
      <c r="O1439" s="15" t="s">
        <v>19</v>
      </c>
      <c r="Q1439"/>
    </row>
    <row r="1440" spans="1:17" ht="15.6" x14ac:dyDescent="0.3">
      <c r="A1440" s="11">
        <v>10272</v>
      </c>
      <c r="B1440" s="10">
        <v>38188</v>
      </c>
      <c r="C1440" s="10" t="s">
        <v>361</v>
      </c>
      <c r="D1440" s="11" t="s">
        <v>231</v>
      </c>
      <c r="E1440" s="11" t="s">
        <v>232</v>
      </c>
      <c r="F1440" s="11" t="s">
        <v>15</v>
      </c>
      <c r="G1440" s="11" t="s">
        <v>16</v>
      </c>
      <c r="H1440" s="11" t="s">
        <v>47</v>
      </c>
      <c r="I1440" s="11" t="s">
        <v>119</v>
      </c>
      <c r="J1440" s="11" t="s">
        <v>272</v>
      </c>
      <c r="K1440" s="11">
        <v>45</v>
      </c>
      <c r="L1440" s="12">
        <v>60</v>
      </c>
      <c r="M1440" s="13">
        <v>2700</v>
      </c>
      <c r="N1440" s="11" t="s">
        <v>367</v>
      </c>
      <c r="O1440" s="11" t="s">
        <v>19</v>
      </c>
      <c r="Q1440"/>
    </row>
    <row r="1441" spans="1:17" ht="15.6" x14ac:dyDescent="0.3">
      <c r="A1441" s="15">
        <v>10271</v>
      </c>
      <c r="B1441" s="14">
        <v>38188</v>
      </c>
      <c r="C1441" s="14" t="s">
        <v>288</v>
      </c>
      <c r="D1441" s="15" t="s">
        <v>88</v>
      </c>
      <c r="E1441" s="15" t="s">
        <v>89</v>
      </c>
      <c r="F1441" s="15" t="s">
        <v>15</v>
      </c>
      <c r="G1441" s="15" t="s">
        <v>16</v>
      </c>
      <c r="H1441" s="15" t="s">
        <v>35</v>
      </c>
      <c r="I1441" s="15" t="s">
        <v>40</v>
      </c>
      <c r="J1441" s="15" t="s">
        <v>251</v>
      </c>
      <c r="K1441" s="15">
        <v>34</v>
      </c>
      <c r="L1441" s="16">
        <v>25</v>
      </c>
      <c r="M1441" s="17">
        <v>850</v>
      </c>
      <c r="N1441" s="15" t="s">
        <v>367</v>
      </c>
      <c r="O1441" s="15" t="s">
        <v>19</v>
      </c>
      <c r="Q1441"/>
    </row>
    <row r="1442" spans="1:17" ht="15.6" x14ac:dyDescent="0.3">
      <c r="A1442" s="11">
        <v>10272</v>
      </c>
      <c r="B1442" s="10">
        <v>38188</v>
      </c>
      <c r="C1442" s="10" t="s">
        <v>361</v>
      </c>
      <c r="D1442" s="11" t="s">
        <v>231</v>
      </c>
      <c r="E1442" s="11" t="s">
        <v>232</v>
      </c>
      <c r="F1442" s="11" t="s">
        <v>15</v>
      </c>
      <c r="G1442" s="11" t="s">
        <v>16</v>
      </c>
      <c r="H1442" s="11" t="s">
        <v>47</v>
      </c>
      <c r="I1442" s="11" t="s">
        <v>48</v>
      </c>
      <c r="J1442" s="11" t="s">
        <v>255</v>
      </c>
      <c r="K1442" s="11">
        <v>43</v>
      </c>
      <c r="L1442" s="12">
        <v>70</v>
      </c>
      <c r="M1442" s="13">
        <v>3010</v>
      </c>
      <c r="N1442" s="11" t="s">
        <v>367</v>
      </c>
      <c r="O1442" s="11" t="s">
        <v>19</v>
      </c>
      <c r="Q1442"/>
    </row>
    <row r="1443" spans="1:17" ht="15.6" x14ac:dyDescent="0.3">
      <c r="A1443" s="15">
        <v>10273</v>
      </c>
      <c r="B1443" s="14">
        <v>38189</v>
      </c>
      <c r="C1443" s="14" t="s">
        <v>349</v>
      </c>
      <c r="D1443" s="15" t="s">
        <v>208</v>
      </c>
      <c r="E1443" s="15" t="s">
        <v>209</v>
      </c>
      <c r="F1443" s="15" t="s">
        <v>96</v>
      </c>
      <c r="G1443" s="15" t="s">
        <v>25</v>
      </c>
      <c r="H1443" s="15" t="s">
        <v>32</v>
      </c>
      <c r="I1443" s="15" t="s">
        <v>46</v>
      </c>
      <c r="J1443" s="15" t="s">
        <v>254</v>
      </c>
      <c r="K1443" s="15">
        <v>30</v>
      </c>
      <c r="L1443" s="16">
        <v>90</v>
      </c>
      <c r="M1443" s="17">
        <v>2700</v>
      </c>
      <c r="N1443" s="15" t="s">
        <v>367</v>
      </c>
      <c r="O1443" s="15" t="s">
        <v>19</v>
      </c>
      <c r="Q1443"/>
    </row>
    <row r="1444" spans="1:17" ht="15.6" x14ac:dyDescent="0.3">
      <c r="A1444" s="11">
        <v>10274</v>
      </c>
      <c r="B1444" s="10">
        <v>38189</v>
      </c>
      <c r="C1444" s="10" t="s">
        <v>312</v>
      </c>
      <c r="D1444" s="11" t="s">
        <v>140</v>
      </c>
      <c r="E1444" s="11" t="s">
        <v>125</v>
      </c>
      <c r="F1444" s="11" t="s">
        <v>15</v>
      </c>
      <c r="G1444" s="11" t="s">
        <v>16</v>
      </c>
      <c r="H1444" s="11" t="s">
        <v>61</v>
      </c>
      <c r="I1444" s="11" t="s">
        <v>62</v>
      </c>
      <c r="J1444" s="11" t="s">
        <v>261</v>
      </c>
      <c r="K1444" s="11">
        <v>41</v>
      </c>
      <c r="L1444" s="12">
        <v>15</v>
      </c>
      <c r="M1444" s="13">
        <v>615</v>
      </c>
      <c r="N1444" s="11" t="s">
        <v>367</v>
      </c>
      <c r="O1444" s="11" t="s">
        <v>19</v>
      </c>
      <c r="Q1444"/>
    </row>
    <row r="1445" spans="1:17" ht="15.6" x14ac:dyDescent="0.3">
      <c r="A1445" s="15">
        <v>10273</v>
      </c>
      <c r="B1445" s="14">
        <v>38189</v>
      </c>
      <c r="C1445" s="14" t="s">
        <v>349</v>
      </c>
      <c r="D1445" s="15" t="s">
        <v>208</v>
      </c>
      <c r="E1445" s="15" t="s">
        <v>209</v>
      </c>
      <c r="F1445" s="15" t="s">
        <v>96</v>
      </c>
      <c r="G1445" s="15" t="s">
        <v>25</v>
      </c>
      <c r="H1445" s="15" t="s">
        <v>54</v>
      </c>
      <c r="I1445" s="15" t="s">
        <v>166</v>
      </c>
      <c r="J1445" s="15" t="s">
        <v>273</v>
      </c>
      <c r="K1445" s="15">
        <v>34</v>
      </c>
      <c r="L1445" s="16">
        <v>160</v>
      </c>
      <c r="M1445" s="17">
        <v>5440</v>
      </c>
      <c r="N1445" s="15" t="s">
        <v>367</v>
      </c>
      <c r="O1445" s="15" t="s">
        <v>19</v>
      </c>
      <c r="Q1445"/>
    </row>
    <row r="1446" spans="1:17" ht="15.6" x14ac:dyDescent="0.3">
      <c r="A1446" s="11">
        <v>10273</v>
      </c>
      <c r="B1446" s="10">
        <v>38189</v>
      </c>
      <c r="C1446" s="10" t="s">
        <v>349</v>
      </c>
      <c r="D1446" s="11" t="s">
        <v>208</v>
      </c>
      <c r="E1446" s="11" t="s">
        <v>209</v>
      </c>
      <c r="F1446" s="11" t="s">
        <v>96</v>
      </c>
      <c r="G1446" s="11" t="s">
        <v>25</v>
      </c>
      <c r="H1446" s="11" t="s">
        <v>17</v>
      </c>
      <c r="I1446" s="11" t="s">
        <v>20</v>
      </c>
      <c r="J1446" s="11" t="s">
        <v>242</v>
      </c>
      <c r="K1446" s="11">
        <v>40</v>
      </c>
      <c r="L1446" s="12">
        <v>48</v>
      </c>
      <c r="M1446" s="13">
        <v>1920</v>
      </c>
      <c r="N1446" s="11" t="s">
        <v>367</v>
      </c>
      <c r="O1446" s="11" t="s">
        <v>19</v>
      </c>
      <c r="Q1446"/>
    </row>
    <row r="1447" spans="1:17" ht="15.6" x14ac:dyDescent="0.3">
      <c r="A1447" s="15">
        <v>10273</v>
      </c>
      <c r="B1447" s="14">
        <v>38189</v>
      </c>
      <c r="C1447" s="14" t="s">
        <v>349</v>
      </c>
      <c r="D1447" s="15" t="s">
        <v>208</v>
      </c>
      <c r="E1447" s="15" t="s">
        <v>209</v>
      </c>
      <c r="F1447" s="15" t="s">
        <v>96</v>
      </c>
      <c r="G1447" s="15" t="s">
        <v>25</v>
      </c>
      <c r="H1447" s="15" t="s">
        <v>47</v>
      </c>
      <c r="I1447" s="15" t="s">
        <v>53</v>
      </c>
      <c r="J1447" s="15" t="s">
        <v>257</v>
      </c>
      <c r="K1447" s="15">
        <v>47</v>
      </c>
      <c r="L1447" s="16">
        <v>90</v>
      </c>
      <c r="M1447" s="17">
        <v>4230</v>
      </c>
      <c r="N1447" s="15" t="s">
        <v>367</v>
      </c>
      <c r="O1447" s="15" t="s">
        <v>19</v>
      </c>
      <c r="Q1447"/>
    </row>
    <row r="1448" spans="1:17" ht="15.6" x14ac:dyDescent="0.3">
      <c r="A1448" s="11">
        <v>10273</v>
      </c>
      <c r="B1448" s="10">
        <v>38189</v>
      </c>
      <c r="C1448" s="10" t="s">
        <v>349</v>
      </c>
      <c r="D1448" s="11" t="s">
        <v>208</v>
      </c>
      <c r="E1448" s="11" t="s">
        <v>209</v>
      </c>
      <c r="F1448" s="11" t="s">
        <v>96</v>
      </c>
      <c r="G1448" s="11" t="s">
        <v>25</v>
      </c>
      <c r="H1448" s="11" t="s">
        <v>17</v>
      </c>
      <c r="I1448" s="11" t="s">
        <v>20</v>
      </c>
      <c r="J1448" s="11" t="s">
        <v>242</v>
      </c>
      <c r="K1448" s="11">
        <v>50</v>
      </c>
      <c r="L1448" s="12">
        <v>48</v>
      </c>
      <c r="M1448" s="13">
        <v>2400</v>
      </c>
      <c r="N1448" s="11" t="s">
        <v>368</v>
      </c>
      <c r="O1448" s="11" t="s">
        <v>19</v>
      </c>
      <c r="Q1448"/>
    </row>
    <row r="1449" spans="1:17" ht="15.6" x14ac:dyDescent="0.3">
      <c r="A1449" s="15">
        <v>10273</v>
      </c>
      <c r="B1449" s="14">
        <v>38189</v>
      </c>
      <c r="C1449" s="14" t="s">
        <v>349</v>
      </c>
      <c r="D1449" s="15" t="s">
        <v>208</v>
      </c>
      <c r="E1449" s="15" t="s">
        <v>209</v>
      </c>
      <c r="F1449" s="15" t="s">
        <v>96</v>
      </c>
      <c r="G1449" s="15" t="s">
        <v>25</v>
      </c>
      <c r="H1449" s="15" t="s">
        <v>17</v>
      </c>
      <c r="I1449" s="15" t="s">
        <v>20</v>
      </c>
      <c r="J1449" s="15" t="s">
        <v>242</v>
      </c>
      <c r="K1449" s="15">
        <v>33</v>
      </c>
      <c r="L1449" s="16">
        <v>48</v>
      </c>
      <c r="M1449" s="17">
        <v>1584</v>
      </c>
      <c r="N1449" s="15" t="s">
        <v>367</v>
      </c>
      <c r="O1449" s="15" t="s">
        <v>19</v>
      </c>
      <c r="Q1449"/>
    </row>
    <row r="1450" spans="1:17" ht="15.6" x14ac:dyDescent="0.3">
      <c r="A1450" s="11">
        <v>10273</v>
      </c>
      <c r="B1450" s="10">
        <v>38189</v>
      </c>
      <c r="C1450" s="10" t="s">
        <v>349</v>
      </c>
      <c r="D1450" s="11" t="s">
        <v>208</v>
      </c>
      <c r="E1450" s="11" t="s">
        <v>209</v>
      </c>
      <c r="F1450" s="11" t="s">
        <v>96</v>
      </c>
      <c r="G1450" s="11" t="s">
        <v>25</v>
      </c>
      <c r="H1450" s="11" t="s">
        <v>54</v>
      </c>
      <c r="I1450" s="11" t="s">
        <v>57</v>
      </c>
      <c r="J1450" s="11" t="s">
        <v>260</v>
      </c>
      <c r="K1450" s="11">
        <v>22</v>
      </c>
      <c r="L1450" s="12">
        <v>220</v>
      </c>
      <c r="M1450" s="13">
        <v>4840</v>
      </c>
      <c r="N1450" s="11" t="s">
        <v>367</v>
      </c>
      <c r="O1450" s="11" t="s">
        <v>19</v>
      </c>
      <c r="Q1450"/>
    </row>
    <row r="1451" spans="1:17" ht="15.6" x14ac:dyDescent="0.3">
      <c r="A1451" s="15">
        <v>10274</v>
      </c>
      <c r="B1451" s="14">
        <v>38189</v>
      </c>
      <c r="C1451" s="14" t="s">
        <v>312</v>
      </c>
      <c r="D1451" s="15" t="s">
        <v>140</v>
      </c>
      <c r="E1451" s="15" t="s">
        <v>125</v>
      </c>
      <c r="F1451" s="15" t="s">
        <v>15</v>
      </c>
      <c r="G1451" s="15" t="s">
        <v>16</v>
      </c>
      <c r="H1451" s="15" t="s">
        <v>61</v>
      </c>
      <c r="I1451" s="15" t="s">
        <v>62</v>
      </c>
      <c r="J1451" s="15" t="s">
        <v>261</v>
      </c>
      <c r="K1451" s="15">
        <v>40</v>
      </c>
      <c r="L1451" s="16">
        <v>15</v>
      </c>
      <c r="M1451" s="17">
        <v>600</v>
      </c>
      <c r="N1451" s="15" t="s">
        <v>367</v>
      </c>
      <c r="O1451" s="15" t="s">
        <v>19</v>
      </c>
      <c r="Q1451"/>
    </row>
    <row r="1452" spans="1:17" ht="15.6" x14ac:dyDescent="0.3">
      <c r="A1452" s="11">
        <v>10273</v>
      </c>
      <c r="B1452" s="10">
        <v>38189</v>
      </c>
      <c r="C1452" s="10" t="s">
        <v>349</v>
      </c>
      <c r="D1452" s="11" t="s">
        <v>208</v>
      </c>
      <c r="E1452" s="11" t="s">
        <v>209</v>
      </c>
      <c r="F1452" s="11" t="s">
        <v>96</v>
      </c>
      <c r="G1452" s="11" t="s">
        <v>25</v>
      </c>
      <c r="H1452" s="11" t="s">
        <v>17</v>
      </c>
      <c r="I1452" s="11" t="s">
        <v>82</v>
      </c>
      <c r="J1452" s="11" t="s">
        <v>270</v>
      </c>
      <c r="K1452" s="11">
        <v>27</v>
      </c>
      <c r="L1452" s="12">
        <v>75</v>
      </c>
      <c r="M1452" s="13">
        <v>2025</v>
      </c>
      <c r="N1452" s="11" t="s">
        <v>367</v>
      </c>
      <c r="O1452" s="11" t="s">
        <v>19</v>
      </c>
      <c r="Q1452"/>
    </row>
    <row r="1453" spans="1:17" ht="15.6" x14ac:dyDescent="0.3">
      <c r="A1453" s="15">
        <v>10274</v>
      </c>
      <c r="B1453" s="14">
        <v>38189</v>
      </c>
      <c r="C1453" s="14" t="s">
        <v>312</v>
      </c>
      <c r="D1453" s="15" t="s">
        <v>140</v>
      </c>
      <c r="E1453" s="15" t="s">
        <v>125</v>
      </c>
      <c r="F1453" s="15" t="s">
        <v>15</v>
      </c>
      <c r="G1453" s="15" t="s">
        <v>16</v>
      </c>
      <c r="H1453" s="15" t="s">
        <v>17</v>
      </c>
      <c r="I1453" s="15" t="s">
        <v>26</v>
      </c>
      <c r="J1453" s="15" t="s">
        <v>244</v>
      </c>
      <c r="K1453" s="15">
        <v>24</v>
      </c>
      <c r="L1453" s="16">
        <v>60</v>
      </c>
      <c r="M1453" s="17">
        <v>1440</v>
      </c>
      <c r="N1453" s="15" t="s">
        <v>367</v>
      </c>
      <c r="O1453" s="15" t="s">
        <v>19</v>
      </c>
      <c r="Q1453"/>
    </row>
    <row r="1454" spans="1:17" ht="15.6" x14ac:dyDescent="0.3">
      <c r="A1454" s="11">
        <v>10273</v>
      </c>
      <c r="B1454" s="10">
        <v>38189</v>
      </c>
      <c r="C1454" s="10" t="s">
        <v>349</v>
      </c>
      <c r="D1454" s="11" t="s">
        <v>208</v>
      </c>
      <c r="E1454" s="11" t="s">
        <v>209</v>
      </c>
      <c r="F1454" s="11" t="s">
        <v>96</v>
      </c>
      <c r="G1454" s="11" t="s">
        <v>25</v>
      </c>
      <c r="H1454" s="11" t="s">
        <v>17</v>
      </c>
      <c r="I1454" s="11" t="s">
        <v>26</v>
      </c>
      <c r="J1454" s="11" t="s">
        <v>244</v>
      </c>
      <c r="K1454" s="11">
        <v>48</v>
      </c>
      <c r="L1454" s="12">
        <v>60</v>
      </c>
      <c r="M1454" s="13">
        <v>2880</v>
      </c>
      <c r="N1454" s="11" t="s">
        <v>367</v>
      </c>
      <c r="O1454" s="11" t="s">
        <v>19</v>
      </c>
      <c r="Q1454"/>
    </row>
    <row r="1455" spans="1:17" ht="15.6" x14ac:dyDescent="0.3">
      <c r="A1455" s="15">
        <v>10273</v>
      </c>
      <c r="B1455" s="14">
        <v>38189</v>
      </c>
      <c r="C1455" s="14" t="s">
        <v>349</v>
      </c>
      <c r="D1455" s="15" t="s">
        <v>208</v>
      </c>
      <c r="E1455" s="15" t="s">
        <v>209</v>
      </c>
      <c r="F1455" s="15" t="s">
        <v>96</v>
      </c>
      <c r="G1455" s="15" t="s">
        <v>25</v>
      </c>
      <c r="H1455" s="15" t="s">
        <v>54</v>
      </c>
      <c r="I1455" s="15" t="s">
        <v>56</v>
      </c>
      <c r="J1455" s="15" t="s">
        <v>259</v>
      </c>
      <c r="K1455" s="15">
        <v>21</v>
      </c>
      <c r="L1455" s="16">
        <v>250</v>
      </c>
      <c r="M1455" s="17">
        <v>5250</v>
      </c>
      <c r="N1455" s="15" t="s">
        <v>367</v>
      </c>
      <c r="O1455" s="15" t="s">
        <v>19</v>
      </c>
      <c r="Q1455"/>
    </row>
    <row r="1456" spans="1:17" ht="15.6" x14ac:dyDescent="0.3">
      <c r="A1456" s="11">
        <v>10273</v>
      </c>
      <c r="B1456" s="10">
        <v>38189</v>
      </c>
      <c r="C1456" s="10" t="s">
        <v>349</v>
      </c>
      <c r="D1456" s="11" t="s">
        <v>208</v>
      </c>
      <c r="E1456" s="11" t="s">
        <v>209</v>
      </c>
      <c r="F1456" s="11" t="s">
        <v>96</v>
      </c>
      <c r="G1456" s="11" t="s">
        <v>25</v>
      </c>
      <c r="H1456" s="11" t="s">
        <v>54</v>
      </c>
      <c r="I1456" s="11" t="s">
        <v>55</v>
      </c>
      <c r="J1456" s="11" t="s">
        <v>258</v>
      </c>
      <c r="K1456" s="11">
        <v>21</v>
      </c>
      <c r="L1456" s="12">
        <v>180</v>
      </c>
      <c r="M1456" s="13">
        <v>3780</v>
      </c>
      <c r="N1456" s="11" t="s">
        <v>367</v>
      </c>
      <c r="O1456" s="11" t="s">
        <v>19</v>
      </c>
      <c r="Q1456"/>
    </row>
    <row r="1457" spans="1:17" ht="15.6" x14ac:dyDescent="0.3">
      <c r="A1457" s="15">
        <v>10274</v>
      </c>
      <c r="B1457" s="14">
        <v>38189</v>
      </c>
      <c r="C1457" s="14" t="s">
        <v>312</v>
      </c>
      <c r="D1457" s="15" t="s">
        <v>140</v>
      </c>
      <c r="E1457" s="15" t="s">
        <v>125</v>
      </c>
      <c r="F1457" s="15" t="s">
        <v>15</v>
      </c>
      <c r="G1457" s="15" t="s">
        <v>16</v>
      </c>
      <c r="H1457" s="15" t="s">
        <v>54</v>
      </c>
      <c r="I1457" s="15" t="s">
        <v>166</v>
      </c>
      <c r="J1457" s="15" t="s">
        <v>273</v>
      </c>
      <c r="K1457" s="15">
        <v>24</v>
      </c>
      <c r="L1457" s="16">
        <v>160</v>
      </c>
      <c r="M1457" s="17">
        <v>3840</v>
      </c>
      <c r="N1457" s="15" t="s">
        <v>367</v>
      </c>
      <c r="O1457" s="15" t="s">
        <v>19</v>
      </c>
      <c r="Q1457"/>
    </row>
    <row r="1458" spans="1:17" ht="15.6" x14ac:dyDescent="0.3">
      <c r="A1458" s="11">
        <v>10273</v>
      </c>
      <c r="B1458" s="10">
        <v>38189</v>
      </c>
      <c r="C1458" s="10" t="s">
        <v>349</v>
      </c>
      <c r="D1458" s="11" t="s">
        <v>208</v>
      </c>
      <c r="E1458" s="11" t="s">
        <v>209</v>
      </c>
      <c r="F1458" s="11" t="s">
        <v>96</v>
      </c>
      <c r="G1458" s="11" t="s">
        <v>25</v>
      </c>
      <c r="H1458" s="11" t="s">
        <v>54</v>
      </c>
      <c r="I1458" s="11" t="s">
        <v>57</v>
      </c>
      <c r="J1458" s="11" t="s">
        <v>260</v>
      </c>
      <c r="K1458" s="11">
        <v>42</v>
      </c>
      <c r="L1458" s="12">
        <v>220</v>
      </c>
      <c r="M1458" s="13">
        <v>9240</v>
      </c>
      <c r="N1458" s="11" t="s">
        <v>367</v>
      </c>
      <c r="O1458" s="11" t="s">
        <v>19</v>
      </c>
      <c r="Q1458"/>
    </row>
    <row r="1459" spans="1:17" ht="15.6" x14ac:dyDescent="0.3">
      <c r="A1459" s="15">
        <v>10273</v>
      </c>
      <c r="B1459" s="14">
        <v>38189</v>
      </c>
      <c r="C1459" s="14" t="s">
        <v>349</v>
      </c>
      <c r="D1459" s="15" t="s">
        <v>208</v>
      </c>
      <c r="E1459" s="15" t="s">
        <v>209</v>
      </c>
      <c r="F1459" s="15" t="s">
        <v>96</v>
      </c>
      <c r="G1459" s="15" t="s">
        <v>25</v>
      </c>
      <c r="H1459" s="15" t="s">
        <v>54</v>
      </c>
      <c r="I1459" s="15" t="s">
        <v>56</v>
      </c>
      <c r="J1459" s="15" t="s">
        <v>259</v>
      </c>
      <c r="K1459" s="15">
        <v>40</v>
      </c>
      <c r="L1459" s="16">
        <v>250</v>
      </c>
      <c r="M1459" s="17">
        <v>10000</v>
      </c>
      <c r="N1459" s="15" t="s">
        <v>367</v>
      </c>
      <c r="O1459" s="15" t="s">
        <v>19</v>
      </c>
      <c r="Q1459"/>
    </row>
    <row r="1460" spans="1:17" ht="15.6" x14ac:dyDescent="0.3">
      <c r="A1460" s="11">
        <v>10273</v>
      </c>
      <c r="B1460" s="10">
        <v>38189</v>
      </c>
      <c r="C1460" s="10" t="s">
        <v>349</v>
      </c>
      <c r="D1460" s="11" t="s">
        <v>208</v>
      </c>
      <c r="E1460" s="11" t="s">
        <v>209</v>
      </c>
      <c r="F1460" s="11" t="s">
        <v>96</v>
      </c>
      <c r="G1460" s="11" t="s">
        <v>25</v>
      </c>
      <c r="H1460" s="11" t="s">
        <v>54</v>
      </c>
      <c r="I1460" s="11" t="s">
        <v>56</v>
      </c>
      <c r="J1460" s="11" t="s">
        <v>259</v>
      </c>
      <c r="K1460" s="11">
        <v>26</v>
      </c>
      <c r="L1460" s="12">
        <v>250</v>
      </c>
      <c r="M1460" s="13">
        <v>6500</v>
      </c>
      <c r="N1460" s="11" t="s">
        <v>367</v>
      </c>
      <c r="O1460" s="11" t="s">
        <v>19</v>
      </c>
      <c r="Q1460"/>
    </row>
    <row r="1461" spans="1:17" ht="15.6" x14ac:dyDescent="0.3">
      <c r="A1461" s="15">
        <v>10274</v>
      </c>
      <c r="B1461" s="14">
        <v>38189</v>
      </c>
      <c r="C1461" s="14" t="s">
        <v>312</v>
      </c>
      <c r="D1461" s="15" t="s">
        <v>140</v>
      </c>
      <c r="E1461" s="15" t="s">
        <v>125</v>
      </c>
      <c r="F1461" s="15" t="s">
        <v>15</v>
      </c>
      <c r="G1461" s="15" t="s">
        <v>16</v>
      </c>
      <c r="H1461" s="15" t="s">
        <v>61</v>
      </c>
      <c r="I1461" s="15" t="s">
        <v>66</v>
      </c>
      <c r="J1461" s="15" t="s">
        <v>265</v>
      </c>
      <c r="K1461" s="15">
        <v>32</v>
      </c>
      <c r="L1461" s="16">
        <v>35</v>
      </c>
      <c r="M1461" s="17">
        <v>1120</v>
      </c>
      <c r="N1461" s="15" t="s">
        <v>367</v>
      </c>
      <c r="O1461" s="15" t="s">
        <v>19</v>
      </c>
      <c r="Q1461"/>
    </row>
    <row r="1462" spans="1:17" ht="15.6" x14ac:dyDescent="0.3">
      <c r="A1462" s="11">
        <v>10273</v>
      </c>
      <c r="B1462" s="10">
        <v>38189</v>
      </c>
      <c r="C1462" s="10" t="s">
        <v>349</v>
      </c>
      <c r="D1462" s="11" t="s">
        <v>208</v>
      </c>
      <c r="E1462" s="11" t="s">
        <v>209</v>
      </c>
      <c r="F1462" s="11" t="s">
        <v>96</v>
      </c>
      <c r="G1462" s="11" t="s">
        <v>25</v>
      </c>
      <c r="H1462" s="11" t="s">
        <v>54</v>
      </c>
      <c r="I1462" s="11" t="s">
        <v>56</v>
      </c>
      <c r="J1462" s="11" t="s">
        <v>259</v>
      </c>
      <c r="K1462" s="11">
        <v>37</v>
      </c>
      <c r="L1462" s="12">
        <v>250</v>
      </c>
      <c r="M1462" s="13">
        <v>9250</v>
      </c>
      <c r="N1462" s="11" t="s">
        <v>367</v>
      </c>
      <c r="O1462" s="11" t="s">
        <v>19</v>
      </c>
      <c r="Q1462"/>
    </row>
    <row r="1463" spans="1:17" ht="15.6" x14ac:dyDescent="0.3">
      <c r="A1463" s="15">
        <v>10275</v>
      </c>
      <c r="B1463" s="14">
        <v>38191</v>
      </c>
      <c r="C1463" s="14" t="s">
        <v>362</v>
      </c>
      <c r="D1463" s="15" t="s">
        <v>233</v>
      </c>
      <c r="E1463" s="15" t="s">
        <v>114</v>
      </c>
      <c r="F1463" s="15" t="s">
        <v>92</v>
      </c>
      <c r="G1463" s="15" t="s">
        <v>25</v>
      </c>
      <c r="H1463" s="15" t="s">
        <v>68</v>
      </c>
      <c r="I1463" s="15" t="s">
        <v>70</v>
      </c>
      <c r="J1463" s="15" t="s">
        <v>267</v>
      </c>
      <c r="K1463" s="15">
        <v>45</v>
      </c>
      <c r="L1463" s="16">
        <v>50</v>
      </c>
      <c r="M1463" s="17">
        <v>2250</v>
      </c>
      <c r="N1463" s="15" t="s">
        <v>367</v>
      </c>
      <c r="O1463" s="15" t="s">
        <v>19</v>
      </c>
      <c r="Q1463"/>
    </row>
    <row r="1464" spans="1:17" ht="15.6" x14ac:dyDescent="0.3">
      <c r="A1464" s="11">
        <v>10275</v>
      </c>
      <c r="B1464" s="10">
        <v>38191</v>
      </c>
      <c r="C1464" s="10" t="s">
        <v>362</v>
      </c>
      <c r="D1464" s="11" t="s">
        <v>233</v>
      </c>
      <c r="E1464" s="11" t="s">
        <v>114</v>
      </c>
      <c r="F1464" s="11" t="s">
        <v>92</v>
      </c>
      <c r="G1464" s="11" t="s">
        <v>25</v>
      </c>
      <c r="H1464" s="11" t="s">
        <v>68</v>
      </c>
      <c r="I1464" s="11" t="s">
        <v>69</v>
      </c>
      <c r="J1464" s="11" t="s">
        <v>266</v>
      </c>
      <c r="K1464" s="11">
        <v>22</v>
      </c>
      <c r="L1464" s="12">
        <v>25</v>
      </c>
      <c r="M1464" s="13">
        <v>550</v>
      </c>
      <c r="N1464" s="11" t="s">
        <v>367</v>
      </c>
      <c r="O1464" s="11" t="s">
        <v>19</v>
      </c>
      <c r="Q1464"/>
    </row>
    <row r="1465" spans="1:17" ht="15.6" x14ac:dyDescent="0.3">
      <c r="A1465" s="15">
        <v>10275</v>
      </c>
      <c r="B1465" s="14">
        <v>38191</v>
      </c>
      <c r="C1465" s="14" t="s">
        <v>362</v>
      </c>
      <c r="D1465" s="15" t="s">
        <v>233</v>
      </c>
      <c r="E1465" s="15" t="s">
        <v>114</v>
      </c>
      <c r="F1465" s="15" t="s">
        <v>92</v>
      </c>
      <c r="G1465" s="15" t="s">
        <v>25</v>
      </c>
      <c r="H1465" s="15" t="s">
        <v>68</v>
      </c>
      <c r="I1465" s="15" t="s">
        <v>70</v>
      </c>
      <c r="J1465" s="15" t="s">
        <v>267</v>
      </c>
      <c r="K1465" s="15">
        <v>36</v>
      </c>
      <c r="L1465" s="16">
        <v>50</v>
      </c>
      <c r="M1465" s="17">
        <v>1800</v>
      </c>
      <c r="N1465" s="15" t="s">
        <v>367</v>
      </c>
      <c r="O1465" s="15" t="s">
        <v>19</v>
      </c>
      <c r="Q1465"/>
    </row>
    <row r="1466" spans="1:17" ht="15.6" x14ac:dyDescent="0.3">
      <c r="A1466" s="11">
        <v>10275</v>
      </c>
      <c r="B1466" s="10">
        <v>38191</v>
      </c>
      <c r="C1466" s="10" t="s">
        <v>362</v>
      </c>
      <c r="D1466" s="11" t="s">
        <v>233</v>
      </c>
      <c r="E1466" s="11" t="s">
        <v>114</v>
      </c>
      <c r="F1466" s="11" t="s">
        <v>92</v>
      </c>
      <c r="G1466" s="11" t="s">
        <v>25</v>
      </c>
      <c r="H1466" s="11" t="s">
        <v>61</v>
      </c>
      <c r="I1466" s="11" t="s">
        <v>62</v>
      </c>
      <c r="J1466" s="11" t="s">
        <v>261</v>
      </c>
      <c r="K1466" s="11">
        <v>35</v>
      </c>
      <c r="L1466" s="12">
        <v>15</v>
      </c>
      <c r="M1466" s="13">
        <v>525</v>
      </c>
      <c r="N1466" s="11" t="s">
        <v>367</v>
      </c>
      <c r="O1466" s="11" t="s">
        <v>19</v>
      </c>
      <c r="Q1466"/>
    </row>
    <row r="1467" spans="1:17" ht="15.6" x14ac:dyDescent="0.3">
      <c r="A1467" s="15">
        <v>10275</v>
      </c>
      <c r="B1467" s="14">
        <v>38191</v>
      </c>
      <c r="C1467" s="14" t="s">
        <v>362</v>
      </c>
      <c r="D1467" s="15" t="s">
        <v>233</v>
      </c>
      <c r="E1467" s="15" t="s">
        <v>114</v>
      </c>
      <c r="F1467" s="15" t="s">
        <v>92</v>
      </c>
      <c r="G1467" s="15" t="s">
        <v>25</v>
      </c>
      <c r="H1467" s="15" t="s">
        <v>68</v>
      </c>
      <c r="I1467" s="15" t="s">
        <v>75</v>
      </c>
      <c r="J1467" s="15" t="s">
        <v>268</v>
      </c>
      <c r="K1467" s="15">
        <v>37</v>
      </c>
      <c r="L1467" s="16">
        <v>35</v>
      </c>
      <c r="M1467" s="17">
        <v>1295</v>
      </c>
      <c r="N1467" s="15" t="s">
        <v>367</v>
      </c>
      <c r="O1467" s="15" t="s">
        <v>19</v>
      </c>
      <c r="Q1467"/>
    </row>
    <row r="1468" spans="1:17" ht="15.6" x14ac:dyDescent="0.3">
      <c r="A1468" s="11">
        <v>10275</v>
      </c>
      <c r="B1468" s="10">
        <v>38191</v>
      </c>
      <c r="C1468" s="10" t="s">
        <v>362</v>
      </c>
      <c r="D1468" s="11" t="s">
        <v>233</v>
      </c>
      <c r="E1468" s="11" t="s">
        <v>114</v>
      </c>
      <c r="F1468" s="11" t="s">
        <v>92</v>
      </c>
      <c r="G1468" s="11" t="s">
        <v>25</v>
      </c>
      <c r="H1468" s="11" t="s">
        <v>68</v>
      </c>
      <c r="I1468" s="11" t="s">
        <v>69</v>
      </c>
      <c r="J1468" s="11" t="s">
        <v>266</v>
      </c>
      <c r="K1468" s="11">
        <v>21</v>
      </c>
      <c r="L1468" s="12">
        <v>25</v>
      </c>
      <c r="M1468" s="13">
        <v>525</v>
      </c>
      <c r="N1468" s="11" t="s">
        <v>367</v>
      </c>
      <c r="O1468" s="11" t="s">
        <v>19</v>
      </c>
      <c r="Q1468"/>
    </row>
    <row r="1469" spans="1:17" ht="15.6" x14ac:dyDescent="0.3">
      <c r="A1469" s="15">
        <v>10275</v>
      </c>
      <c r="B1469" s="14">
        <v>38191</v>
      </c>
      <c r="C1469" s="14" t="s">
        <v>362</v>
      </c>
      <c r="D1469" s="15" t="s">
        <v>233</v>
      </c>
      <c r="E1469" s="15" t="s">
        <v>114</v>
      </c>
      <c r="F1469" s="15" t="s">
        <v>92</v>
      </c>
      <c r="G1469" s="15" t="s">
        <v>25</v>
      </c>
      <c r="H1469" s="15" t="s">
        <v>61</v>
      </c>
      <c r="I1469" s="15" t="s">
        <v>62</v>
      </c>
      <c r="J1469" s="15" t="s">
        <v>261</v>
      </c>
      <c r="K1469" s="15">
        <v>25</v>
      </c>
      <c r="L1469" s="16">
        <v>15</v>
      </c>
      <c r="M1469" s="17">
        <v>375</v>
      </c>
      <c r="N1469" s="15" t="s">
        <v>367</v>
      </c>
      <c r="O1469" s="15" t="s">
        <v>19</v>
      </c>
      <c r="Q1469"/>
    </row>
    <row r="1470" spans="1:17" ht="15.6" x14ac:dyDescent="0.3">
      <c r="A1470" s="11">
        <v>10275</v>
      </c>
      <c r="B1470" s="10">
        <v>38191</v>
      </c>
      <c r="C1470" s="10" t="s">
        <v>362</v>
      </c>
      <c r="D1470" s="11" t="s">
        <v>233</v>
      </c>
      <c r="E1470" s="11" t="s">
        <v>114</v>
      </c>
      <c r="F1470" s="11" t="s">
        <v>92</v>
      </c>
      <c r="G1470" s="11" t="s">
        <v>25</v>
      </c>
      <c r="H1470" s="11" t="s">
        <v>68</v>
      </c>
      <c r="I1470" s="11" t="s">
        <v>70</v>
      </c>
      <c r="J1470" s="11" t="s">
        <v>267</v>
      </c>
      <c r="K1470" s="11">
        <v>30</v>
      </c>
      <c r="L1470" s="12">
        <v>50</v>
      </c>
      <c r="M1470" s="13">
        <v>1500</v>
      </c>
      <c r="N1470" s="11" t="s">
        <v>367</v>
      </c>
      <c r="O1470" s="11" t="s">
        <v>19</v>
      </c>
      <c r="Q1470"/>
    </row>
    <row r="1471" spans="1:17" ht="15.6" x14ac:dyDescent="0.3">
      <c r="A1471" s="15">
        <v>10275</v>
      </c>
      <c r="B1471" s="14">
        <v>38191</v>
      </c>
      <c r="C1471" s="14" t="s">
        <v>362</v>
      </c>
      <c r="D1471" s="15" t="s">
        <v>233</v>
      </c>
      <c r="E1471" s="15" t="s">
        <v>114</v>
      </c>
      <c r="F1471" s="15" t="s">
        <v>92</v>
      </c>
      <c r="G1471" s="15" t="s">
        <v>25</v>
      </c>
      <c r="H1471" s="15" t="s">
        <v>61</v>
      </c>
      <c r="I1471" s="15" t="s">
        <v>66</v>
      </c>
      <c r="J1471" s="15" t="s">
        <v>265</v>
      </c>
      <c r="K1471" s="15">
        <v>41</v>
      </c>
      <c r="L1471" s="16">
        <v>35</v>
      </c>
      <c r="M1471" s="17">
        <v>1435</v>
      </c>
      <c r="N1471" s="15" t="s">
        <v>367</v>
      </c>
      <c r="O1471" s="15" t="s">
        <v>19</v>
      </c>
      <c r="Q1471"/>
    </row>
    <row r="1472" spans="1:17" ht="15.6" x14ac:dyDescent="0.3">
      <c r="A1472" s="11">
        <v>10275</v>
      </c>
      <c r="B1472" s="10">
        <v>38191</v>
      </c>
      <c r="C1472" s="10" t="s">
        <v>362</v>
      </c>
      <c r="D1472" s="11" t="s">
        <v>233</v>
      </c>
      <c r="E1472" s="11" t="s">
        <v>114</v>
      </c>
      <c r="F1472" s="11" t="s">
        <v>92</v>
      </c>
      <c r="G1472" s="11" t="s">
        <v>25</v>
      </c>
      <c r="H1472" s="11" t="s">
        <v>61</v>
      </c>
      <c r="I1472" s="11" t="s">
        <v>62</v>
      </c>
      <c r="J1472" s="11" t="s">
        <v>261</v>
      </c>
      <c r="K1472" s="11">
        <v>27</v>
      </c>
      <c r="L1472" s="12">
        <v>15</v>
      </c>
      <c r="M1472" s="13">
        <v>405</v>
      </c>
      <c r="N1472" s="11" t="s">
        <v>367</v>
      </c>
      <c r="O1472" s="11" t="s">
        <v>19</v>
      </c>
      <c r="Q1472"/>
    </row>
    <row r="1473" spans="1:17" ht="15.6" x14ac:dyDescent="0.3">
      <c r="A1473" s="15">
        <v>10275</v>
      </c>
      <c r="B1473" s="14">
        <v>38191</v>
      </c>
      <c r="C1473" s="14" t="s">
        <v>362</v>
      </c>
      <c r="D1473" s="15" t="s">
        <v>233</v>
      </c>
      <c r="E1473" s="15" t="s">
        <v>114</v>
      </c>
      <c r="F1473" s="15" t="s">
        <v>92</v>
      </c>
      <c r="G1473" s="15" t="s">
        <v>25</v>
      </c>
      <c r="H1473" s="15" t="s">
        <v>68</v>
      </c>
      <c r="I1473" s="15" t="s">
        <v>70</v>
      </c>
      <c r="J1473" s="15" t="s">
        <v>267</v>
      </c>
      <c r="K1473" s="15">
        <v>23</v>
      </c>
      <c r="L1473" s="16">
        <v>50</v>
      </c>
      <c r="M1473" s="17">
        <v>1150</v>
      </c>
      <c r="N1473" s="15" t="s">
        <v>367</v>
      </c>
      <c r="O1473" s="15" t="s">
        <v>19</v>
      </c>
      <c r="Q1473"/>
    </row>
    <row r="1474" spans="1:17" ht="15.6" x14ac:dyDescent="0.3">
      <c r="A1474" s="11">
        <v>10275</v>
      </c>
      <c r="B1474" s="10">
        <v>38191</v>
      </c>
      <c r="C1474" s="10" t="s">
        <v>362</v>
      </c>
      <c r="D1474" s="11" t="s">
        <v>233</v>
      </c>
      <c r="E1474" s="11" t="s">
        <v>114</v>
      </c>
      <c r="F1474" s="11" t="s">
        <v>92</v>
      </c>
      <c r="G1474" s="11" t="s">
        <v>25</v>
      </c>
      <c r="H1474" s="11" t="s">
        <v>17</v>
      </c>
      <c r="I1474" s="11" t="s">
        <v>20</v>
      </c>
      <c r="J1474" s="11" t="s">
        <v>242</v>
      </c>
      <c r="K1474" s="11">
        <v>28</v>
      </c>
      <c r="L1474" s="12">
        <v>48</v>
      </c>
      <c r="M1474" s="13">
        <v>1344</v>
      </c>
      <c r="N1474" s="11" t="s">
        <v>367</v>
      </c>
      <c r="O1474" s="11" t="s">
        <v>19</v>
      </c>
      <c r="Q1474"/>
    </row>
    <row r="1475" spans="1:17" ht="15.6" x14ac:dyDescent="0.3">
      <c r="A1475" s="15">
        <v>10275</v>
      </c>
      <c r="B1475" s="14">
        <v>38191</v>
      </c>
      <c r="C1475" s="14" t="s">
        <v>362</v>
      </c>
      <c r="D1475" s="15" t="s">
        <v>233</v>
      </c>
      <c r="E1475" s="15" t="s">
        <v>114</v>
      </c>
      <c r="F1475" s="15" t="s">
        <v>92</v>
      </c>
      <c r="G1475" s="15" t="s">
        <v>25</v>
      </c>
      <c r="H1475" s="15" t="s">
        <v>17</v>
      </c>
      <c r="I1475" s="15" t="s">
        <v>20</v>
      </c>
      <c r="J1475" s="15" t="s">
        <v>242</v>
      </c>
      <c r="K1475" s="15">
        <v>38</v>
      </c>
      <c r="L1475" s="16">
        <v>48</v>
      </c>
      <c r="M1475" s="17">
        <v>1824</v>
      </c>
      <c r="N1475" s="15" t="s">
        <v>367</v>
      </c>
      <c r="O1475" s="15" t="s">
        <v>19</v>
      </c>
      <c r="Q1475"/>
    </row>
    <row r="1476" spans="1:17" ht="15.6" x14ac:dyDescent="0.3">
      <c r="A1476" s="11">
        <v>10275</v>
      </c>
      <c r="B1476" s="10">
        <v>38191</v>
      </c>
      <c r="C1476" s="10" t="s">
        <v>362</v>
      </c>
      <c r="D1476" s="11" t="s">
        <v>233</v>
      </c>
      <c r="E1476" s="11" t="s">
        <v>114</v>
      </c>
      <c r="F1476" s="11" t="s">
        <v>92</v>
      </c>
      <c r="G1476" s="11" t="s">
        <v>25</v>
      </c>
      <c r="H1476" s="11" t="s">
        <v>61</v>
      </c>
      <c r="I1476" s="11" t="s">
        <v>62</v>
      </c>
      <c r="J1476" s="11" t="s">
        <v>261</v>
      </c>
      <c r="K1476" s="11">
        <v>32</v>
      </c>
      <c r="L1476" s="12">
        <v>15</v>
      </c>
      <c r="M1476" s="13">
        <v>480</v>
      </c>
      <c r="N1476" s="11" t="s">
        <v>367</v>
      </c>
      <c r="O1476" s="11" t="s">
        <v>19</v>
      </c>
      <c r="Q1476"/>
    </row>
    <row r="1477" spans="1:17" ht="15.6" x14ac:dyDescent="0.3">
      <c r="A1477" s="15">
        <v>10275</v>
      </c>
      <c r="B1477" s="14">
        <v>38191</v>
      </c>
      <c r="C1477" s="14" t="s">
        <v>362</v>
      </c>
      <c r="D1477" s="15" t="s">
        <v>233</v>
      </c>
      <c r="E1477" s="15" t="s">
        <v>114</v>
      </c>
      <c r="F1477" s="15" t="s">
        <v>92</v>
      </c>
      <c r="G1477" s="15" t="s">
        <v>25</v>
      </c>
      <c r="H1477" s="15" t="s">
        <v>61</v>
      </c>
      <c r="I1477" s="15" t="s">
        <v>62</v>
      </c>
      <c r="J1477" s="15" t="s">
        <v>261</v>
      </c>
      <c r="K1477" s="15">
        <v>39</v>
      </c>
      <c r="L1477" s="16">
        <v>15</v>
      </c>
      <c r="M1477" s="17">
        <v>585</v>
      </c>
      <c r="N1477" s="15" t="s">
        <v>367</v>
      </c>
      <c r="O1477" s="15" t="s">
        <v>19</v>
      </c>
      <c r="Q1477"/>
    </row>
    <row r="1478" spans="1:17" ht="15.6" x14ac:dyDescent="0.3">
      <c r="A1478" s="11">
        <v>10275</v>
      </c>
      <c r="B1478" s="10">
        <v>38191</v>
      </c>
      <c r="C1478" s="10" t="s">
        <v>362</v>
      </c>
      <c r="D1478" s="11" t="s">
        <v>233</v>
      </c>
      <c r="E1478" s="11" t="s">
        <v>114</v>
      </c>
      <c r="F1478" s="11" t="s">
        <v>92</v>
      </c>
      <c r="G1478" s="11" t="s">
        <v>25</v>
      </c>
      <c r="H1478" s="11" t="s">
        <v>61</v>
      </c>
      <c r="I1478" s="11" t="s">
        <v>63</v>
      </c>
      <c r="J1478" s="11" t="s">
        <v>262</v>
      </c>
      <c r="K1478" s="11">
        <v>48</v>
      </c>
      <c r="L1478" s="12">
        <v>40</v>
      </c>
      <c r="M1478" s="13">
        <v>1920</v>
      </c>
      <c r="N1478" s="11" t="s">
        <v>367</v>
      </c>
      <c r="O1478" s="11" t="s">
        <v>19</v>
      </c>
      <c r="Q1478"/>
    </row>
    <row r="1479" spans="1:17" ht="15.6" x14ac:dyDescent="0.3">
      <c r="A1479" s="15">
        <v>10275</v>
      </c>
      <c r="B1479" s="14">
        <v>38191</v>
      </c>
      <c r="C1479" s="14" t="s">
        <v>362</v>
      </c>
      <c r="D1479" s="15" t="s">
        <v>233</v>
      </c>
      <c r="E1479" s="15" t="s">
        <v>114</v>
      </c>
      <c r="F1479" s="15" t="s">
        <v>92</v>
      </c>
      <c r="G1479" s="15" t="s">
        <v>25</v>
      </c>
      <c r="H1479" s="15" t="s">
        <v>61</v>
      </c>
      <c r="I1479" s="15" t="s">
        <v>62</v>
      </c>
      <c r="J1479" s="15" t="s">
        <v>261</v>
      </c>
      <c r="K1479" s="15">
        <v>43</v>
      </c>
      <c r="L1479" s="16">
        <v>15</v>
      </c>
      <c r="M1479" s="17">
        <v>645</v>
      </c>
      <c r="N1479" s="15" t="s">
        <v>367</v>
      </c>
      <c r="O1479" s="15" t="s">
        <v>19</v>
      </c>
      <c r="Q1479"/>
    </row>
    <row r="1480" spans="1:17" ht="15.6" x14ac:dyDescent="0.3">
      <c r="A1480" s="11">
        <v>10275</v>
      </c>
      <c r="B1480" s="10">
        <v>38191</v>
      </c>
      <c r="C1480" s="10" t="s">
        <v>362</v>
      </c>
      <c r="D1480" s="11" t="s">
        <v>233</v>
      </c>
      <c r="E1480" s="11" t="s">
        <v>114</v>
      </c>
      <c r="F1480" s="11" t="s">
        <v>92</v>
      </c>
      <c r="G1480" s="11" t="s">
        <v>25</v>
      </c>
      <c r="H1480" s="11" t="s">
        <v>61</v>
      </c>
      <c r="I1480" s="11" t="s">
        <v>62</v>
      </c>
      <c r="J1480" s="11" t="s">
        <v>261</v>
      </c>
      <c r="K1480" s="11">
        <v>31</v>
      </c>
      <c r="L1480" s="12">
        <v>15</v>
      </c>
      <c r="M1480" s="13">
        <v>465</v>
      </c>
      <c r="N1480" s="11" t="s">
        <v>367</v>
      </c>
      <c r="O1480" s="11" t="s">
        <v>19</v>
      </c>
      <c r="Q1480"/>
    </row>
    <row r="1481" spans="1:17" ht="15.6" x14ac:dyDescent="0.3">
      <c r="A1481" s="15">
        <v>10276</v>
      </c>
      <c r="B1481" s="14">
        <v>38201</v>
      </c>
      <c r="C1481" s="14" t="s">
        <v>363</v>
      </c>
      <c r="D1481" s="15" t="s">
        <v>234</v>
      </c>
      <c r="E1481" s="15" t="s">
        <v>125</v>
      </c>
      <c r="F1481" s="15" t="s">
        <v>15</v>
      </c>
      <c r="G1481" s="15" t="s">
        <v>16</v>
      </c>
      <c r="H1481" s="15" t="s">
        <v>32</v>
      </c>
      <c r="I1481" s="15" t="s">
        <v>34</v>
      </c>
      <c r="J1481" s="15" t="s">
        <v>246</v>
      </c>
      <c r="K1481" s="15">
        <v>50</v>
      </c>
      <c r="L1481" s="16">
        <v>80</v>
      </c>
      <c r="M1481" s="17">
        <v>4000</v>
      </c>
      <c r="N1481" s="15" t="s">
        <v>368</v>
      </c>
      <c r="O1481" s="15" t="s">
        <v>19</v>
      </c>
      <c r="Q1481"/>
    </row>
    <row r="1482" spans="1:17" ht="15.6" x14ac:dyDescent="0.3">
      <c r="A1482" s="11">
        <v>10276</v>
      </c>
      <c r="B1482" s="10">
        <v>38201</v>
      </c>
      <c r="C1482" s="10" t="s">
        <v>363</v>
      </c>
      <c r="D1482" s="11" t="s">
        <v>234</v>
      </c>
      <c r="E1482" s="11" t="s">
        <v>125</v>
      </c>
      <c r="F1482" s="11" t="s">
        <v>15</v>
      </c>
      <c r="G1482" s="11" t="s">
        <v>16</v>
      </c>
      <c r="H1482" s="11" t="s">
        <v>68</v>
      </c>
      <c r="I1482" s="11" t="s">
        <v>70</v>
      </c>
      <c r="J1482" s="11" t="s">
        <v>267</v>
      </c>
      <c r="K1482" s="11">
        <v>43</v>
      </c>
      <c r="L1482" s="12">
        <v>50</v>
      </c>
      <c r="M1482" s="13">
        <v>2150</v>
      </c>
      <c r="N1482" s="11" t="s">
        <v>367</v>
      </c>
      <c r="O1482" s="11" t="s">
        <v>19</v>
      </c>
      <c r="Q1482"/>
    </row>
    <row r="1483" spans="1:17" ht="15.6" x14ac:dyDescent="0.3">
      <c r="A1483" s="15">
        <v>10276</v>
      </c>
      <c r="B1483" s="14">
        <v>38201</v>
      </c>
      <c r="C1483" s="14" t="s">
        <v>363</v>
      </c>
      <c r="D1483" s="15" t="s">
        <v>234</v>
      </c>
      <c r="E1483" s="15" t="s">
        <v>125</v>
      </c>
      <c r="F1483" s="15" t="s">
        <v>15</v>
      </c>
      <c r="G1483" s="15" t="s">
        <v>16</v>
      </c>
      <c r="H1483" s="15" t="s">
        <v>32</v>
      </c>
      <c r="I1483" s="15" t="s">
        <v>33</v>
      </c>
      <c r="J1483" s="15" t="s">
        <v>245</v>
      </c>
      <c r="K1483" s="15">
        <v>47</v>
      </c>
      <c r="L1483" s="16">
        <v>85</v>
      </c>
      <c r="M1483" s="17">
        <v>3995</v>
      </c>
      <c r="N1483" s="15" t="s">
        <v>367</v>
      </c>
      <c r="O1483" s="15" t="s">
        <v>19</v>
      </c>
      <c r="Q1483"/>
    </row>
    <row r="1484" spans="1:17" ht="15.6" x14ac:dyDescent="0.3">
      <c r="A1484" s="11">
        <v>10276</v>
      </c>
      <c r="B1484" s="10">
        <v>38201</v>
      </c>
      <c r="C1484" s="10" t="s">
        <v>363</v>
      </c>
      <c r="D1484" s="11" t="s">
        <v>234</v>
      </c>
      <c r="E1484" s="11" t="s">
        <v>125</v>
      </c>
      <c r="F1484" s="11" t="s">
        <v>15</v>
      </c>
      <c r="G1484" s="11" t="s">
        <v>16</v>
      </c>
      <c r="H1484" s="11" t="s">
        <v>32</v>
      </c>
      <c r="I1484" s="11" t="s">
        <v>34</v>
      </c>
      <c r="J1484" s="11" t="s">
        <v>246</v>
      </c>
      <c r="K1484" s="11">
        <v>38</v>
      </c>
      <c r="L1484" s="12">
        <v>80</v>
      </c>
      <c r="M1484" s="13">
        <v>3040</v>
      </c>
      <c r="N1484" s="11" t="s">
        <v>367</v>
      </c>
      <c r="O1484" s="11" t="s">
        <v>19</v>
      </c>
      <c r="Q1484"/>
    </row>
    <row r="1485" spans="1:17" ht="15.6" x14ac:dyDescent="0.3">
      <c r="A1485" s="15">
        <v>10276</v>
      </c>
      <c r="B1485" s="14">
        <v>38201</v>
      </c>
      <c r="C1485" s="14" t="s">
        <v>363</v>
      </c>
      <c r="D1485" s="15" t="s">
        <v>234</v>
      </c>
      <c r="E1485" s="15" t="s">
        <v>125</v>
      </c>
      <c r="F1485" s="15" t="s">
        <v>15</v>
      </c>
      <c r="G1485" s="15" t="s">
        <v>16</v>
      </c>
      <c r="H1485" s="15" t="s">
        <v>32</v>
      </c>
      <c r="I1485" s="15" t="s">
        <v>33</v>
      </c>
      <c r="J1485" s="15" t="s">
        <v>245</v>
      </c>
      <c r="K1485" s="15">
        <v>38</v>
      </c>
      <c r="L1485" s="16">
        <v>85</v>
      </c>
      <c r="M1485" s="17">
        <v>3230</v>
      </c>
      <c r="N1485" s="15" t="s">
        <v>367</v>
      </c>
      <c r="O1485" s="15" t="s">
        <v>19</v>
      </c>
      <c r="Q1485"/>
    </row>
    <row r="1486" spans="1:17" ht="15.6" x14ac:dyDescent="0.3">
      <c r="A1486" s="11">
        <v>10276</v>
      </c>
      <c r="B1486" s="10">
        <v>38201</v>
      </c>
      <c r="C1486" s="10" t="s">
        <v>363</v>
      </c>
      <c r="D1486" s="11" t="s">
        <v>234</v>
      </c>
      <c r="E1486" s="11" t="s">
        <v>125</v>
      </c>
      <c r="F1486" s="11" t="s">
        <v>15</v>
      </c>
      <c r="G1486" s="11" t="s">
        <v>16</v>
      </c>
      <c r="H1486" s="11" t="s">
        <v>32</v>
      </c>
      <c r="I1486" s="11" t="s">
        <v>46</v>
      </c>
      <c r="J1486" s="11" t="s">
        <v>254</v>
      </c>
      <c r="K1486" s="11">
        <v>30</v>
      </c>
      <c r="L1486" s="12">
        <v>90</v>
      </c>
      <c r="M1486" s="13">
        <v>2700</v>
      </c>
      <c r="N1486" s="11" t="s">
        <v>367</v>
      </c>
      <c r="O1486" s="11" t="s">
        <v>19</v>
      </c>
      <c r="Q1486"/>
    </row>
    <row r="1487" spans="1:17" ht="15.6" x14ac:dyDescent="0.3">
      <c r="A1487" s="15">
        <v>10276</v>
      </c>
      <c r="B1487" s="14">
        <v>38201</v>
      </c>
      <c r="C1487" s="14" t="s">
        <v>363</v>
      </c>
      <c r="D1487" s="15" t="s">
        <v>234</v>
      </c>
      <c r="E1487" s="15" t="s">
        <v>125</v>
      </c>
      <c r="F1487" s="15" t="s">
        <v>15</v>
      </c>
      <c r="G1487" s="15" t="s">
        <v>16</v>
      </c>
      <c r="H1487" s="15" t="s">
        <v>68</v>
      </c>
      <c r="I1487" s="15" t="s">
        <v>70</v>
      </c>
      <c r="J1487" s="15" t="s">
        <v>267</v>
      </c>
      <c r="K1487" s="15">
        <v>33</v>
      </c>
      <c r="L1487" s="16">
        <v>50</v>
      </c>
      <c r="M1487" s="17">
        <v>1650</v>
      </c>
      <c r="N1487" s="15" t="s">
        <v>367</v>
      </c>
      <c r="O1487" s="15" t="s">
        <v>19</v>
      </c>
      <c r="Q1487"/>
    </row>
    <row r="1488" spans="1:17" ht="15.6" x14ac:dyDescent="0.3">
      <c r="A1488" s="11">
        <v>10276</v>
      </c>
      <c r="B1488" s="10">
        <v>38201</v>
      </c>
      <c r="C1488" s="10" t="s">
        <v>363</v>
      </c>
      <c r="D1488" s="11" t="s">
        <v>234</v>
      </c>
      <c r="E1488" s="11" t="s">
        <v>125</v>
      </c>
      <c r="F1488" s="11" t="s">
        <v>15</v>
      </c>
      <c r="G1488" s="11" t="s">
        <v>16</v>
      </c>
      <c r="H1488" s="11" t="s">
        <v>32</v>
      </c>
      <c r="I1488" s="11" t="s">
        <v>46</v>
      </c>
      <c r="J1488" s="11" t="s">
        <v>254</v>
      </c>
      <c r="K1488" s="11">
        <v>48</v>
      </c>
      <c r="L1488" s="12">
        <v>90</v>
      </c>
      <c r="M1488" s="13">
        <v>4320</v>
      </c>
      <c r="N1488" s="11" t="s">
        <v>367</v>
      </c>
      <c r="O1488" s="11" t="s">
        <v>19</v>
      </c>
      <c r="Q1488"/>
    </row>
    <row r="1489" spans="1:17" ht="15.6" x14ac:dyDescent="0.3">
      <c r="A1489" s="15">
        <v>10276</v>
      </c>
      <c r="B1489" s="14">
        <v>38201</v>
      </c>
      <c r="C1489" s="14" t="s">
        <v>363</v>
      </c>
      <c r="D1489" s="15" t="s">
        <v>234</v>
      </c>
      <c r="E1489" s="15" t="s">
        <v>125</v>
      </c>
      <c r="F1489" s="15" t="s">
        <v>15</v>
      </c>
      <c r="G1489" s="15" t="s">
        <v>16</v>
      </c>
      <c r="H1489" s="15" t="s">
        <v>68</v>
      </c>
      <c r="I1489" s="15" t="s">
        <v>70</v>
      </c>
      <c r="J1489" s="15" t="s">
        <v>267</v>
      </c>
      <c r="K1489" s="15">
        <v>46</v>
      </c>
      <c r="L1489" s="16">
        <v>50</v>
      </c>
      <c r="M1489" s="17">
        <v>2300</v>
      </c>
      <c r="N1489" s="15" t="s">
        <v>367</v>
      </c>
      <c r="O1489" s="15" t="s">
        <v>19</v>
      </c>
      <c r="Q1489"/>
    </row>
    <row r="1490" spans="1:17" ht="15.6" x14ac:dyDescent="0.3">
      <c r="A1490" s="11">
        <v>10276</v>
      </c>
      <c r="B1490" s="10">
        <v>38201</v>
      </c>
      <c r="C1490" s="10" t="s">
        <v>363</v>
      </c>
      <c r="D1490" s="11" t="s">
        <v>234</v>
      </c>
      <c r="E1490" s="11" t="s">
        <v>125</v>
      </c>
      <c r="F1490" s="11" t="s">
        <v>15</v>
      </c>
      <c r="G1490" s="11" t="s">
        <v>16</v>
      </c>
      <c r="H1490" s="11" t="s">
        <v>32</v>
      </c>
      <c r="I1490" s="11" t="s">
        <v>46</v>
      </c>
      <c r="J1490" s="11" t="s">
        <v>254</v>
      </c>
      <c r="K1490" s="11">
        <v>20</v>
      </c>
      <c r="L1490" s="12">
        <v>90</v>
      </c>
      <c r="M1490" s="13">
        <v>1800</v>
      </c>
      <c r="N1490" s="11" t="s">
        <v>367</v>
      </c>
      <c r="O1490" s="11" t="s">
        <v>19</v>
      </c>
      <c r="Q1490"/>
    </row>
    <row r="1491" spans="1:17" ht="15.6" x14ac:dyDescent="0.3">
      <c r="A1491" s="15">
        <v>10276</v>
      </c>
      <c r="B1491" s="14">
        <v>38201</v>
      </c>
      <c r="C1491" s="14" t="s">
        <v>363</v>
      </c>
      <c r="D1491" s="15" t="s">
        <v>234</v>
      </c>
      <c r="E1491" s="15" t="s">
        <v>125</v>
      </c>
      <c r="F1491" s="15" t="s">
        <v>15</v>
      </c>
      <c r="G1491" s="15" t="s">
        <v>16</v>
      </c>
      <c r="H1491" s="15" t="s">
        <v>32</v>
      </c>
      <c r="I1491" s="15" t="s">
        <v>34</v>
      </c>
      <c r="J1491" s="15" t="s">
        <v>246</v>
      </c>
      <c r="K1491" s="15">
        <v>48</v>
      </c>
      <c r="L1491" s="16">
        <v>80</v>
      </c>
      <c r="M1491" s="17">
        <v>3840</v>
      </c>
      <c r="N1491" s="15" t="s">
        <v>367</v>
      </c>
      <c r="O1491" s="15" t="s">
        <v>19</v>
      </c>
      <c r="Q1491"/>
    </row>
    <row r="1492" spans="1:17" ht="15.6" x14ac:dyDescent="0.3">
      <c r="A1492" s="11">
        <v>10276</v>
      </c>
      <c r="B1492" s="10">
        <v>38201</v>
      </c>
      <c r="C1492" s="10" t="s">
        <v>363</v>
      </c>
      <c r="D1492" s="11" t="s">
        <v>234</v>
      </c>
      <c r="E1492" s="11" t="s">
        <v>125</v>
      </c>
      <c r="F1492" s="11" t="s">
        <v>15</v>
      </c>
      <c r="G1492" s="11" t="s">
        <v>16</v>
      </c>
      <c r="H1492" s="11" t="s">
        <v>68</v>
      </c>
      <c r="I1492" s="11" t="s">
        <v>76</v>
      </c>
      <c r="J1492" s="11" t="s">
        <v>269</v>
      </c>
      <c r="K1492" s="11">
        <v>27</v>
      </c>
      <c r="L1492" s="12">
        <v>30</v>
      </c>
      <c r="M1492" s="13">
        <v>810</v>
      </c>
      <c r="N1492" s="11" t="s">
        <v>367</v>
      </c>
      <c r="O1492" s="11" t="s">
        <v>19</v>
      </c>
      <c r="Q1492"/>
    </row>
    <row r="1493" spans="1:17" ht="15.6" x14ac:dyDescent="0.3">
      <c r="A1493" s="15">
        <v>10276</v>
      </c>
      <c r="B1493" s="14">
        <v>38201</v>
      </c>
      <c r="C1493" s="14" t="s">
        <v>363</v>
      </c>
      <c r="D1493" s="15" t="s">
        <v>234</v>
      </c>
      <c r="E1493" s="15" t="s">
        <v>125</v>
      </c>
      <c r="F1493" s="15" t="s">
        <v>15</v>
      </c>
      <c r="G1493" s="15" t="s">
        <v>16</v>
      </c>
      <c r="H1493" s="15" t="s">
        <v>68</v>
      </c>
      <c r="I1493" s="15" t="s">
        <v>69</v>
      </c>
      <c r="J1493" s="15" t="s">
        <v>266</v>
      </c>
      <c r="K1493" s="15">
        <v>38</v>
      </c>
      <c r="L1493" s="16">
        <v>25</v>
      </c>
      <c r="M1493" s="17">
        <v>950</v>
      </c>
      <c r="N1493" s="15" t="s">
        <v>367</v>
      </c>
      <c r="O1493" s="15" t="s">
        <v>19</v>
      </c>
      <c r="Q1493"/>
    </row>
    <row r="1494" spans="1:17" ht="15.6" x14ac:dyDescent="0.3">
      <c r="A1494" s="11">
        <v>10276</v>
      </c>
      <c r="B1494" s="10">
        <v>38201</v>
      </c>
      <c r="C1494" s="10" t="s">
        <v>363</v>
      </c>
      <c r="D1494" s="11" t="s">
        <v>234</v>
      </c>
      <c r="E1494" s="11" t="s">
        <v>125</v>
      </c>
      <c r="F1494" s="11" t="s">
        <v>15</v>
      </c>
      <c r="G1494" s="11" t="s">
        <v>16</v>
      </c>
      <c r="H1494" s="11" t="s">
        <v>68</v>
      </c>
      <c r="I1494" s="11" t="s">
        <v>70</v>
      </c>
      <c r="J1494" s="11" t="s">
        <v>267</v>
      </c>
      <c r="K1494" s="11">
        <v>21</v>
      </c>
      <c r="L1494" s="12">
        <v>50</v>
      </c>
      <c r="M1494" s="13">
        <v>1050</v>
      </c>
      <c r="N1494" s="11" t="s">
        <v>367</v>
      </c>
      <c r="O1494" s="11" t="s">
        <v>19</v>
      </c>
      <c r="Q1494"/>
    </row>
    <row r="1495" spans="1:17" ht="15.6" x14ac:dyDescent="0.3">
      <c r="A1495" s="15">
        <v>10277</v>
      </c>
      <c r="B1495" s="14">
        <v>38203</v>
      </c>
      <c r="C1495" s="14" t="s">
        <v>292</v>
      </c>
      <c r="D1495" s="15" t="s">
        <v>97</v>
      </c>
      <c r="E1495" s="15" t="s">
        <v>98</v>
      </c>
      <c r="F1495" s="15" t="s">
        <v>98</v>
      </c>
      <c r="G1495" s="15" t="s">
        <v>74</v>
      </c>
      <c r="H1495" s="15" t="s">
        <v>32</v>
      </c>
      <c r="I1495" s="15" t="s">
        <v>33</v>
      </c>
      <c r="J1495" s="15" t="s">
        <v>245</v>
      </c>
      <c r="K1495" s="15">
        <v>28</v>
      </c>
      <c r="L1495" s="16">
        <v>85</v>
      </c>
      <c r="M1495" s="17">
        <v>2380</v>
      </c>
      <c r="N1495" s="15" t="s">
        <v>367</v>
      </c>
      <c r="O1495" s="15" t="s">
        <v>19</v>
      </c>
      <c r="Q1495"/>
    </row>
    <row r="1496" spans="1:17" ht="15.6" x14ac:dyDescent="0.3">
      <c r="A1496" s="11">
        <v>10278</v>
      </c>
      <c r="B1496" s="10">
        <v>38205</v>
      </c>
      <c r="C1496" s="10" t="s">
        <v>299</v>
      </c>
      <c r="D1496" s="11" t="s">
        <v>115</v>
      </c>
      <c r="E1496" s="11" t="s">
        <v>116</v>
      </c>
      <c r="F1496" s="11" t="s">
        <v>15</v>
      </c>
      <c r="G1496" s="11" t="s">
        <v>16</v>
      </c>
      <c r="H1496" s="11" t="s">
        <v>32</v>
      </c>
      <c r="I1496" s="11" t="s">
        <v>45</v>
      </c>
      <c r="J1496" s="11" t="s">
        <v>253</v>
      </c>
      <c r="K1496" s="11">
        <v>34</v>
      </c>
      <c r="L1496" s="12">
        <v>35</v>
      </c>
      <c r="M1496" s="13">
        <v>1190</v>
      </c>
      <c r="N1496" s="11" t="s">
        <v>367</v>
      </c>
      <c r="O1496" s="11" t="s">
        <v>19</v>
      </c>
      <c r="Q1496"/>
    </row>
    <row r="1497" spans="1:17" ht="15.6" x14ac:dyDescent="0.3">
      <c r="A1497" s="15">
        <v>10278</v>
      </c>
      <c r="B1497" s="14">
        <v>38205</v>
      </c>
      <c r="C1497" s="14" t="s">
        <v>299</v>
      </c>
      <c r="D1497" s="15" t="s">
        <v>115</v>
      </c>
      <c r="E1497" s="15" t="s">
        <v>116</v>
      </c>
      <c r="F1497" s="15" t="s">
        <v>15</v>
      </c>
      <c r="G1497" s="15" t="s">
        <v>16</v>
      </c>
      <c r="H1497" s="15" t="s">
        <v>32</v>
      </c>
      <c r="I1497" s="15" t="s">
        <v>33</v>
      </c>
      <c r="J1497" s="15" t="s">
        <v>245</v>
      </c>
      <c r="K1497" s="15">
        <v>23</v>
      </c>
      <c r="L1497" s="16">
        <v>85</v>
      </c>
      <c r="M1497" s="17">
        <v>1955</v>
      </c>
      <c r="N1497" s="15" t="s">
        <v>367</v>
      </c>
      <c r="O1497" s="15" t="s">
        <v>19</v>
      </c>
      <c r="Q1497"/>
    </row>
    <row r="1498" spans="1:17" ht="15.6" x14ac:dyDescent="0.3">
      <c r="A1498" s="11">
        <v>10278</v>
      </c>
      <c r="B1498" s="10">
        <v>38205</v>
      </c>
      <c r="C1498" s="10" t="s">
        <v>299</v>
      </c>
      <c r="D1498" s="11" t="s">
        <v>115</v>
      </c>
      <c r="E1498" s="11" t="s">
        <v>116</v>
      </c>
      <c r="F1498" s="11" t="s">
        <v>15</v>
      </c>
      <c r="G1498" s="11" t="s">
        <v>16</v>
      </c>
      <c r="H1498" s="11" t="s">
        <v>32</v>
      </c>
      <c r="I1498" s="11" t="s">
        <v>33</v>
      </c>
      <c r="J1498" s="11" t="s">
        <v>245</v>
      </c>
      <c r="K1498" s="11">
        <v>29</v>
      </c>
      <c r="L1498" s="12">
        <v>85</v>
      </c>
      <c r="M1498" s="13">
        <v>2465</v>
      </c>
      <c r="N1498" s="11" t="s">
        <v>367</v>
      </c>
      <c r="O1498" s="11" t="s">
        <v>19</v>
      </c>
      <c r="Q1498"/>
    </row>
    <row r="1499" spans="1:17" ht="15.6" x14ac:dyDescent="0.3">
      <c r="A1499" s="15">
        <v>10278</v>
      </c>
      <c r="B1499" s="14">
        <v>38205</v>
      </c>
      <c r="C1499" s="14" t="s">
        <v>299</v>
      </c>
      <c r="D1499" s="15" t="s">
        <v>115</v>
      </c>
      <c r="E1499" s="15" t="s">
        <v>116</v>
      </c>
      <c r="F1499" s="15" t="s">
        <v>15</v>
      </c>
      <c r="G1499" s="15" t="s">
        <v>16</v>
      </c>
      <c r="H1499" s="15" t="s">
        <v>32</v>
      </c>
      <c r="I1499" s="15" t="s">
        <v>34</v>
      </c>
      <c r="J1499" s="15" t="s">
        <v>246</v>
      </c>
      <c r="K1499" s="15">
        <v>29</v>
      </c>
      <c r="L1499" s="16">
        <v>80</v>
      </c>
      <c r="M1499" s="17">
        <v>2320</v>
      </c>
      <c r="N1499" s="15" t="s">
        <v>367</v>
      </c>
      <c r="O1499" s="15" t="s">
        <v>19</v>
      </c>
      <c r="Q1499"/>
    </row>
    <row r="1500" spans="1:17" ht="15.6" x14ac:dyDescent="0.3">
      <c r="A1500" s="11">
        <v>10278</v>
      </c>
      <c r="B1500" s="10">
        <v>38205</v>
      </c>
      <c r="C1500" s="10" t="s">
        <v>299</v>
      </c>
      <c r="D1500" s="11" t="s">
        <v>115</v>
      </c>
      <c r="E1500" s="11" t="s">
        <v>116</v>
      </c>
      <c r="F1500" s="11" t="s">
        <v>15</v>
      </c>
      <c r="G1500" s="11" t="s">
        <v>16</v>
      </c>
      <c r="H1500" s="11" t="s">
        <v>32</v>
      </c>
      <c r="I1500" s="11" t="s">
        <v>33</v>
      </c>
      <c r="J1500" s="11" t="s">
        <v>245</v>
      </c>
      <c r="K1500" s="11">
        <v>39</v>
      </c>
      <c r="L1500" s="12">
        <v>85</v>
      </c>
      <c r="M1500" s="13">
        <v>3315</v>
      </c>
      <c r="N1500" s="11" t="s">
        <v>367</v>
      </c>
      <c r="O1500" s="11" t="s">
        <v>19</v>
      </c>
      <c r="Q1500"/>
    </row>
    <row r="1501" spans="1:17" ht="15.6" x14ac:dyDescent="0.3">
      <c r="A1501" s="15">
        <v>10278</v>
      </c>
      <c r="B1501" s="14">
        <v>38205</v>
      </c>
      <c r="C1501" s="14" t="s">
        <v>299</v>
      </c>
      <c r="D1501" s="15" t="s">
        <v>115</v>
      </c>
      <c r="E1501" s="15" t="s">
        <v>116</v>
      </c>
      <c r="F1501" s="15" t="s">
        <v>15</v>
      </c>
      <c r="G1501" s="15" t="s">
        <v>16</v>
      </c>
      <c r="H1501" s="15" t="s">
        <v>32</v>
      </c>
      <c r="I1501" s="15" t="s">
        <v>44</v>
      </c>
      <c r="J1501" s="15" t="s">
        <v>252</v>
      </c>
      <c r="K1501" s="15">
        <v>42</v>
      </c>
      <c r="L1501" s="16">
        <v>55</v>
      </c>
      <c r="M1501" s="17">
        <v>2310</v>
      </c>
      <c r="N1501" s="15" t="s">
        <v>367</v>
      </c>
      <c r="O1501" s="15" t="s">
        <v>19</v>
      </c>
      <c r="Q1501"/>
    </row>
    <row r="1502" spans="1:17" ht="15.6" x14ac:dyDescent="0.3">
      <c r="A1502" s="11">
        <v>10278</v>
      </c>
      <c r="B1502" s="10">
        <v>38205</v>
      </c>
      <c r="C1502" s="10" t="s">
        <v>299</v>
      </c>
      <c r="D1502" s="11" t="s">
        <v>115</v>
      </c>
      <c r="E1502" s="11" t="s">
        <v>116</v>
      </c>
      <c r="F1502" s="11" t="s">
        <v>15</v>
      </c>
      <c r="G1502" s="11" t="s">
        <v>16</v>
      </c>
      <c r="H1502" s="11" t="s">
        <v>32</v>
      </c>
      <c r="I1502" s="11" t="s">
        <v>34</v>
      </c>
      <c r="J1502" s="11" t="s">
        <v>246</v>
      </c>
      <c r="K1502" s="11">
        <v>31</v>
      </c>
      <c r="L1502" s="12">
        <v>80</v>
      </c>
      <c r="M1502" s="13">
        <v>2480</v>
      </c>
      <c r="N1502" s="11" t="s">
        <v>367</v>
      </c>
      <c r="O1502" s="11" t="s">
        <v>19</v>
      </c>
      <c r="Q1502"/>
    </row>
    <row r="1503" spans="1:17" ht="15.6" x14ac:dyDescent="0.3">
      <c r="A1503" s="15">
        <v>10278</v>
      </c>
      <c r="B1503" s="14">
        <v>38205</v>
      </c>
      <c r="C1503" s="14" t="s">
        <v>299</v>
      </c>
      <c r="D1503" s="15" t="s">
        <v>115</v>
      </c>
      <c r="E1503" s="15" t="s">
        <v>116</v>
      </c>
      <c r="F1503" s="15" t="s">
        <v>15</v>
      </c>
      <c r="G1503" s="15" t="s">
        <v>16</v>
      </c>
      <c r="H1503" s="15" t="s">
        <v>32</v>
      </c>
      <c r="I1503" s="15" t="s">
        <v>33</v>
      </c>
      <c r="J1503" s="15" t="s">
        <v>245</v>
      </c>
      <c r="K1503" s="15">
        <v>35</v>
      </c>
      <c r="L1503" s="16">
        <v>85</v>
      </c>
      <c r="M1503" s="17">
        <v>2975</v>
      </c>
      <c r="N1503" s="15" t="s">
        <v>367</v>
      </c>
      <c r="O1503" s="15" t="s">
        <v>19</v>
      </c>
      <c r="Q1503"/>
    </row>
    <row r="1504" spans="1:17" ht="15.6" x14ac:dyDescent="0.3">
      <c r="A1504" s="11">
        <v>10278</v>
      </c>
      <c r="B1504" s="10">
        <v>38205</v>
      </c>
      <c r="C1504" s="10" t="s">
        <v>299</v>
      </c>
      <c r="D1504" s="11" t="s">
        <v>115</v>
      </c>
      <c r="E1504" s="11" t="s">
        <v>116</v>
      </c>
      <c r="F1504" s="11" t="s">
        <v>15</v>
      </c>
      <c r="G1504" s="11" t="s">
        <v>16</v>
      </c>
      <c r="H1504" s="11" t="s">
        <v>32</v>
      </c>
      <c r="I1504" s="11" t="s">
        <v>34</v>
      </c>
      <c r="J1504" s="11" t="s">
        <v>246</v>
      </c>
      <c r="K1504" s="11">
        <v>31</v>
      </c>
      <c r="L1504" s="12">
        <v>80</v>
      </c>
      <c r="M1504" s="13">
        <v>2480</v>
      </c>
      <c r="N1504" s="11" t="s">
        <v>367</v>
      </c>
      <c r="O1504" s="11" t="s">
        <v>19</v>
      </c>
      <c r="Q1504"/>
    </row>
    <row r="1505" spans="1:17" ht="15.6" x14ac:dyDescent="0.3">
      <c r="A1505" s="15">
        <v>10278</v>
      </c>
      <c r="B1505" s="14">
        <v>38205</v>
      </c>
      <c r="C1505" s="14" t="s">
        <v>299</v>
      </c>
      <c r="D1505" s="15" t="s">
        <v>115</v>
      </c>
      <c r="E1505" s="15" t="s">
        <v>116</v>
      </c>
      <c r="F1505" s="15" t="s">
        <v>15</v>
      </c>
      <c r="G1505" s="15" t="s">
        <v>16</v>
      </c>
      <c r="H1505" s="15" t="s">
        <v>32</v>
      </c>
      <c r="I1505" s="15" t="s">
        <v>46</v>
      </c>
      <c r="J1505" s="15" t="s">
        <v>254</v>
      </c>
      <c r="K1505" s="15">
        <v>25</v>
      </c>
      <c r="L1505" s="16">
        <v>90</v>
      </c>
      <c r="M1505" s="17">
        <v>2250</v>
      </c>
      <c r="N1505" s="15" t="s">
        <v>367</v>
      </c>
      <c r="O1505" s="15" t="s">
        <v>19</v>
      </c>
      <c r="Q1505"/>
    </row>
    <row r="1506" spans="1:17" ht="15.6" x14ac:dyDescent="0.3">
      <c r="A1506" s="11">
        <v>10279</v>
      </c>
      <c r="B1506" s="10">
        <v>38208</v>
      </c>
      <c r="C1506" s="10" t="s">
        <v>279</v>
      </c>
      <c r="D1506" s="11" t="s">
        <v>41</v>
      </c>
      <c r="E1506" s="11" t="s">
        <v>42</v>
      </c>
      <c r="F1506" s="11" t="s">
        <v>43</v>
      </c>
      <c r="G1506" s="11" t="s">
        <v>25</v>
      </c>
      <c r="H1506" s="11" t="s">
        <v>32</v>
      </c>
      <c r="I1506" s="11" t="s">
        <v>44</v>
      </c>
      <c r="J1506" s="11" t="s">
        <v>252</v>
      </c>
      <c r="K1506" s="11">
        <v>26</v>
      </c>
      <c r="L1506" s="12">
        <v>55</v>
      </c>
      <c r="M1506" s="13">
        <v>1430</v>
      </c>
      <c r="N1506" s="11" t="s">
        <v>367</v>
      </c>
      <c r="O1506" s="11" t="s">
        <v>19</v>
      </c>
      <c r="Q1506"/>
    </row>
    <row r="1507" spans="1:17" ht="15.6" x14ac:dyDescent="0.3">
      <c r="A1507" s="15">
        <v>10279</v>
      </c>
      <c r="B1507" s="14">
        <v>38208</v>
      </c>
      <c r="C1507" s="14" t="s">
        <v>279</v>
      </c>
      <c r="D1507" s="15" t="s">
        <v>41</v>
      </c>
      <c r="E1507" s="15" t="s">
        <v>42</v>
      </c>
      <c r="F1507" s="15" t="s">
        <v>43</v>
      </c>
      <c r="G1507" s="15" t="s">
        <v>25</v>
      </c>
      <c r="H1507" s="15" t="s">
        <v>32</v>
      </c>
      <c r="I1507" s="15" t="s">
        <v>33</v>
      </c>
      <c r="J1507" s="15" t="s">
        <v>245</v>
      </c>
      <c r="K1507" s="15">
        <v>32</v>
      </c>
      <c r="L1507" s="16">
        <v>85</v>
      </c>
      <c r="M1507" s="17">
        <v>2720</v>
      </c>
      <c r="N1507" s="15" t="s">
        <v>367</v>
      </c>
      <c r="O1507" s="15" t="s">
        <v>19</v>
      </c>
      <c r="Q1507"/>
    </row>
    <row r="1508" spans="1:17" ht="15.6" x14ac:dyDescent="0.3">
      <c r="A1508" s="11">
        <v>10279</v>
      </c>
      <c r="B1508" s="10">
        <v>38208</v>
      </c>
      <c r="C1508" s="10" t="s">
        <v>279</v>
      </c>
      <c r="D1508" s="11" t="s">
        <v>41</v>
      </c>
      <c r="E1508" s="11" t="s">
        <v>42</v>
      </c>
      <c r="F1508" s="11" t="s">
        <v>43</v>
      </c>
      <c r="G1508" s="11" t="s">
        <v>25</v>
      </c>
      <c r="H1508" s="11" t="s">
        <v>32</v>
      </c>
      <c r="I1508" s="11" t="s">
        <v>45</v>
      </c>
      <c r="J1508" s="11" t="s">
        <v>253</v>
      </c>
      <c r="K1508" s="11">
        <v>49</v>
      </c>
      <c r="L1508" s="12">
        <v>35</v>
      </c>
      <c r="M1508" s="13">
        <v>1715</v>
      </c>
      <c r="N1508" s="11" t="s">
        <v>367</v>
      </c>
      <c r="O1508" s="11" t="s">
        <v>19</v>
      </c>
      <c r="Q1508"/>
    </row>
    <row r="1509" spans="1:17" ht="15.6" x14ac:dyDescent="0.3">
      <c r="A1509" s="15">
        <v>10279</v>
      </c>
      <c r="B1509" s="14">
        <v>38208</v>
      </c>
      <c r="C1509" s="14" t="s">
        <v>279</v>
      </c>
      <c r="D1509" s="15" t="s">
        <v>41</v>
      </c>
      <c r="E1509" s="15" t="s">
        <v>42</v>
      </c>
      <c r="F1509" s="15" t="s">
        <v>43</v>
      </c>
      <c r="G1509" s="15" t="s">
        <v>25</v>
      </c>
      <c r="H1509" s="15" t="s">
        <v>32</v>
      </c>
      <c r="I1509" s="15" t="s">
        <v>44</v>
      </c>
      <c r="J1509" s="15" t="s">
        <v>252</v>
      </c>
      <c r="K1509" s="15">
        <v>48</v>
      </c>
      <c r="L1509" s="16">
        <v>55</v>
      </c>
      <c r="M1509" s="17">
        <v>2640</v>
      </c>
      <c r="N1509" s="15" t="s">
        <v>367</v>
      </c>
      <c r="O1509" s="15" t="s">
        <v>19</v>
      </c>
      <c r="Q1509"/>
    </row>
    <row r="1510" spans="1:17" ht="15.6" x14ac:dyDescent="0.3">
      <c r="A1510" s="11">
        <v>10279</v>
      </c>
      <c r="B1510" s="10">
        <v>38208</v>
      </c>
      <c r="C1510" s="10" t="s">
        <v>279</v>
      </c>
      <c r="D1510" s="11" t="s">
        <v>41</v>
      </c>
      <c r="E1510" s="11" t="s">
        <v>42</v>
      </c>
      <c r="F1510" s="11" t="s">
        <v>43</v>
      </c>
      <c r="G1510" s="11" t="s">
        <v>25</v>
      </c>
      <c r="H1510" s="11" t="s">
        <v>32</v>
      </c>
      <c r="I1510" s="11" t="s">
        <v>46</v>
      </c>
      <c r="J1510" s="11" t="s">
        <v>254</v>
      </c>
      <c r="K1510" s="11">
        <v>33</v>
      </c>
      <c r="L1510" s="12">
        <v>90</v>
      </c>
      <c r="M1510" s="13">
        <v>2970</v>
      </c>
      <c r="N1510" s="11" t="s">
        <v>367</v>
      </c>
      <c r="O1510" s="11" t="s">
        <v>19</v>
      </c>
      <c r="Q1510"/>
    </row>
    <row r="1511" spans="1:17" ht="15.6" x14ac:dyDescent="0.3">
      <c r="A1511" s="15">
        <v>10279</v>
      </c>
      <c r="B1511" s="14">
        <v>38208</v>
      </c>
      <c r="C1511" s="14" t="s">
        <v>279</v>
      </c>
      <c r="D1511" s="15" t="s">
        <v>41</v>
      </c>
      <c r="E1511" s="15" t="s">
        <v>42</v>
      </c>
      <c r="F1511" s="15" t="s">
        <v>43</v>
      </c>
      <c r="G1511" s="15" t="s">
        <v>25</v>
      </c>
      <c r="H1511" s="15" t="s">
        <v>32</v>
      </c>
      <c r="I1511" s="15" t="s">
        <v>34</v>
      </c>
      <c r="J1511" s="15" t="s">
        <v>246</v>
      </c>
      <c r="K1511" s="15">
        <v>48</v>
      </c>
      <c r="L1511" s="16">
        <v>80</v>
      </c>
      <c r="M1511" s="17">
        <v>3840</v>
      </c>
      <c r="N1511" s="15" t="s">
        <v>367</v>
      </c>
      <c r="O1511" s="15" t="s">
        <v>19</v>
      </c>
      <c r="Q1511"/>
    </row>
    <row r="1512" spans="1:17" ht="15.6" x14ac:dyDescent="0.3">
      <c r="A1512" s="11">
        <v>10280</v>
      </c>
      <c r="B1512" s="10">
        <v>38216</v>
      </c>
      <c r="C1512" s="10" t="s">
        <v>364</v>
      </c>
      <c r="D1512" s="11" t="s">
        <v>235</v>
      </c>
      <c r="E1512" s="11" t="s">
        <v>236</v>
      </c>
      <c r="F1512" s="11" t="s">
        <v>60</v>
      </c>
      <c r="G1512" s="11" t="s">
        <v>25</v>
      </c>
      <c r="H1512" s="11" t="s">
        <v>32</v>
      </c>
      <c r="I1512" s="11" t="s">
        <v>33</v>
      </c>
      <c r="J1512" s="11" t="s">
        <v>245</v>
      </c>
      <c r="K1512" s="11">
        <v>34</v>
      </c>
      <c r="L1512" s="12">
        <v>85</v>
      </c>
      <c r="M1512" s="13">
        <v>2890</v>
      </c>
      <c r="N1512" s="11" t="s">
        <v>367</v>
      </c>
      <c r="O1512" s="11" t="s">
        <v>19</v>
      </c>
      <c r="Q1512"/>
    </row>
    <row r="1513" spans="1:17" ht="15.6" x14ac:dyDescent="0.3">
      <c r="A1513" s="15">
        <v>10280</v>
      </c>
      <c r="B1513" s="14">
        <v>38216</v>
      </c>
      <c r="C1513" s="14" t="s">
        <v>364</v>
      </c>
      <c r="D1513" s="15" t="s">
        <v>235</v>
      </c>
      <c r="E1513" s="15" t="s">
        <v>236</v>
      </c>
      <c r="F1513" s="15" t="s">
        <v>60</v>
      </c>
      <c r="G1513" s="15" t="s">
        <v>25</v>
      </c>
      <c r="H1513" s="15" t="s">
        <v>35</v>
      </c>
      <c r="I1513" s="15" t="s">
        <v>40</v>
      </c>
      <c r="J1513" s="15" t="s">
        <v>251</v>
      </c>
      <c r="K1513" s="15">
        <v>24</v>
      </c>
      <c r="L1513" s="16">
        <v>25</v>
      </c>
      <c r="M1513" s="17">
        <v>600</v>
      </c>
      <c r="N1513" s="15" t="s">
        <v>367</v>
      </c>
      <c r="O1513" s="15" t="s">
        <v>19</v>
      </c>
      <c r="Q1513"/>
    </row>
    <row r="1514" spans="1:17" ht="15.6" x14ac:dyDescent="0.3">
      <c r="A1514" s="11">
        <v>10280</v>
      </c>
      <c r="B1514" s="10">
        <v>38216</v>
      </c>
      <c r="C1514" s="10" t="s">
        <v>364</v>
      </c>
      <c r="D1514" s="11" t="s">
        <v>235</v>
      </c>
      <c r="E1514" s="11" t="s">
        <v>236</v>
      </c>
      <c r="F1514" s="11" t="s">
        <v>60</v>
      </c>
      <c r="G1514" s="11" t="s">
        <v>25</v>
      </c>
      <c r="H1514" s="11" t="s">
        <v>17</v>
      </c>
      <c r="I1514" s="11" t="s">
        <v>26</v>
      </c>
      <c r="J1514" s="11" t="s">
        <v>244</v>
      </c>
      <c r="K1514" s="11">
        <v>50</v>
      </c>
      <c r="L1514" s="12">
        <v>60</v>
      </c>
      <c r="M1514" s="13">
        <v>3000</v>
      </c>
      <c r="N1514" s="11" t="s">
        <v>368</v>
      </c>
      <c r="O1514" s="11" t="s">
        <v>19</v>
      </c>
      <c r="Q1514"/>
    </row>
    <row r="1515" spans="1:17" ht="15.6" x14ac:dyDescent="0.3">
      <c r="A1515" s="15">
        <v>10280</v>
      </c>
      <c r="B1515" s="14">
        <v>38216</v>
      </c>
      <c r="C1515" s="14" t="s">
        <v>364</v>
      </c>
      <c r="D1515" s="15" t="s">
        <v>235</v>
      </c>
      <c r="E1515" s="15" t="s">
        <v>236</v>
      </c>
      <c r="F1515" s="15" t="s">
        <v>60</v>
      </c>
      <c r="G1515" s="15" t="s">
        <v>25</v>
      </c>
      <c r="H1515" s="15" t="s">
        <v>17</v>
      </c>
      <c r="I1515" s="15" t="s">
        <v>20</v>
      </c>
      <c r="J1515" s="15" t="s">
        <v>242</v>
      </c>
      <c r="K1515" s="15">
        <v>27</v>
      </c>
      <c r="L1515" s="16">
        <v>48</v>
      </c>
      <c r="M1515" s="17">
        <v>1296</v>
      </c>
      <c r="N1515" s="15" t="s">
        <v>367</v>
      </c>
      <c r="O1515" s="15" t="s">
        <v>19</v>
      </c>
      <c r="Q1515"/>
    </row>
    <row r="1516" spans="1:17" ht="15.6" x14ac:dyDescent="0.3">
      <c r="A1516" s="11">
        <v>10280</v>
      </c>
      <c r="B1516" s="10">
        <v>38216</v>
      </c>
      <c r="C1516" s="10" t="s">
        <v>364</v>
      </c>
      <c r="D1516" s="11" t="s">
        <v>235</v>
      </c>
      <c r="E1516" s="11" t="s">
        <v>236</v>
      </c>
      <c r="F1516" s="11" t="s">
        <v>60</v>
      </c>
      <c r="G1516" s="11" t="s">
        <v>25</v>
      </c>
      <c r="H1516" s="11" t="s">
        <v>17</v>
      </c>
      <c r="I1516" s="11" t="s">
        <v>82</v>
      </c>
      <c r="J1516" s="11" t="s">
        <v>270</v>
      </c>
      <c r="K1516" s="11">
        <v>26</v>
      </c>
      <c r="L1516" s="12">
        <v>75</v>
      </c>
      <c r="M1516" s="13">
        <v>1950</v>
      </c>
      <c r="N1516" s="11" t="s">
        <v>367</v>
      </c>
      <c r="O1516" s="11" t="s">
        <v>19</v>
      </c>
      <c r="Q1516"/>
    </row>
    <row r="1517" spans="1:17" ht="15.6" x14ac:dyDescent="0.3">
      <c r="A1517" s="15">
        <v>10280</v>
      </c>
      <c r="B1517" s="14">
        <v>38216</v>
      </c>
      <c r="C1517" s="14" t="s">
        <v>364</v>
      </c>
      <c r="D1517" s="15" t="s">
        <v>235</v>
      </c>
      <c r="E1517" s="15" t="s">
        <v>236</v>
      </c>
      <c r="F1517" s="15" t="s">
        <v>60</v>
      </c>
      <c r="G1517" s="15" t="s">
        <v>25</v>
      </c>
      <c r="H1517" s="15" t="s">
        <v>17</v>
      </c>
      <c r="I1517" s="15" t="s">
        <v>20</v>
      </c>
      <c r="J1517" s="15" t="s">
        <v>242</v>
      </c>
      <c r="K1517" s="15">
        <v>25</v>
      </c>
      <c r="L1517" s="16">
        <v>48</v>
      </c>
      <c r="M1517" s="17">
        <v>1200</v>
      </c>
      <c r="N1517" s="15" t="s">
        <v>367</v>
      </c>
      <c r="O1517" s="15" t="s">
        <v>19</v>
      </c>
      <c r="Q1517"/>
    </row>
    <row r="1518" spans="1:17" ht="15.6" x14ac:dyDescent="0.3">
      <c r="A1518" s="11">
        <v>10280</v>
      </c>
      <c r="B1518" s="10">
        <v>38216</v>
      </c>
      <c r="C1518" s="10" t="s">
        <v>364</v>
      </c>
      <c r="D1518" s="11" t="s">
        <v>235</v>
      </c>
      <c r="E1518" s="11" t="s">
        <v>236</v>
      </c>
      <c r="F1518" s="11" t="s">
        <v>60</v>
      </c>
      <c r="G1518" s="11" t="s">
        <v>25</v>
      </c>
      <c r="H1518" s="11" t="s">
        <v>17</v>
      </c>
      <c r="I1518" s="11" t="s">
        <v>26</v>
      </c>
      <c r="J1518" s="11" t="s">
        <v>244</v>
      </c>
      <c r="K1518" s="11">
        <v>37</v>
      </c>
      <c r="L1518" s="12">
        <v>60</v>
      </c>
      <c r="M1518" s="13">
        <v>2220</v>
      </c>
      <c r="N1518" s="11" t="s">
        <v>367</v>
      </c>
      <c r="O1518" s="11" t="s">
        <v>19</v>
      </c>
      <c r="Q1518"/>
    </row>
    <row r="1519" spans="1:17" ht="15.6" x14ac:dyDescent="0.3">
      <c r="A1519" s="15">
        <v>10280</v>
      </c>
      <c r="B1519" s="14">
        <v>38216</v>
      </c>
      <c r="C1519" s="14" t="s">
        <v>364</v>
      </c>
      <c r="D1519" s="15" t="s">
        <v>235</v>
      </c>
      <c r="E1519" s="15" t="s">
        <v>236</v>
      </c>
      <c r="F1519" s="15" t="s">
        <v>60</v>
      </c>
      <c r="G1519" s="15" t="s">
        <v>25</v>
      </c>
      <c r="H1519" s="15" t="s">
        <v>17</v>
      </c>
      <c r="I1519" s="15" t="s">
        <v>20</v>
      </c>
      <c r="J1519" s="15" t="s">
        <v>242</v>
      </c>
      <c r="K1519" s="15">
        <v>22</v>
      </c>
      <c r="L1519" s="16">
        <v>48</v>
      </c>
      <c r="M1519" s="17">
        <v>1056</v>
      </c>
      <c r="N1519" s="15" t="s">
        <v>367</v>
      </c>
      <c r="O1519" s="15" t="s">
        <v>19</v>
      </c>
      <c r="Q1519"/>
    </row>
    <row r="1520" spans="1:17" ht="15.6" x14ac:dyDescent="0.3">
      <c r="A1520" s="11">
        <v>10280</v>
      </c>
      <c r="B1520" s="10">
        <v>38216</v>
      </c>
      <c r="C1520" s="10" t="s">
        <v>364</v>
      </c>
      <c r="D1520" s="11" t="s">
        <v>235</v>
      </c>
      <c r="E1520" s="11" t="s">
        <v>236</v>
      </c>
      <c r="F1520" s="11" t="s">
        <v>60</v>
      </c>
      <c r="G1520" s="11" t="s">
        <v>25</v>
      </c>
      <c r="H1520" s="11" t="s">
        <v>17</v>
      </c>
      <c r="I1520" s="11" t="s">
        <v>18</v>
      </c>
      <c r="J1520" s="11" t="s">
        <v>241</v>
      </c>
      <c r="K1520" s="11">
        <v>46</v>
      </c>
      <c r="L1520" s="12">
        <v>30</v>
      </c>
      <c r="M1520" s="13">
        <v>1380</v>
      </c>
      <c r="N1520" s="11" t="s">
        <v>367</v>
      </c>
      <c r="O1520" s="11" t="s">
        <v>19</v>
      </c>
      <c r="Q1520"/>
    </row>
    <row r="1521" spans="1:17" ht="15.6" x14ac:dyDescent="0.3">
      <c r="A1521" s="15">
        <v>10280</v>
      </c>
      <c r="B1521" s="14">
        <v>38216</v>
      </c>
      <c r="C1521" s="14" t="s">
        <v>364</v>
      </c>
      <c r="D1521" s="15" t="s">
        <v>235</v>
      </c>
      <c r="E1521" s="15" t="s">
        <v>236</v>
      </c>
      <c r="F1521" s="15" t="s">
        <v>60</v>
      </c>
      <c r="G1521" s="15" t="s">
        <v>25</v>
      </c>
      <c r="H1521" s="15" t="s">
        <v>17</v>
      </c>
      <c r="I1521" s="15" t="s">
        <v>20</v>
      </c>
      <c r="J1521" s="15" t="s">
        <v>242</v>
      </c>
      <c r="K1521" s="15">
        <v>43</v>
      </c>
      <c r="L1521" s="16">
        <v>48</v>
      </c>
      <c r="M1521" s="17">
        <v>2064</v>
      </c>
      <c r="N1521" s="15" t="s">
        <v>367</v>
      </c>
      <c r="O1521" s="15" t="s">
        <v>19</v>
      </c>
      <c r="Q1521"/>
    </row>
    <row r="1522" spans="1:17" ht="15.6" x14ac:dyDescent="0.3">
      <c r="A1522" s="11">
        <v>10280</v>
      </c>
      <c r="B1522" s="10">
        <v>38216</v>
      </c>
      <c r="C1522" s="10" t="s">
        <v>364</v>
      </c>
      <c r="D1522" s="11" t="s">
        <v>235</v>
      </c>
      <c r="E1522" s="11" t="s">
        <v>236</v>
      </c>
      <c r="F1522" s="11" t="s">
        <v>60</v>
      </c>
      <c r="G1522" s="11" t="s">
        <v>25</v>
      </c>
      <c r="H1522" s="11" t="s">
        <v>17</v>
      </c>
      <c r="I1522" s="11" t="s">
        <v>52</v>
      </c>
      <c r="J1522" s="11" t="s">
        <v>256</v>
      </c>
      <c r="K1522" s="11">
        <v>29</v>
      </c>
      <c r="L1522" s="12">
        <v>45</v>
      </c>
      <c r="M1522" s="13">
        <v>1305</v>
      </c>
      <c r="N1522" s="11" t="s">
        <v>367</v>
      </c>
      <c r="O1522" s="11" t="s">
        <v>19</v>
      </c>
      <c r="Q1522"/>
    </row>
    <row r="1523" spans="1:17" ht="15.6" x14ac:dyDescent="0.3">
      <c r="A1523" s="15">
        <v>10280</v>
      </c>
      <c r="B1523" s="14">
        <v>38216</v>
      </c>
      <c r="C1523" s="14" t="s">
        <v>364</v>
      </c>
      <c r="D1523" s="15" t="s">
        <v>235</v>
      </c>
      <c r="E1523" s="15" t="s">
        <v>236</v>
      </c>
      <c r="F1523" s="15" t="s">
        <v>60</v>
      </c>
      <c r="G1523" s="15" t="s">
        <v>25</v>
      </c>
      <c r="H1523" s="15" t="s">
        <v>17</v>
      </c>
      <c r="I1523" s="15" t="s">
        <v>20</v>
      </c>
      <c r="J1523" s="15" t="s">
        <v>242</v>
      </c>
      <c r="K1523" s="15">
        <v>34</v>
      </c>
      <c r="L1523" s="16">
        <v>48</v>
      </c>
      <c r="M1523" s="17">
        <v>1632</v>
      </c>
      <c r="N1523" s="15" t="s">
        <v>367</v>
      </c>
      <c r="O1523" s="15" t="s">
        <v>19</v>
      </c>
      <c r="Q1523"/>
    </row>
    <row r="1524" spans="1:17" ht="15.6" x14ac:dyDescent="0.3">
      <c r="A1524" s="11">
        <v>10280</v>
      </c>
      <c r="B1524" s="10">
        <v>38216</v>
      </c>
      <c r="C1524" s="10" t="s">
        <v>364</v>
      </c>
      <c r="D1524" s="11" t="s">
        <v>235</v>
      </c>
      <c r="E1524" s="11" t="s">
        <v>236</v>
      </c>
      <c r="F1524" s="11" t="s">
        <v>60</v>
      </c>
      <c r="G1524" s="11" t="s">
        <v>25</v>
      </c>
      <c r="H1524" s="11" t="s">
        <v>17</v>
      </c>
      <c r="I1524" s="11" t="s">
        <v>21</v>
      </c>
      <c r="J1524" s="11" t="s">
        <v>243</v>
      </c>
      <c r="K1524" s="11">
        <v>35</v>
      </c>
      <c r="L1524" s="12">
        <v>110</v>
      </c>
      <c r="M1524" s="13">
        <v>3850</v>
      </c>
      <c r="N1524" s="11" t="s">
        <v>367</v>
      </c>
      <c r="O1524" s="11" t="s">
        <v>19</v>
      </c>
      <c r="Q1524"/>
    </row>
    <row r="1525" spans="1:17" ht="15.6" x14ac:dyDescent="0.3">
      <c r="A1525" s="15">
        <v>10280</v>
      </c>
      <c r="B1525" s="14">
        <v>38216</v>
      </c>
      <c r="C1525" s="14" t="s">
        <v>364</v>
      </c>
      <c r="D1525" s="15" t="s">
        <v>235</v>
      </c>
      <c r="E1525" s="15" t="s">
        <v>236</v>
      </c>
      <c r="F1525" s="15" t="s">
        <v>60</v>
      </c>
      <c r="G1525" s="15" t="s">
        <v>25</v>
      </c>
      <c r="H1525" s="15" t="s">
        <v>17</v>
      </c>
      <c r="I1525" s="15" t="s">
        <v>20</v>
      </c>
      <c r="J1525" s="15" t="s">
        <v>242</v>
      </c>
      <c r="K1525" s="15">
        <v>20</v>
      </c>
      <c r="L1525" s="16">
        <v>48</v>
      </c>
      <c r="M1525" s="17">
        <v>960</v>
      </c>
      <c r="N1525" s="15" t="s">
        <v>367</v>
      </c>
      <c r="O1525" s="15" t="s">
        <v>19</v>
      </c>
      <c r="Q1525"/>
    </row>
    <row r="1526" spans="1:17" ht="15.6" x14ac:dyDescent="0.3">
      <c r="A1526" s="11">
        <v>10280</v>
      </c>
      <c r="B1526" s="10">
        <v>38216</v>
      </c>
      <c r="C1526" s="10" t="s">
        <v>364</v>
      </c>
      <c r="D1526" s="11" t="s">
        <v>235</v>
      </c>
      <c r="E1526" s="11" t="s">
        <v>236</v>
      </c>
      <c r="F1526" s="11" t="s">
        <v>60</v>
      </c>
      <c r="G1526" s="11" t="s">
        <v>25</v>
      </c>
      <c r="H1526" s="11" t="s">
        <v>17</v>
      </c>
      <c r="I1526" s="11" t="s">
        <v>26</v>
      </c>
      <c r="J1526" s="11" t="s">
        <v>244</v>
      </c>
      <c r="K1526" s="11">
        <v>45</v>
      </c>
      <c r="L1526" s="12">
        <v>60</v>
      </c>
      <c r="M1526" s="13">
        <v>2700</v>
      </c>
      <c r="N1526" s="11" t="s">
        <v>367</v>
      </c>
      <c r="O1526" s="11" t="s">
        <v>19</v>
      </c>
      <c r="Q1526"/>
    </row>
    <row r="1527" spans="1:17" ht="15.6" x14ac:dyDescent="0.3">
      <c r="A1527" s="15">
        <v>10280</v>
      </c>
      <c r="B1527" s="14">
        <v>38216</v>
      </c>
      <c r="C1527" s="14" t="s">
        <v>364</v>
      </c>
      <c r="D1527" s="15" t="s">
        <v>235</v>
      </c>
      <c r="E1527" s="15" t="s">
        <v>236</v>
      </c>
      <c r="F1527" s="15" t="s">
        <v>60</v>
      </c>
      <c r="G1527" s="15" t="s">
        <v>25</v>
      </c>
      <c r="H1527" s="15" t="s">
        <v>17</v>
      </c>
      <c r="I1527" s="15" t="s">
        <v>20</v>
      </c>
      <c r="J1527" s="15" t="s">
        <v>242</v>
      </c>
      <c r="K1527" s="15">
        <v>33</v>
      </c>
      <c r="L1527" s="16">
        <v>48</v>
      </c>
      <c r="M1527" s="17">
        <v>1584</v>
      </c>
      <c r="N1527" s="15" t="s">
        <v>367</v>
      </c>
      <c r="O1527" s="15" t="s">
        <v>19</v>
      </c>
      <c r="Q1527"/>
    </row>
    <row r="1528" spans="1:17" ht="15.6" x14ac:dyDescent="0.3">
      <c r="A1528" s="11">
        <v>10280</v>
      </c>
      <c r="B1528" s="10">
        <v>38216</v>
      </c>
      <c r="C1528" s="10" t="s">
        <v>364</v>
      </c>
      <c r="D1528" s="11" t="s">
        <v>235</v>
      </c>
      <c r="E1528" s="11" t="s">
        <v>236</v>
      </c>
      <c r="F1528" s="11" t="s">
        <v>60</v>
      </c>
      <c r="G1528" s="11" t="s">
        <v>25</v>
      </c>
      <c r="H1528" s="11" t="s">
        <v>17</v>
      </c>
      <c r="I1528" s="11" t="s">
        <v>26</v>
      </c>
      <c r="J1528" s="11" t="s">
        <v>244</v>
      </c>
      <c r="K1528" s="11">
        <v>21</v>
      </c>
      <c r="L1528" s="12">
        <v>60</v>
      </c>
      <c r="M1528" s="13">
        <v>1260</v>
      </c>
      <c r="N1528" s="11" t="s">
        <v>367</v>
      </c>
      <c r="O1528" s="11" t="s">
        <v>19</v>
      </c>
      <c r="Q1528"/>
    </row>
    <row r="1529" spans="1:17" ht="15.6" x14ac:dyDescent="0.3">
      <c r="A1529" s="15">
        <v>10281</v>
      </c>
      <c r="B1529" s="14">
        <v>38218</v>
      </c>
      <c r="C1529" s="14" t="s">
        <v>361</v>
      </c>
      <c r="D1529" s="15" t="s">
        <v>231</v>
      </c>
      <c r="E1529" s="15" t="s">
        <v>232</v>
      </c>
      <c r="F1529" s="15" t="s">
        <v>15</v>
      </c>
      <c r="G1529" s="15" t="s">
        <v>16</v>
      </c>
      <c r="H1529" s="15" t="s">
        <v>32</v>
      </c>
      <c r="I1529" s="15" t="s">
        <v>34</v>
      </c>
      <c r="J1529" s="15" t="s">
        <v>246</v>
      </c>
      <c r="K1529" s="15">
        <v>44</v>
      </c>
      <c r="L1529" s="16">
        <v>80</v>
      </c>
      <c r="M1529" s="17">
        <v>3520</v>
      </c>
      <c r="N1529" s="15" t="s">
        <v>367</v>
      </c>
      <c r="O1529" s="15" t="s">
        <v>19</v>
      </c>
      <c r="Q1529"/>
    </row>
    <row r="1530" spans="1:17" ht="15.6" x14ac:dyDescent="0.3">
      <c r="A1530" s="11">
        <v>10281</v>
      </c>
      <c r="B1530" s="10">
        <v>38218</v>
      </c>
      <c r="C1530" s="10" t="s">
        <v>361</v>
      </c>
      <c r="D1530" s="11" t="s">
        <v>231</v>
      </c>
      <c r="E1530" s="11" t="s">
        <v>232</v>
      </c>
      <c r="F1530" s="11" t="s">
        <v>15</v>
      </c>
      <c r="G1530" s="11" t="s">
        <v>16</v>
      </c>
      <c r="H1530" s="11" t="s">
        <v>35</v>
      </c>
      <c r="I1530" s="11" t="s">
        <v>40</v>
      </c>
      <c r="J1530" s="11" t="s">
        <v>251</v>
      </c>
      <c r="K1530" s="11">
        <v>25</v>
      </c>
      <c r="L1530" s="12">
        <v>25</v>
      </c>
      <c r="M1530" s="13">
        <v>625</v>
      </c>
      <c r="N1530" s="11" t="s">
        <v>367</v>
      </c>
      <c r="O1530" s="11" t="s">
        <v>19</v>
      </c>
      <c r="Q1530"/>
    </row>
    <row r="1531" spans="1:17" ht="15.6" x14ac:dyDescent="0.3">
      <c r="A1531" s="15">
        <v>10281</v>
      </c>
      <c r="B1531" s="14">
        <v>38218</v>
      </c>
      <c r="C1531" s="14" t="s">
        <v>361</v>
      </c>
      <c r="D1531" s="15" t="s">
        <v>231</v>
      </c>
      <c r="E1531" s="15" t="s">
        <v>232</v>
      </c>
      <c r="F1531" s="15" t="s">
        <v>15</v>
      </c>
      <c r="G1531" s="15" t="s">
        <v>16</v>
      </c>
      <c r="H1531" s="15" t="s">
        <v>35</v>
      </c>
      <c r="I1531" s="15" t="s">
        <v>38</v>
      </c>
      <c r="J1531" s="15" t="s">
        <v>249</v>
      </c>
      <c r="K1531" s="15">
        <v>41</v>
      </c>
      <c r="L1531" s="16">
        <v>20</v>
      </c>
      <c r="M1531" s="17">
        <v>820</v>
      </c>
      <c r="N1531" s="15" t="s">
        <v>367</v>
      </c>
      <c r="O1531" s="15" t="s">
        <v>19</v>
      </c>
      <c r="Q1531"/>
    </row>
    <row r="1532" spans="1:17" ht="15.6" x14ac:dyDescent="0.3">
      <c r="A1532" s="11">
        <v>10281</v>
      </c>
      <c r="B1532" s="10">
        <v>38218</v>
      </c>
      <c r="C1532" s="10" t="s">
        <v>361</v>
      </c>
      <c r="D1532" s="11" t="s">
        <v>231</v>
      </c>
      <c r="E1532" s="11" t="s">
        <v>232</v>
      </c>
      <c r="F1532" s="11" t="s">
        <v>15</v>
      </c>
      <c r="G1532" s="11" t="s">
        <v>16</v>
      </c>
      <c r="H1532" s="11" t="s">
        <v>35</v>
      </c>
      <c r="I1532" s="11" t="s">
        <v>38</v>
      </c>
      <c r="J1532" s="11" t="s">
        <v>249</v>
      </c>
      <c r="K1532" s="11">
        <v>48</v>
      </c>
      <c r="L1532" s="12">
        <v>20</v>
      </c>
      <c r="M1532" s="13">
        <v>960</v>
      </c>
      <c r="N1532" s="11" t="s">
        <v>367</v>
      </c>
      <c r="O1532" s="11" t="s">
        <v>19</v>
      </c>
      <c r="Q1532"/>
    </row>
    <row r="1533" spans="1:17" ht="15.6" x14ac:dyDescent="0.3">
      <c r="A1533" s="15">
        <v>10281</v>
      </c>
      <c r="B1533" s="14">
        <v>38218</v>
      </c>
      <c r="C1533" s="14" t="s">
        <v>361</v>
      </c>
      <c r="D1533" s="15" t="s">
        <v>231</v>
      </c>
      <c r="E1533" s="15" t="s">
        <v>232</v>
      </c>
      <c r="F1533" s="15" t="s">
        <v>15</v>
      </c>
      <c r="G1533" s="15" t="s">
        <v>16</v>
      </c>
      <c r="H1533" s="15" t="s">
        <v>35</v>
      </c>
      <c r="I1533" s="15" t="s">
        <v>40</v>
      </c>
      <c r="J1533" s="15" t="s">
        <v>251</v>
      </c>
      <c r="K1533" s="15">
        <v>29</v>
      </c>
      <c r="L1533" s="16">
        <v>25</v>
      </c>
      <c r="M1533" s="17">
        <v>725</v>
      </c>
      <c r="N1533" s="15" t="s">
        <v>367</v>
      </c>
      <c r="O1533" s="15" t="s">
        <v>19</v>
      </c>
      <c r="Q1533"/>
    </row>
    <row r="1534" spans="1:17" ht="15.6" x14ac:dyDescent="0.3">
      <c r="A1534" s="11">
        <v>10281</v>
      </c>
      <c r="B1534" s="10">
        <v>38218</v>
      </c>
      <c r="C1534" s="10" t="s">
        <v>361</v>
      </c>
      <c r="D1534" s="11" t="s">
        <v>231</v>
      </c>
      <c r="E1534" s="11" t="s">
        <v>232</v>
      </c>
      <c r="F1534" s="11" t="s">
        <v>15</v>
      </c>
      <c r="G1534" s="11" t="s">
        <v>16</v>
      </c>
      <c r="H1534" s="11" t="s">
        <v>32</v>
      </c>
      <c r="I1534" s="11" t="s">
        <v>45</v>
      </c>
      <c r="J1534" s="11" t="s">
        <v>253</v>
      </c>
      <c r="K1534" s="11">
        <v>25</v>
      </c>
      <c r="L1534" s="12">
        <v>35</v>
      </c>
      <c r="M1534" s="13">
        <v>875</v>
      </c>
      <c r="N1534" s="11" t="s">
        <v>367</v>
      </c>
      <c r="O1534" s="11" t="s">
        <v>19</v>
      </c>
      <c r="Q1534"/>
    </row>
    <row r="1535" spans="1:17" ht="15.6" x14ac:dyDescent="0.3">
      <c r="A1535" s="15">
        <v>10281</v>
      </c>
      <c r="B1535" s="14">
        <v>38218</v>
      </c>
      <c r="C1535" s="14" t="s">
        <v>361</v>
      </c>
      <c r="D1535" s="15" t="s">
        <v>231</v>
      </c>
      <c r="E1535" s="15" t="s">
        <v>232</v>
      </c>
      <c r="F1535" s="15" t="s">
        <v>15</v>
      </c>
      <c r="G1535" s="15" t="s">
        <v>16</v>
      </c>
      <c r="H1535" s="15" t="s">
        <v>35</v>
      </c>
      <c r="I1535" s="15" t="s">
        <v>38</v>
      </c>
      <c r="J1535" s="15" t="s">
        <v>249</v>
      </c>
      <c r="K1535" s="15">
        <v>25</v>
      </c>
      <c r="L1535" s="16">
        <v>20</v>
      </c>
      <c r="M1535" s="17">
        <v>500</v>
      </c>
      <c r="N1535" s="15" t="s">
        <v>367</v>
      </c>
      <c r="O1535" s="15" t="s">
        <v>19</v>
      </c>
      <c r="Q1535"/>
    </row>
    <row r="1536" spans="1:17" ht="15.6" x14ac:dyDescent="0.3">
      <c r="A1536" s="11">
        <v>10281</v>
      </c>
      <c r="B1536" s="10">
        <v>38218</v>
      </c>
      <c r="C1536" s="10" t="s">
        <v>361</v>
      </c>
      <c r="D1536" s="11" t="s">
        <v>231</v>
      </c>
      <c r="E1536" s="11" t="s">
        <v>232</v>
      </c>
      <c r="F1536" s="11" t="s">
        <v>15</v>
      </c>
      <c r="G1536" s="11" t="s">
        <v>16</v>
      </c>
      <c r="H1536" s="11" t="s">
        <v>17</v>
      </c>
      <c r="I1536" s="11" t="s">
        <v>26</v>
      </c>
      <c r="J1536" s="11" t="s">
        <v>244</v>
      </c>
      <c r="K1536" s="11">
        <v>44</v>
      </c>
      <c r="L1536" s="12">
        <v>60</v>
      </c>
      <c r="M1536" s="13">
        <v>2640</v>
      </c>
      <c r="N1536" s="11" t="s">
        <v>367</v>
      </c>
      <c r="O1536" s="11" t="s">
        <v>19</v>
      </c>
      <c r="Q1536"/>
    </row>
    <row r="1537" spans="1:17" ht="15.6" x14ac:dyDescent="0.3">
      <c r="A1537" s="15">
        <v>10281</v>
      </c>
      <c r="B1537" s="14">
        <v>38218</v>
      </c>
      <c r="C1537" s="14" t="s">
        <v>361</v>
      </c>
      <c r="D1537" s="15" t="s">
        <v>231</v>
      </c>
      <c r="E1537" s="15" t="s">
        <v>232</v>
      </c>
      <c r="F1537" s="15" t="s">
        <v>15</v>
      </c>
      <c r="G1537" s="15" t="s">
        <v>16</v>
      </c>
      <c r="H1537" s="15" t="s">
        <v>35</v>
      </c>
      <c r="I1537" s="15" t="s">
        <v>40</v>
      </c>
      <c r="J1537" s="15" t="s">
        <v>251</v>
      </c>
      <c r="K1537" s="15">
        <v>25</v>
      </c>
      <c r="L1537" s="16">
        <v>25</v>
      </c>
      <c r="M1537" s="17">
        <v>625</v>
      </c>
      <c r="N1537" s="15" t="s">
        <v>367</v>
      </c>
      <c r="O1537" s="15" t="s">
        <v>19</v>
      </c>
      <c r="Q1537"/>
    </row>
    <row r="1538" spans="1:17" ht="15.6" x14ac:dyDescent="0.3">
      <c r="A1538" s="11">
        <v>10281</v>
      </c>
      <c r="B1538" s="10">
        <v>38218</v>
      </c>
      <c r="C1538" s="10" t="s">
        <v>361</v>
      </c>
      <c r="D1538" s="11" t="s">
        <v>231</v>
      </c>
      <c r="E1538" s="11" t="s">
        <v>232</v>
      </c>
      <c r="F1538" s="11" t="s">
        <v>15</v>
      </c>
      <c r="G1538" s="11" t="s">
        <v>16</v>
      </c>
      <c r="H1538" s="11" t="s">
        <v>32</v>
      </c>
      <c r="I1538" s="11" t="s">
        <v>44</v>
      </c>
      <c r="J1538" s="11" t="s">
        <v>252</v>
      </c>
      <c r="K1538" s="11">
        <v>20</v>
      </c>
      <c r="L1538" s="12">
        <v>55</v>
      </c>
      <c r="M1538" s="13">
        <v>1100</v>
      </c>
      <c r="N1538" s="11" t="s">
        <v>367</v>
      </c>
      <c r="O1538" s="11" t="s">
        <v>19</v>
      </c>
      <c r="Q1538"/>
    </row>
    <row r="1539" spans="1:17" ht="15.6" x14ac:dyDescent="0.3">
      <c r="A1539" s="15">
        <v>10281</v>
      </c>
      <c r="B1539" s="14">
        <v>38218</v>
      </c>
      <c r="C1539" s="14" t="s">
        <v>361</v>
      </c>
      <c r="D1539" s="15" t="s">
        <v>231</v>
      </c>
      <c r="E1539" s="15" t="s">
        <v>232</v>
      </c>
      <c r="F1539" s="15" t="s">
        <v>15</v>
      </c>
      <c r="G1539" s="15" t="s">
        <v>16</v>
      </c>
      <c r="H1539" s="15" t="s">
        <v>35</v>
      </c>
      <c r="I1539" s="15" t="s">
        <v>36</v>
      </c>
      <c r="J1539" s="15" t="s">
        <v>247</v>
      </c>
      <c r="K1539" s="15">
        <v>29</v>
      </c>
      <c r="L1539" s="16">
        <v>30</v>
      </c>
      <c r="M1539" s="17">
        <v>870</v>
      </c>
      <c r="N1539" s="15" t="s">
        <v>367</v>
      </c>
      <c r="O1539" s="15" t="s">
        <v>19</v>
      </c>
      <c r="Q1539"/>
    </row>
    <row r="1540" spans="1:17" ht="15.6" x14ac:dyDescent="0.3">
      <c r="A1540" s="11">
        <v>10281</v>
      </c>
      <c r="B1540" s="10">
        <v>38218</v>
      </c>
      <c r="C1540" s="10" t="s">
        <v>361</v>
      </c>
      <c r="D1540" s="11" t="s">
        <v>231</v>
      </c>
      <c r="E1540" s="11" t="s">
        <v>232</v>
      </c>
      <c r="F1540" s="11" t="s">
        <v>15</v>
      </c>
      <c r="G1540" s="11" t="s">
        <v>16</v>
      </c>
      <c r="H1540" s="11" t="s">
        <v>35</v>
      </c>
      <c r="I1540" s="11" t="s">
        <v>38</v>
      </c>
      <c r="J1540" s="11" t="s">
        <v>249</v>
      </c>
      <c r="K1540" s="11">
        <v>31</v>
      </c>
      <c r="L1540" s="12">
        <v>20</v>
      </c>
      <c r="M1540" s="13">
        <v>620</v>
      </c>
      <c r="N1540" s="11" t="s">
        <v>367</v>
      </c>
      <c r="O1540" s="11" t="s">
        <v>19</v>
      </c>
      <c r="Q1540"/>
    </row>
    <row r="1541" spans="1:17" ht="15.6" x14ac:dyDescent="0.3">
      <c r="A1541" s="15">
        <v>10281</v>
      </c>
      <c r="B1541" s="14">
        <v>38218</v>
      </c>
      <c r="C1541" s="14" t="s">
        <v>361</v>
      </c>
      <c r="D1541" s="15" t="s">
        <v>231</v>
      </c>
      <c r="E1541" s="15" t="s">
        <v>232</v>
      </c>
      <c r="F1541" s="15" t="s">
        <v>15</v>
      </c>
      <c r="G1541" s="15" t="s">
        <v>16</v>
      </c>
      <c r="H1541" s="15" t="s">
        <v>35</v>
      </c>
      <c r="I1541" s="15" t="s">
        <v>39</v>
      </c>
      <c r="J1541" s="15" t="s">
        <v>250</v>
      </c>
      <c r="K1541" s="15">
        <v>36</v>
      </c>
      <c r="L1541" s="16">
        <v>20</v>
      </c>
      <c r="M1541" s="17">
        <v>720</v>
      </c>
      <c r="N1541" s="15" t="s">
        <v>367</v>
      </c>
      <c r="O1541" s="15" t="s">
        <v>19</v>
      </c>
      <c r="Q1541"/>
    </row>
    <row r="1542" spans="1:17" ht="15.6" x14ac:dyDescent="0.3">
      <c r="A1542" s="11">
        <v>10281</v>
      </c>
      <c r="B1542" s="10">
        <v>38218</v>
      </c>
      <c r="C1542" s="10" t="s">
        <v>361</v>
      </c>
      <c r="D1542" s="11" t="s">
        <v>231</v>
      </c>
      <c r="E1542" s="11" t="s">
        <v>232</v>
      </c>
      <c r="F1542" s="11" t="s">
        <v>15</v>
      </c>
      <c r="G1542" s="11" t="s">
        <v>16</v>
      </c>
      <c r="H1542" s="11" t="s">
        <v>32</v>
      </c>
      <c r="I1542" s="11" t="s">
        <v>45</v>
      </c>
      <c r="J1542" s="11" t="s">
        <v>253</v>
      </c>
      <c r="K1542" s="11">
        <v>27</v>
      </c>
      <c r="L1542" s="12">
        <v>35</v>
      </c>
      <c r="M1542" s="13">
        <v>945</v>
      </c>
      <c r="N1542" s="11" t="s">
        <v>367</v>
      </c>
      <c r="O1542" s="11" t="s">
        <v>19</v>
      </c>
      <c r="Q1542"/>
    </row>
    <row r="1543" spans="1:17" ht="15.6" x14ac:dyDescent="0.3">
      <c r="A1543" s="15">
        <v>10283</v>
      </c>
      <c r="B1543" s="14">
        <v>38219</v>
      </c>
      <c r="C1543" s="14" t="s">
        <v>355</v>
      </c>
      <c r="D1543" s="15" t="s">
        <v>221</v>
      </c>
      <c r="E1543" s="15" t="s">
        <v>222</v>
      </c>
      <c r="F1543" s="15" t="s">
        <v>169</v>
      </c>
      <c r="G1543" s="15" t="s">
        <v>16</v>
      </c>
      <c r="H1543" s="15" t="s">
        <v>32</v>
      </c>
      <c r="I1543" s="15" t="s">
        <v>34</v>
      </c>
      <c r="J1543" s="15" t="s">
        <v>246</v>
      </c>
      <c r="K1543" s="15">
        <v>25</v>
      </c>
      <c r="L1543" s="16">
        <v>80</v>
      </c>
      <c r="M1543" s="17">
        <v>2000</v>
      </c>
      <c r="N1543" s="15" t="s">
        <v>367</v>
      </c>
      <c r="O1543" s="15" t="s">
        <v>19</v>
      </c>
      <c r="Q1543"/>
    </row>
    <row r="1544" spans="1:17" ht="15.6" x14ac:dyDescent="0.3">
      <c r="A1544" s="11">
        <v>10282</v>
      </c>
      <c r="B1544" s="10">
        <v>38219</v>
      </c>
      <c r="C1544" s="10" t="s">
        <v>288</v>
      </c>
      <c r="D1544" s="11" t="s">
        <v>88</v>
      </c>
      <c r="E1544" s="11" t="s">
        <v>89</v>
      </c>
      <c r="F1544" s="11" t="s">
        <v>15</v>
      </c>
      <c r="G1544" s="11" t="s">
        <v>16</v>
      </c>
      <c r="H1544" s="11" t="s">
        <v>32</v>
      </c>
      <c r="I1544" s="11" t="s">
        <v>44</v>
      </c>
      <c r="J1544" s="11" t="s">
        <v>252</v>
      </c>
      <c r="K1544" s="11">
        <v>41</v>
      </c>
      <c r="L1544" s="12">
        <v>55</v>
      </c>
      <c r="M1544" s="13">
        <v>2255</v>
      </c>
      <c r="N1544" s="11" t="s">
        <v>367</v>
      </c>
      <c r="O1544" s="11" t="s">
        <v>19</v>
      </c>
      <c r="Q1544"/>
    </row>
    <row r="1545" spans="1:17" ht="15.6" x14ac:dyDescent="0.3">
      <c r="A1545" s="15">
        <v>10282</v>
      </c>
      <c r="B1545" s="14">
        <v>38219</v>
      </c>
      <c r="C1545" s="14" t="s">
        <v>288</v>
      </c>
      <c r="D1545" s="15" t="s">
        <v>88</v>
      </c>
      <c r="E1545" s="15" t="s">
        <v>89</v>
      </c>
      <c r="F1545" s="15" t="s">
        <v>15</v>
      </c>
      <c r="G1545" s="15" t="s">
        <v>16</v>
      </c>
      <c r="H1545" s="15" t="s">
        <v>32</v>
      </c>
      <c r="I1545" s="15" t="s">
        <v>44</v>
      </c>
      <c r="J1545" s="15" t="s">
        <v>252</v>
      </c>
      <c r="K1545" s="15">
        <v>27</v>
      </c>
      <c r="L1545" s="16">
        <v>55</v>
      </c>
      <c r="M1545" s="17">
        <v>1485</v>
      </c>
      <c r="N1545" s="15" t="s">
        <v>367</v>
      </c>
      <c r="O1545" s="15" t="s">
        <v>19</v>
      </c>
      <c r="Q1545"/>
    </row>
    <row r="1546" spans="1:17" ht="15.6" x14ac:dyDescent="0.3">
      <c r="A1546" s="11">
        <v>10282</v>
      </c>
      <c r="B1546" s="10">
        <v>38219</v>
      </c>
      <c r="C1546" s="10" t="s">
        <v>288</v>
      </c>
      <c r="D1546" s="11" t="s">
        <v>88</v>
      </c>
      <c r="E1546" s="11" t="s">
        <v>89</v>
      </c>
      <c r="F1546" s="11" t="s">
        <v>15</v>
      </c>
      <c r="G1546" s="11" t="s">
        <v>16</v>
      </c>
      <c r="H1546" s="11" t="s">
        <v>32</v>
      </c>
      <c r="I1546" s="11" t="s">
        <v>46</v>
      </c>
      <c r="J1546" s="11" t="s">
        <v>254</v>
      </c>
      <c r="K1546" s="11">
        <v>24</v>
      </c>
      <c r="L1546" s="12">
        <v>90</v>
      </c>
      <c r="M1546" s="13">
        <v>2160</v>
      </c>
      <c r="N1546" s="11" t="s">
        <v>367</v>
      </c>
      <c r="O1546" s="11" t="s">
        <v>19</v>
      </c>
      <c r="Q1546"/>
    </row>
    <row r="1547" spans="1:17" ht="15.6" x14ac:dyDescent="0.3">
      <c r="A1547" s="15">
        <v>10282</v>
      </c>
      <c r="B1547" s="14">
        <v>38219</v>
      </c>
      <c r="C1547" s="14" t="s">
        <v>288</v>
      </c>
      <c r="D1547" s="15" t="s">
        <v>88</v>
      </c>
      <c r="E1547" s="15" t="s">
        <v>89</v>
      </c>
      <c r="F1547" s="15" t="s">
        <v>15</v>
      </c>
      <c r="G1547" s="15" t="s">
        <v>16</v>
      </c>
      <c r="H1547" s="15" t="s">
        <v>32</v>
      </c>
      <c r="I1547" s="15" t="s">
        <v>33</v>
      </c>
      <c r="J1547" s="15" t="s">
        <v>245</v>
      </c>
      <c r="K1547" s="15">
        <v>23</v>
      </c>
      <c r="L1547" s="16">
        <v>85</v>
      </c>
      <c r="M1547" s="17">
        <v>1955</v>
      </c>
      <c r="N1547" s="15" t="s">
        <v>367</v>
      </c>
      <c r="O1547" s="15" t="s">
        <v>19</v>
      </c>
      <c r="Q1547"/>
    </row>
    <row r="1548" spans="1:17" ht="15.6" x14ac:dyDescent="0.3">
      <c r="A1548" s="11">
        <v>10283</v>
      </c>
      <c r="B1548" s="10">
        <v>38219</v>
      </c>
      <c r="C1548" s="10" t="s">
        <v>355</v>
      </c>
      <c r="D1548" s="11" t="s">
        <v>221</v>
      </c>
      <c r="E1548" s="11" t="s">
        <v>222</v>
      </c>
      <c r="F1548" s="11" t="s">
        <v>169</v>
      </c>
      <c r="G1548" s="11" t="s">
        <v>16</v>
      </c>
      <c r="H1548" s="11" t="s">
        <v>54</v>
      </c>
      <c r="I1548" s="11" t="s">
        <v>55</v>
      </c>
      <c r="J1548" s="11" t="s">
        <v>258</v>
      </c>
      <c r="K1548" s="11">
        <v>21</v>
      </c>
      <c r="L1548" s="12">
        <v>180</v>
      </c>
      <c r="M1548" s="13">
        <v>3780</v>
      </c>
      <c r="N1548" s="11" t="s">
        <v>367</v>
      </c>
      <c r="O1548" s="11" t="s">
        <v>19</v>
      </c>
      <c r="Q1548"/>
    </row>
    <row r="1549" spans="1:17" ht="15.6" x14ac:dyDescent="0.3">
      <c r="A1549" s="15">
        <v>10282</v>
      </c>
      <c r="B1549" s="14">
        <v>38219</v>
      </c>
      <c r="C1549" s="14" t="s">
        <v>288</v>
      </c>
      <c r="D1549" s="15" t="s">
        <v>88</v>
      </c>
      <c r="E1549" s="15" t="s">
        <v>89</v>
      </c>
      <c r="F1549" s="15" t="s">
        <v>15</v>
      </c>
      <c r="G1549" s="15" t="s">
        <v>16</v>
      </c>
      <c r="H1549" s="15" t="s">
        <v>17</v>
      </c>
      <c r="I1549" s="15" t="s">
        <v>26</v>
      </c>
      <c r="J1549" s="15" t="s">
        <v>244</v>
      </c>
      <c r="K1549" s="15">
        <v>43</v>
      </c>
      <c r="L1549" s="16">
        <v>60</v>
      </c>
      <c r="M1549" s="17">
        <v>2580</v>
      </c>
      <c r="N1549" s="15" t="s">
        <v>367</v>
      </c>
      <c r="O1549" s="15" t="s">
        <v>19</v>
      </c>
      <c r="Q1549"/>
    </row>
    <row r="1550" spans="1:17" ht="15.6" x14ac:dyDescent="0.3">
      <c r="A1550" s="11">
        <v>10282</v>
      </c>
      <c r="B1550" s="10">
        <v>38219</v>
      </c>
      <c r="C1550" s="10" t="s">
        <v>288</v>
      </c>
      <c r="D1550" s="11" t="s">
        <v>88</v>
      </c>
      <c r="E1550" s="11" t="s">
        <v>89</v>
      </c>
      <c r="F1550" s="11" t="s">
        <v>15</v>
      </c>
      <c r="G1550" s="11" t="s">
        <v>16</v>
      </c>
      <c r="H1550" s="11" t="s">
        <v>47</v>
      </c>
      <c r="I1550" s="11" t="s">
        <v>48</v>
      </c>
      <c r="J1550" s="11" t="s">
        <v>255</v>
      </c>
      <c r="K1550" s="11">
        <v>36</v>
      </c>
      <c r="L1550" s="12">
        <v>70</v>
      </c>
      <c r="M1550" s="13">
        <v>2520</v>
      </c>
      <c r="N1550" s="11" t="s">
        <v>367</v>
      </c>
      <c r="O1550" s="11" t="s">
        <v>19</v>
      </c>
      <c r="Q1550"/>
    </row>
    <row r="1551" spans="1:17" ht="15.6" x14ac:dyDescent="0.3">
      <c r="A1551" s="15">
        <v>10283</v>
      </c>
      <c r="B1551" s="14">
        <v>38219</v>
      </c>
      <c r="C1551" s="14" t="s">
        <v>355</v>
      </c>
      <c r="D1551" s="15" t="s">
        <v>221</v>
      </c>
      <c r="E1551" s="15" t="s">
        <v>222</v>
      </c>
      <c r="F1551" s="15" t="s">
        <v>169</v>
      </c>
      <c r="G1551" s="15" t="s">
        <v>16</v>
      </c>
      <c r="H1551" s="15" t="s">
        <v>17</v>
      </c>
      <c r="I1551" s="15" t="s">
        <v>20</v>
      </c>
      <c r="J1551" s="15" t="s">
        <v>242</v>
      </c>
      <c r="K1551" s="15">
        <v>46</v>
      </c>
      <c r="L1551" s="16">
        <v>48</v>
      </c>
      <c r="M1551" s="17">
        <v>2208</v>
      </c>
      <c r="N1551" s="15" t="s">
        <v>367</v>
      </c>
      <c r="O1551" s="15" t="s">
        <v>19</v>
      </c>
      <c r="Q1551"/>
    </row>
    <row r="1552" spans="1:17" ht="15.6" x14ac:dyDescent="0.3">
      <c r="A1552" s="11">
        <v>10282</v>
      </c>
      <c r="B1552" s="10">
        <v>38219</v>
      </c>
      <c r="C1552" s="10" t="s">
        <v>288</v>
      </c>
      <c r="D1552" s="11" t="s">
        <v>88</v>
      </c>
      <c r="E1552" s="11" t="s">
        <v>89</v>
      </c>
      <c r="F1552" s="11" t="s">
        <v>15</v>
      </c>
      <c r="G1552" s="11" t="s">
        <v>16</v>
      </c>
      <c r="H1552" s="11" t="s">
        <v>32</v>
      </c>
      <c r="I1552" s="11" t="s">
        <v>34</v>
      </c>
      <c r="J1552" s="11" t="s">
        <v>246</v>
      </c>
      <c r="K1552" s="11">
        <v>31</v>
      </c>
      <c r="L1552" s="12">
        <v>80</v>
      </c>
      <c r="M1552" s="13">
        <v>2480</v>
      </c>
      <c r="N1552" s="11" t="s">
        <v>367</v>
      </c>
      <c r="O1552" s="11" t="s">
        <v>19</v>
      </c>
      <c r="Q1552"/>
    </row>
    <row r="1553" spans="1:17" ht="15.6" x14ac:dyDescent="0.3">
      <c r="A1553" s="15">
        <v>10283</v>
      </c>
      <c r="B1553" s="14">
        <v>38219</v>
      </c>
      <c r="C1553" s="14" t="s">
        <v>355</v>
      </c>
      <c r="D1553" s="15" t="s">
        <v>221</v>
      </c>
      <c r="E1553" s="15" t="s">
        <v>222</v>
      </c>
      <c r="F1553" s="15" t="s">
        <v>169</v>
      </c>
      <c r="G1553" s="15" t="s">
        <v>16</v>
      </c>
      <c r="H1553" s="15" t="s">
        <v>17</v>
      </c>
      <c r="I1553" s="15" t="s">
        <v>20</v>
      </c>
      <c r="J1553" s="15" t="s">
        <v>242</v>
      </c>
      <c r="K1553" s="15">
        <v>34</v>
      </c>
      <c r="L1553" s="16">
        <v>48</v>
      </c>
      <c r="M1553" s="17">
        <v>1632</v>
      </c>
      <c r="N1553" s="15" t="s">
        <v>367</v>
      </c>
      <c r="O1553" s="15" t="s">
        <v>19</v>
      </c>
      <c r="Q1553"/>
    </row>
    <row r="1554" spans="1:17" ht="15.6" x14ac:dyDescent="0.3">
      <c r="A1554" s="11">
        <v>10282</v>
      </c>
      <c r="B1554" s="10">
        <v>38219</v>
      </c>
      <c r="C1554" s="10" t="s">
        <v>288</v>
      </c>
      <c r="D1554" s="11" t="s">
        <v>88</v>
      </c>
      <c r="E1554" s="11" t="s">
        <v>89</v>
      </c>
      <c r="F1554" s="11" t="s">
        <v>15</v>
      </c>
      <c r="G1554" s="11" t="s">
        <v>16</v>
      </c>
      <c r="H1554" s="11" t="s">
        <v>32</v>
      </c>
      <c r="I1554" s="11" t="s">
        <v>33</v>
      </c>
      <c r="J1554" s="11" t="s">
        <v>245</v>
      </c>
      <c r="K1554" s="11">
        <v>29</v>
      </c>
      <c r="L1554" s="12">
        <v>85</v>
      </c>
      <c r="M1554" s="13">
        <v>2465</v>
      </c>
      <c r="N1554" s="11" t="s">
        <v>367</v>
      </c>
      <c r="O1554" s="11" t="s">
        <v>19</v>
      </c>
      <c r="Q1554"/>
    </row>
    <row r="1555" spans="1:17" ht="15.6" x14ac:dyDescent="0.3">
      <c r="A1555" s="15">
        <v>10283</v>
      </c>
      <c r="B1555" s="14">
        <v>38219</v>
      </c>
      <c r="C1555" s="14" t="s">
        <v>355</v>
      </c>
      <c r="D1555" s="15" t="s">
        <v>221</v>
      </c>
      <c r="E1555" s="15" t="s">
        <v>222</v>
      </c>
      <c r="F1555" s="15" t="s">
        <v>169</v>
      </c>
      <c r="G1555" s="15" t="s">
        <v>16</v>
      </c>
      <c r="H1555" s="15" t="s">
        <v>54</v>
      </c>
      <c r="I1555" s="15" t="s">
        <v>166</v>
      </c>
      <c r="J1555" s="15" t="s">
        <v>273</v>
      </c>
      <c r="K1555" s="15">
        <v>42</v>
      </c>
      <c r="L1555" s="16">
        <v>160</v>
      </c>
      <c r="M1555" s="17">
        <v>6720</v>
      </c>
      <c r="N1555" s="15" t="s">
        <v>367</v>
      </c>
      <c r="O1555" s="15" t="s">
        <v>19</v>
      </c>
      <c r="Q1555"/>
    </row>
    <row r="1556" spans="1:17" ht="15.6" x14ac:dyDescent="0.3">
      <c r="A1556" s="11">
        <v>10283</v>
      </c>
      <c r="B1556" s="10">
        <v>38219</v>
      </c>
      <c r="C1556" s="10" t="s">
        <v>355</v>
      </c>
      <c r="D1556" s="11" t="s">
        <v>221</v>
      </c>
      <c r="E1556" s="11" t="s">
        <v>222</v>
      </c>
      <c r="F1556" s="11" t="s">
        <v>169</v>
      </c>
      <c r="G1556" s="11" t="s">
        <v>16</v>
      </c>
      <c r="H1556" s="11" t="s">
        <v>17</v>
      </c>
      <c r="I1556" s="11" t="s">
        <v>20</v>
      </c>
      <c r="J1556" s="11" t="s">
        <v>242</v>
      </c>
      <c r="K1556" s="11">
        <v>34</v>
      </c>
      <c r="L1556" s="12">
        <v>48</v>
      </c>
      <c r="M1556" s="13">
        <v>1632</v>
      </c>
      <c r="N1556" s="11" t="s">
        <v>367</v>
      </c>
      <c r="O1556" s="11" t="s">
        <v>19</v>
      </c>
      <c r="Q1556"/>
    </row>
    <row r="1557" spans="1:17" ht="15.6" x14ac:dyDescent="0.3">
      <c r="A1557" s="15">
        <v>10283</v>
      </c>
      <c r="B1557" s="14">
        <v>38219</v>
      </c>
      <c r="C1557" s="14" t="s">
        <v>355</v>
      </c>
      <c r="D1557" s="15" t="s">
        <v>221</v>
      </c>
      <c r="E1557" s="15" t="s">
        <v>222</v>
      </c>
      <c r="F1557" s="15" t="s">
        <v>169</v>
      </c>
      <c r="G1557" s="15" t="s">
        <v>16</v>
      </c>
      <c r="H1557" s="15" t="s">
        <v>17</v>
      </c>
      <c r="I1557" s="15" t="s">
        <v>26</v>
      </c>
      <c r="J1557" s="15" t="s">
        <v>244</v>
      </c>
      <c r="K1557" s="15">
        <v>33</v>
      </c>
      <c r="L1557" s="16">
        <v>60</v>
      </c>
      <c r="M1557" s="17">
        <v>1980</v>
      </c>
      <c r="N1557" s="15" t="s">
        <v>367</v>
      </c>
      <c r="O1557" s="15" t="s">
        <v>19</v>
      </c>
      <c r="Q1557"/>
    </row>
    <row r="1558" spans="1:17" ht="15.6" x14ac:dyDescent="0.3">
      <c r="A1558" s="11">
        <v>10282</v>
      </c>
      <c r="B1558" s="10">
        <v>38219</v>
      </c>
      <c r="C1558" s="10" t="s">
        <v>288</v>
      </c>
      <c r="D1558" s="11" t="s">
        <v>88</v>
      </c>
      <c r="E1558" s="11" t="s">
        <v>89</v>
      </c>
      <c r="F1558" s="11" t="s">
        <v>15</v>
      </c>
      <c r="G1558" s="11" t="s">
        <v>16</v>
      </c>
      <c r="H1558" s="11" t="s">
        <v>32</v>
      </c>
      <c r="I1558" s="11" t="s">
        <v>33</v>
      </c>
      <c r="J1558" s="11" t="s">
        <v>245</v>
      </c>
      <c r="K1558" s="11">
        <v>39</v>
      </c>
      <c r="L1558" s="12">
        <v>85</v>
      </c>
      <c r="M1558" s="13">
        <v>3315</v>
      </c>
      <c r="N1558" s="11" t="s">
        <v>367</v>
      </c>
      <c r="O1558" s="11" t="s">
        <v>19</v>
      </c>
      <c r="Q1558"/>
    </row>
    <row r="1559" spans="1:17" ht="15.6" x14ac:dyDescent="0.3">
      <c r="A1559" s="15">
        <v>10282</v>
      </c>
      <c r="B1559" s="14">
        <v>38219</v>
      </c>
      <c r="C1559" s="14" t="s">
        <v>288</v>
      </c>
      <c r="D1559" s="15" t="s">
        <v>88</v>
      </c>
      <c r="E1559" s="15" t="s">
        <v>89</v>
      </c>
      <c r="F1559" s="15" t="s">
        <v>15</v>
      </c>
      <c r="G1559" s="15" t="s">
        <v>16</v>
      </c>
      <c r="H1559" s="15" t="s">
        <v>47</v>
      </c>
      <c r="I1559" s="15" t="s">
        <v>48</v>
      </c>
      <c r="J1559" s="15" t="s">
        <v>255</v>
      </c>
      <c r="K1559" s="15">
        <v>36</v>
      </c>
      <c r="L1559" s="16">
        <v>70</v>
      </c>
      <c r="M1559" s="17">
        <v>2520</v>
      </c>
      <c r="N1559" s="15" t="s">
        <v>367</v>
      </c>
      <c r="O1559" s="15" t="s">
        <v>19</v>
      </c>
      <c r="Q1559"/>
    </row>
    <row r="1560" spans="1:17" ht="15.6" x14ac:dyDescent="0.3">
      <c r="A1560" s="11">
        <v>10282</v>
      </c>
      <c r="B1560" s="10">
        <v>38219</v>
      </c>
      <c r="C1560" s="10" t="s">
        <v>288</v>
      </c>
      <c r="D1560" s="11" t="s">
        <v>88</v>
      </c>
      <c r="E1560" s="11" t="s">
        <v>89</v>
      </c>
      <c r="F1560" s="11" t="s">
        <v>15</v>
      </c>
      <c r="G1560" s="11" t="s">
        <v>16</v>
      </c>
      <c r="H1560" s="11" t="s">
        <v>35</v>
      </c>
      <c r="I1560" s="11" t="s">
        <v>39</v>
      </c>
      <c r="J1560" s="11" t="s">
        <v>250</v>
      </c>
      <c r="K1560" s="11">
        <v>38</v>
      </c>
      <c r="L1560" s="12">
        <v>20</v>
      </c>
      <c r="M1560" s="13">
        <v>760</v>
      </c>
      <c r="N1560" s="11" t="s">
        <v>367</v>
      </c>
      <c r="O1560" s="11" t="s">
        <v>19</v>
      </c>
      <c r="Q1560"/>
    </row>
    <row r="1561" spans="1:17" ht="15.6" x14ac:dyDescent="0.3">
      <c r="A1561" s="15">
        <v>10282</v>
      </c>
      <c r="B1561" s="14">
        <v>38219</v>
      </c>
      <c r="C1561" s="14" t="s">
        <v>288</v>
      </c>
      <c r="D1561" s="15" t="s">
        <v>88</v>
      </c>
      <c r="E1561" s="15" t="s">
        <v>89</v>
      </c>
      <c r="F1561" s="15" t="s">
        <v>15</v>
      </c>
      <c r="G1561" s="15" t="s">
        <v>16</v>
      </c>
      <c r="H1561" s="15" t="s">
        <v>47</v>
      </c>
      <c r="I1561" s="15" t="s">
        <v>48</v>
      </c>
      <c r="J1561" s="15" t="s">
        <v>255</v>
      </c>
      <c r="K1561" s="15">
        <v>37</v>
      </c>
      <c r="L1561" s="16">
        <v>70</v>
      </c>
      <c r="M1561" s="17">
        <v>2590</v>
      </c>
      <c r="N1561" s="15" t="s">
        <v>367</v>
      </c>
      <c r="O1561" s="15" t="s">
        <v>19</v>
      </c>
      <c r="Q1561"/>
    </row>
    <row r="1562" spans="1:17" ht="15.6" x14ac:dyDescent="0.3">
      <c r="A1562" s="11">
        <v>10283</v>
      </c>
      <c r="B1562" s="10">
        <v>38219</v>
      </c>
      <c r="C1562" s="10" t="s">
        <v>355</v>
      </c>
      <c r="D1562" s="11" t="s">
        <v>221</v>
      </c>
      <c r="E1562" s="11" t="s">
        <v>222</v>
      </c>
      <c r="F1562" s="11" t="s">
        <v>169</v>
      </c>
      <c r="G1562" s="11" t="s">
        <v>16</v>
      </c>
      <c r="H1562" s="11" t="s">
        <v>54</v>
      </c>
      <c r="I1562" s="11" t="s">
        <v>166</v>
      </c>
      <c r="J1562" s="11" t="s">
        <v>273</v>
      </c>
      <c r="K1562" s="11">
        <v>45</v>
      </c>
      <c r="L1562" s="12">
        <v>160</v>
      </c>
      <c r="M1562" s="13">
        <v>7200</v>
      </c>
      <c r="N1562" s="11" t="s">
        <v>367</v>
      </c>
      <c r="O1562" s="11" t="s">
        <v>19</v>
      </c>
      <c r="Q1562"/>
    </row>
    <row r="1563" spans="1:17" ht="15.6" x14ac:dyDescent="0.3">
      <c r="A1563" s="15">
        <v>10282</v>
      </c>
      <c r="B1563" s="14">
        <v>38219</v>
      </c>
      <c r="C1563" s="14" t="s">
        <v>288</v>
      </c>
      <c r="D1563" s="15" t="s">
        <v>88</v>
      </c>
      <c r="E1563" s="15" t="s">
        <v>89</v>
      </c>
      <c r="F1563" s="15" t="s">
        <v>15</v>
      </c>
      <c r="G1563" s="15" t="s">
        <v>16</v>
      </c>
      <c r="H1563" s="15" t="s">
        <v>54</v>
      </c>
      <c r="I1563" s="15" t="s">
        <v>56</v>
      </c>
      <c r="J1563" s="15" t="s">
        <v>259</v>
      </c>
      <c r="K1563" s="15">
        <v>43</v>
      </c>
      <c r="L1563" s="16">
        <v>250</v>
      </c>
      <c r="M1563" s="17">
        <v>10750</v>
      </c>
      <c r="N1563" s="15" t="s">
        <v>367</v>
      </c>
      <c r="O1563" s="15" t="s">
        <v>19</v>
      </c>
      <c r="Q1563"/>
    </row>
    <row r="1564" spans="1:17" ht="15.6" x14ac:dyDescent="0.3">
      <c r="A1564" s="11">
        <v>10283</v>
      </c>
      <c r="B1564" s="10">
        <v>38219</v>
      </c>
      <c r="C1564" s="10" t="s">
        <v>355</v>
      </c>
      <c r="D1564" s="11" t="s">
        <v>221</v>
      </c>
      <c r="E1564" s="11" t="s">
        <v>222</v>
      </c>
      <c r="F1564" s="11" t="s">
        <v>169</v>
      </c>
      <c r="G1564" s="11" t="s">
        <v>16</v>
      </c>
      <c r="H1564" s="11" t="s">
        <v>54</v>
      </c>
      <c r="I1564" s="11" t="s">
        <v>166</v>
      </c>
      <c r="J1564" s="11" t="s">
        <v>273</v>
      </c>
      <c r="K1564" s="11">
        <v>20</v>
      </c>
      <c r="L1564" s="12">
        <v>160</v>
      </c>
      <c r="M1564" s="13">
        <v>3200</v>
      </c>
      <c r="N1564" s="11" t="s">
        <v>367</v>
      </c>
      <c r="O1564" s="11" t="s">
        <v>19</v>
      </c>
      <c r="Q1564"/>
    </row>
    <row r="1565" spans="1:17" ht="15.6" x14ac:dyDescent="0.3">
      <c r="A1565" s="15">
        <v>10283</v>
      </c>
      <c r="B1565" s="14">
        <v>38219</v>
      </c>
      <c r="C1565" s="14" t="s">
        <v>355</v>
      </c>
      <c r="D1565" s="15" t="s">
        <v>221</v>
      </c>
      <c r="E1565" s="15" t="s">
        <v>222</v>
      </c>
      <c r="F1565" s="15" t="s">
        <v>169</v>
      </c>
      <c r="G1565" s="15" t="s">
        <v>16</v>
      </c>
      <c r="H1565" s="15" t="s">
        <v>54</v>
      </c>
      <c r="I1565" s="15" t="s">
        <v>166</v>
      </c>
      <c r="J1565" s="15" t="s">
        <v>273</v>
      </c>
      <c r="K1565" s="15">
        <v>47</v>
      </c>
      <c r="L1565" s="16">
        <v>160</v>
      </c>
      <c r="M1565" s="17">
        <v>7520</v>
      </c>
      <c r="N1565" s="15" t="s">
        <v>367</v>
      </c>
      <c r="O1565" s="15" t="s">
        <v>19</v>
      </c>
      <c r="Q1565"/>
    </row>
    <row r="1566" spans="1:17" ht="15.6" x14ac:dyDescent="0.3">
      <c r="A1566" s="11">
        <v>10283</v>
      </c>
      <c r="B1566" s="10">
        <v>38219</v>
      </c>
      <c r="C1566" s="10" t="s">
        <v>355</v>
      </c>
      <c r="D1566" s="11" t="s">
        <v>221</v>
      </c>
      <c r="E1566" s="11" t="s">
        <v>222</v>
      </c>
      <c r="F1566" s="11" t="s">
        <v>169</v>
      </c>
      <c r="G1566" s="11" t="s">
        <v>16</v>
      </c>
      <c r="H1566" s="11" t="s">
        <v>54</v>
      </c>
      <c r="I1566" s="11" t="s">
        <v>57</v>
      </c>
      <c r="J1566" s="11" t="s">
        <v>260</v>
      </c>
      <c r="K1566" s="11">
        <v>22</v>
      </c>
      <c r="L1566" s="12">
        <v>220</v>
      </c>
      <c r="M1566" s="13">
        <v>4840</v>
      </c>
      <c r="N1566" s="11" t="s">
        <v>367</v>
      </c>
      <c r="O1566" s="11" t="s">
        <v>19</v>
      </c>
      <c r="Q1566"/>
    </row>
    <row r="1567" spans="1:17" ht="15.6" x14ac:dyDescent="0.3">
      <c r="A1567" s="15">
        <v>10283</v>
      </c>
      <c r="B1567" s="14">
        <v>38219</v>
      </c>
      <c r="C1567" s="14" t="s">
        <v>355</v>
      </c>
      <c r="D1567" s="15" t="s">
        <v>221</v>
      </c>
      <c r="E1567" s="15" t="s">
        <v>222</v>
      </c>
      <c r="F1567" s="15" t="s">
        <v>169</v>
      </c>
      <c r="G1567" s="15" t="s">
        <v>16</v>
      </c>
      <c r="H1567" s="15" t="s">
        <v>54</v>
      </c>
      <c r="I1567" s="15" t="s">
        <v>57</v>
      </c>
      <c r="J1567" s="15" t="s">
        <v>260</v>
      </c>
      <c r="K1567" s="15">
        <v>38</v>
      </c>
      <c r="L1567" s="16">
        <v>220</v>
      </c>
      <c r="M1567" s="17">
        <v>8360</v>
      </c>
      <c r="N1567" s="15" t="s">
        <v>367</v>
      </c>
      <c r="O1567" s="15" t="s">
        <v>19</v>
      </c>
      <c r="Q1567"/>
    </row>
    <row r="1568" spans="1:17" ht="15.6" x14ac:dyDescent="0.3">
      <c r="A1568" s="11">
        <v>10283</v>
      </c>
      <c r="B1568" s="10">
        <v>38219</v>
      </c>
      <c r="C1568" s="10" t="s">
        <v>355</v>
      </c>
      <c r="D1568" s="11" t="s">
        <v>221</v>
      </c>
      <c r="E1568" s="11" t="s">
        <v>222</v>
      </c>
      <c r="F1568" s="11" t="s">
        <v>169</v>
      </c>
      <c r="G1568" s="11" t="s">
        <v>16</v>
      </c>
      <c r="H1568" s="11" t="s">
        <v>61</v>
      </c>
      <c r="I1568" s="11" t="s">
        <v>62</v>
      </c>
      <c r="J1568" s="11" t="s">
        <v>261</v>
      </c>
      <c r="K1568" s="11">
        <v>43</v>
      </c>
      <c r="L1568" s="12">
        <v>15</v>
      </c>
      <c r="M1568" s="13">
        <v>645</v>
      </c>
      <c r="N1568" s="11" t="s">
        <v>367</v>
      </c>
      <c r="O1568" s="11" t="s">
        <v>19</v>
      </c>
      <c r="Q1568"/>
    </row>
    <row r="1569" spans="1:17" ht="15.6" x14ac:dyDescent="0.3">
      <c r="A1569" s="15">
        <v>10283</v>
      </c>
      <c r="B1569" s="14">
        <v>38219</v>
      </c>
      <c r="C1569" s="14" t="s">
        <v>355</v>
      </c>
      <c r="D1569" s="15" t="s">
        <v>221</v>
      </c>
      <c r="E1569" s="15" t="s">
        <v>222</v>
      </c>
      <c r="F1569" s="15" t="s">
        <v>169</v>
      </c>
      <c r="G1569" s="15" t="s">
        <v>16</v>
      </c>
      <c r="H1569" s="15" t="s">
        <v>54</v>
      </c>
      <c r="I1569" s="15" t="s">
        <v>55</v>
      </c>
      <c r="J1569" s="15" t="s">
        <v>258</v>
      </c>
      <c r="K1569" s="15">
        <v>33</v>
      </c>
      <c r="L1569" s="16">
        <v>180</v>
      </c>
      <c r="M1569" s="17">
        <v>5940</v>
      </c>
      <c r="N1569" s="15" t="s">
        <v>367</v>
      </c>
      <c r="O1569" s="15" t="s">
        <v>19</v>
      </c>
      <c r="Q1569"/>
    </row>
    <row r="1570" spans="1:17" ht="15.6" x14ac:dyDescent="0.3">
      <c r="A1570" s="11">
        <v>10284</v>
      </c>
      <c r="B1570" s="10">
        <v>38220</v>
      </c>
      <c r="C1570" s="10" t="s">
        <v>318</v>
      </c>
      <c r="D1570" s="11" t="s">
        <v>150</v>
      </c>
      <c r="E1570" s="11" t="s">
        <v>151</v>
      </c>
      <c r="F1570" s="11" t="s">
        <v>31</v>
      </c>
      <c r="G1570" s="11" t="s">
        <v>25</v>
      </c>
      <c r="H1570" s="11" t="s">
        <v>61</v>
      </c>
      <c r="I1570" s="11" t="s">
        <v>62</v>
      </c>
      <c r="J1570" s="11" t="s">
        <v>261</v>
      </c>
      <c r="K1570" s="11">
        <v>45</v>
      </c>
      <c r="L1570" s="12">
        <v>15</v>
      </c>
      <c r="M1570" s="13">
        <v>675</v>
      </c>
      <c r="N1570" s="11" t="s">
        <v>367</v>
      </c>
      <c r="O1570" s="11" t="s">
        <v>19</v>
      </c>
      <c r="Q1570"/>
    </row>
    <row r="1571" spans="1:17" ht="15.6" x14ac:dyDescent="0.3">
      <c r="A1571" s="15">
        <v>10284</v>
      </c>
      <c r="B1571" s="14">
        <v>38220</v>
      </c>
      <c r="C1571" s="14" t="s">
        <v>318</v>
      </c>
      <c r="D1571" s="15" t="s">
        <v>150</v>
      </c>
      <c r="E1571" s="15" t="s">
        <v>151</v>
      </c>
      <c r="F1571" s="15" t="s">
        <v>31</v>
      </c>
      <c r="G1571" s="15" t="s">
        <v>25</v>
      </c>
      <c r="H1571" s="15" t="s">
        <v>61</v>
      </c>
      <c r="I1571" s="15" t="s">
        <v>66</v>
      </c>
      <c r="J1571" s="15" t="s">
        <v>265</v>
      </c>
      <c r="K1571" s="15">
        <v>31</v>
      </c>
      <c r="L1571" s="16">
        <v>35</v>
      </c>
      <c r="M1571" s="17">
        <v>1085</v>
      </c>
      <c r="N1571" s="15" t="s">
        <v>367</v>
      </c>
      <c r="O1571" s="15" t="s">
        <v>19</v>
      </c>
      <c r="Q1571"/>
    </row>
    <row r="1572" spans="1:17" ht="15.6" x14ac:dyDescent="0.3">
      <c r="A1572" s="11">
        <v>10284</v>
      </c>
      <c r="B1572" s="10">
        <v>38220</v>
      </c>
      <c r="C1572" s="10" t="s">
        <v>318</v>
      </c>
      <c r="D1572" s="11" t="s">
        <v>150</v>
      </c>
      <c r="E1572" s="11" t="s">
        <v>151</v>
      </c>
      <c r="F1572" s="11" t="s">
        <v>31</v>
      </c>
      <c r="G1572" s="11" t="s">
        <v>25</v>
      </c>
      <c r="H1572" s="11" t="s">
        <v>61</v>
      </c>
      <c r="I1572" s="11" t="s">
        <v>62</v>
      </c>
      <c r="J1572" s="11" t="s">
        <v>261</v>
      </c>
      <c r="K1572" s="11">
        <v>22</v>
      </c>
      <c r="L1572" s="12">
        <v>15</v>
      </c>
      <c r="M1572" s="13">
        <v>330</v>
      </c>
      <c r="N1572" s="11" t="s">
        <v>367</v>
      </c>
      <c r="O1572" s="11" t="s">
        <v>19</v>
      </c>
      <c r="Q1572"/>
    </row>
    <row r="1573" spans="1:17" ht="15.6" x14ac:dyDescent="0.3">
      <c r="A1573" s="15">
        <v>10284</v>
      </c>
      <c r="B1573" s="14">
        <v>38220</v>
      </c>
      <c r="C1573" s="14" t="s">
        <v>318</v>
      </c>
      <c r="D1573" s="15" t="s">
        <v>150</v>
      </c>
      <c r="E1573" s="15" t="s">
        <v>151</v>
      </c>
      <c r="F1573" s="15" t="s">
        <v>31</v>
      </c>
      <c r="G1573" s="15" t="s">
        <v>25</v>
      </c>
      <c r="H1573" s="15" t="s">
        <v>61</v>
      </c>
      <c r="I1573" s="15" t="s">
        <v>65</v>
      </c>
      <c r="J1573" s="15" t="s">
        <v>264</v>
      </c>
      <c r="K1573" s="15">
        <v>30</v>
      </c>
      <c r="L1573" s="16">
        <v>30</v>
      </c>
      <c r="M1573" s="17">
        <v>900</v>
      </c>
      <c r="N1573" s="15" t="s">
        <v>367</v>
      </c>
      <c r="O1573" s="15" t="s">
        <v>19</v>
      </c>
      <c r="Q1573"/>
    </row>
    <row r="1574" spans="1:17" ht="15.6" x14ac:dyDescent="0.3">
      <c r="A1574" s="11">
        <v>10284</v>
      </c>
      <c r="B1574" s="10">
        <v>38220</v>
      </c>
      <c r="C1574" s="10" t="s">
        <v>318</v>
      </c>
      <c r="D1574" s="11" t="s">
        <v>150</v>
      </c>
      <c r="E1574" s="11" t="s">
        <v>151</v>
      </c>
      <c r="F1574" s="11" t="s">
        <v>31</v>
      </c>
      <c r="G1574" s="11" t="s">
        <v>25</v>
      </c>
      <c r="H1574" s="11" t="s">
        <v>17</v>
      </c>
      <c r="I1574" s="11" t="s">
        <v>20</v>
      </c>
      <c r="J1574" s="11" t="s">
        <v>242</v>
      </c>
      <c r="K1574" s="11">
        <v>39</v>
      </c>
      <c r="L1574" s="12">
        <v>48</v>
      </c>
      <c r="M1574" s="13">
        <v>1872</v>
      </c>
      <c r="N1574" s="11" t="s">
        <v>367</v>
      </c>
      <c r="O1574" s="11" t="s">
        <v>19</v>
      </c>
      <c r="Q1574"/>
    </row>
    <row r="1575" spans="1:17" ht="15.6" x14ac:dyDescent="0.3">
      <c r="A1575" s="15">
        <v>10284</v>
      </c>
      <c r="B1575" s="14">
        <v>38220</v>
      </c>
      <c r="C1575" s="14" t="s">
        <v>318</v>
      </c>
      <c r="D1575" s="15" t="s">
        <v>150</v>
      </c>
      <c r="E1575" s="15" t="s">
        <v>151</v>
      </c>
      <c r="F1575" s="15" t="s">
        <v>31</v>
      </c>
      <c r="G1575" s="15" t="s">
        <v>25</v>
      </c>
      <c r="H1575" s="15" t="s">
        <v>61</v>
      </c>
      <c r="I1575" s="15" t="s">
        <v>62</v>
      </c>
      <c r="J1575" s="15" t="s">
        <v>261</v>
      </c>
      <c r="K1575" s="15">
        <v>21</v>
      </c>
      <c r="L1575" s="16">
        <v>15</v>
      </c>
      <c r="M1575" s="17">
        <v>315</v>
      </c>
      <c r="N1575" s="15" t="s">
        <v>367</v>
      </c>
      <c r="O1575" s="15" t="s">
        <v>19</v>
      </c>
      <c r="Q1575"/>
    </row>
    <row r="1576" spans="1:17" ht="15.6" x14ac:dyDescent="0.3">
      <c r="A1576" s="11">
        <v>10284</v>
      </c>
      <c r="B1576" s="10">
        <v>38220</v>
      </c>
      <c r="C1576" s="10" t="s">
        <v>318</v>
      </c>
      <c r="D1576" s="11" t="s">
        <v>150</v>
      </c>
      <c r="E1576" s="11" t="s">
        <v>151</v>
      </c>
      <c r="F1576" s="11" t="s">
        <v>31</v>
      </c>
      <c r="G1576" s="11" t="s">
        <v>25</v>
      </c>
      <c r="H1576" s="11" t="s">
        <v>61</v>
      </c>
      <c r="I1576" s="11" t="s">
        <v>62</v>
      </c>
      <c r="J1576" s="11" t="s">
        <v>261</v>
      </c>
      <c r="K1576" s="11">
        <v>21</v>
      </c>
      <c r="L1576" s="12">
        <v>15</v>
      </c>
      <c r="M1576" s="13">
        <v>315</v>
      </c>
      <c r="N1576" s="11" t="s">
        <v>367</v>
      </c>
      <c r="O1576" s="11" t="s">
        <v>19</v>
      </c>
      <c r="Q1576"/>
    </row>
    <row r="1577" spans="1:17" ht="15.6" x14ac:dyDescent="0.3">
      <c r="A1577" s="15">
        <v>10284</v>
      </c>
      <c r="B1577" s="14">
        <v>38220</v>
      </c>
      <c r="C1577" s="14" t="s">
        <v>318</v>
      </c>
      <c r="D1577" s="15" t="s">
        <v>150</v>
      </c>
      <c r="E1577" s="15" t="s">
        <v>151</v>
      </c>
      <c r="F1577" s="15" t="s">
        <v>31</v>
      </c>
      <c r="G1577" s="15" t="s">
        <v>25</v>
      </c>
      <c r="H1577" s="15" t="s">
        <v>17</v>
      </c>
      <c r="I1577" s="15" t="s">
        <v>20</v>
      </c>
      <c r="J1577" s="15" t="s">
        <v>242</v>
      </c>
      <c r="K1577" s="15">
        <v>50</v>
      </c>
      <c r="L1577" s="16">
        <v>48</v>
      </c>
      <c r="M1577" s="17">
        <v>2400</v>
      </c>
      <c r="N1577" s="15" t="s">
        <v>368</v>
      </c>
      <c r="O1577" s="15" t="s">
        <v>19</v>
      </c>
      <c r="Q1577"/>
    </row>
    <row r="1578" spans="1:17" ht="15.6" x14ac:dyDescent="0.3">
      <c r="A1578" s="11">
        <v>10284</v>
      </c>
      <c r="B1578" s="10">
        <v>38220</v>
      </c>
      <c r="C1578" s="10" t="s">
        <v>318</v>
      </c>
      <c r="D1578" s="11" t="s">
        <v>150</v>
      </c>
      <c r="E1578" s="11" t="s">
        <v>151</v>
      </c>
      <c r="F1578" s="11" t="s">
        <v>31</v>
      </c>
      <c r="G1578" s="11" t="s">
        <v>25</v>
      </c>
      <c r="H1578" s="11" t="s">
        <v>17</v>
      </c>
      <c r="I1578" s="11" t="s">
        <v>20</v>
      </c>
      <c r="J1578" s="11" t="s">
        <v>242</v>
      </c>
      <c r="K1578" s="11">
        <v>33</v>
      </c>
      <c r="L1578" s="12">
        <v>48</v>
      </c>
      <c r="M1578" s="13">
        <v>1584</v>
      </c>
      <c r="N1578" s="11" t="s">
        <v>367</v>
      </c>
      <c r="O1578" s="11" t="s">
        <v>19</v>
      </c>
      <c r="Q1578"/>
    </row>
    <row r="1579" spans="1:17" ht="15.6" x14ac:dyDescent="0.3">
      <c r="A1579" s="15">
        <v>10284</v>
      </c>
      <c r="B1579" s="14">
        <v>38220</v>
      </c>
      <c r="C1579" s="14" t="s">
        <v>318</v>
      </c>
      <c r="D1579" s="15" t="s">
        <v>150</v>
      </c>
      <c r="E1579" s="15" t="s">
        <v>151</v>
      </c>
      <c r="F1579" s="15" t="s">
        <v>31</v>
      </c>
      <c r="G1579" s="15" t="s">
        <v>25</v>
      </c>
      <c r="H1579" s="15" t="s">
        <v>61</v>
      </c>
      <c r="I1579" s="15" t="s">
        <v>64</v>
      </c>
      <c r="J1579" s="15" t="s">
        <v>263</v>
      </c>
      <c r="K1579" s="15">
        <v>24</v>
      </c>
      <c r="L1579" s="16">
        <v>35</v>
      </c>
      <c r="M1579" s="17">
        <v>840</v>
      </c>
      <c r="N1579" s="15" t="s">
        <v>367</v>
      </c>
      <c r="O1579" s="15" t="s">
        <v>19</v>
      </c>
      <c r="Q1579"/>
    </row>
    <row r="1580" spans="1:17" ht="15.6" x14ac:dyDescent="0.3">
      <c r="A1580" s="11">
        <v>10284</v>
      </c>
      <c r="B1580" s="10">
        <v>38220</v>
      </c>
      <c r="C1580" s="10" t="s">
        <v>318</v>
      </c>
      <c r="D1580" s="11" t="s">
        <v>150</v>
      </c>
      <c r="E1580" s="11" t="s">
        <v>151</v>
      </c>
      <c r="F1580" s="11" t="s">
        <v>31</v>
      </c>
      <c r="G1580" s="11" t="s">
        <v>25</v>
      </c>
      <c r="H1580" s="11" t="s">
        <v>61</v>
      </c>
      <c r="I1580" s="11" t="s">
        <v>62</v>
      </c>
      <c r="J1580" s="11" t="s">
        <v>261</v>
      </c>
      <c r="K1580" s="11">
        <v>45</v>
      </c>
      <c r="L1580" s="12">
        <v>15</v>
      </c>
      <c r="M1580" s="13">
        <v>675</v>
      </c>
      <c r="N1580" s="11" t="s">
        <v>367</v>
      </c>
      <c r="O1580" s="11" t="s">
        <v>19</v>
      </c>
      <c r="Q1580"/>
    </row>
    <row r="1581" spans="1:17" ht="15.6" x14ac:dyDescent="0.3">
      <c r="A1581" s="15">
        <v>10284</v>
      </c>
      <c r="B1581" s="14">
        <v>38220</v>
      </c>
      <c r="C1581" s="14" t="s">
        <v>318</v>
      </c>
      <c r="D1581" s="15" t="s">
        <v>150</v>
      </c>
      <c r="E1581" s="15" t="s">
        <v>151</v>
      </c>
      <c r="F1581" s="15" t="s">
        <v>31</v>
      </c>
      <c r="G1581" s="15" t="s">
        <v>25</v>
      </c>
      <c r="H1581" s="15" t="s">
        <v>61</v>
      </c>
      <c r="I1581" s="15" t="s">
        <v>62</v>
      </c>
      <c r="J1581" s="15" t="s">
        <v>261</v>
      </c>
      <c r="K1581" s="15">
        <v>25</v>
      </c>
      <c r="L1581" s="16">
        <v>15</v>
      </c>
      <c r="M1581" s="17">
        <v>375</v>
      </c>
      <c r="N1581" s="15" t="s">
        <v>367</v>
      </c>
      <c r="O1581" s="15" t="s">
        <v>19</v>
      </c>
      <c r="Q1581"/>
    </row>
    <row r="1582" spans="1:17" ht="15.6" x14ac:dyDescent="0.3">
      <c r="A1582" s="11">
        <v>10284</v>
      </c>
      <c r="B1582" s="10">
        <v>38220</v>
      </c>
      <c r="C1582" s="10" t="s">
        <v>318</v>
      </c>
      <c r="D1582" s="11" t="s">
        <v>150</v>
      </c>
      <c r="E1582" s="11" t="s">
        <v>151</v>
      </c>
      <c r="F1582" s="11" t="s">
        <v>31</v>
      </c>
      <c r="G1582" s="11" t="s">
        <v>25</v>
      </c>
      <c r="H1582" s="11" t="s">
        <v>61</v>
      </c>
      <c r="I1582" s="11" t="s">
        <v>66</v>
      </c>
      <c r="J1582" s="11" t="s">
        <v>265</v>
      </c>
      <c r="K1582" s="11">
        <v>32</v>
      </c>
      <c r="L1582" s="12">
        <v>35</v>
      </c>
      <c r="M1582" s="13">
        <v>1120</v>
      </c>
      <c r="N1582" s="11" t="s">
        <v>367</v>
      </c>
      <c r="O1582" s="11" t="s">
        <v>19</v>
      </c>
      <c r="Q1582"/>
    </row>
    <row r="1583" spans="1:17" ht="15.6" x14ac:dyDescent="0.3">
      <c r="A1583" s="15">
        <v>10285</v>
      </c>
      <c r="B1583" s="14">
        <v>38226</v>
      </c>
      <c r="C1583" s="14" t="s">
        <v>365</v>
      </c>
      <c r="D1583" s="15" t="s">
        <v>237</v>
      </c>
      <c r="E1583" s="15" t="s">
        <v>216</v>
      </c>
      <c r="F1583" s="15" t="s">
        <v>15</v>
      </c>
      <c r="G1583" s="15" t="s">
        <v>16</v>
      </c>
      <c r="H1583" s="15" t="s">
        <v>68</v>
      </c>
      <c r="I1583" s="15" t="s">
        <v>75</v>
      </c>
      <c r="J1583" s="15" t="s">
        <v>268</v>
      </c>
      <c r="K1583" s="15">
        <v>36</v>
      </c>
      <c r="L1583" s="16">
        <v>35</v>
      </c>
      <c r="M1583" s="17">
        <v>1260</v>
      </c>
      <c r="N1583" s="15" t="s">
        <v>367</v>
      </c>
      <c r="O1583" s="15" t="s">
        <v>19</v>
      </c>
      <c r="Q1583"/>
    </row>
    <row r="1584" spans="1:17" ht="15.6" x14ac:dyDescent="0.3">
      <c r="A1584" s="11">
        <v>10285</v>
      </c>
      <c r="B1584" s="10">
        <v>38226</v>
      </c>
      <c r="C1584" s="10" t="s">
        <v>365</v>
      </c>
      <c r="D1584" s="11" t="s">
        <v>237</v>
      </c>
      <c r="E1584" s="11" t="s">
        <v>216</v>
      </c>
      <c r="F1584" s="11" t="s">
        <v>15</v>
      </c>
      <c r="G1584" s="11" t="s">
        <v>16</v>
      </c>
      <c r="H1584" s="11" t="s">
        <v>68</v>
      </c>
      <c r="I1584" s="11" t="s">
        <v>69</v>
      </c>
      <c r="J1584" s="11" t="s">
        <v>266</v>
      </c>
      <c r="K1584" s="11">
        <v>47</v>
      </c>
      <c r="L1584" s="12">
        <v>25</v>
      </c>
      <c r="M1584" s="13">
        <v>1175</v>
      </c>
      <c r="N1584" s="11" t="s">
        <v>367</v>
      </c>
      <c r="O1584" s="11" t="s">
        <v>19</v>
      </c>
      <c r="Q1584"/>
    </row>
    <row r="1585" spans="1:17" ht="15.6" x14ac:dyDescent="0.3">
      <c r="A1585" s="15">
        <v>10285</v>
      </c>
      <c r="B1585" s="14">
        <v>38226</v>
      </c>
      <c r="C1585" s="14" t="s">
        <v>365</v>
      </c>
      <c r="D1585" s="15" t="s">
        <v>237</v>
      </c>
      <c r="E1585" s="15" t="s">
        <v>216</v>
      </c>
      <c r="F1585" s="15" t="s">
        <v>15</v>
      </c>
      <c r="G1585" s="15" t="s">
        <v>16</v>
      </c>
      <c r="H1585" s="15" t="s">
        <v>68</v>
      </c>
      <c r="I1585" s="15" t="s">
        <v>69</v>
      </c>
      <c r="J1585" s="15" t="s">
        <v>266</v>
      </c>
      <c r="K1585" s="15">
        <v>27</v>
      </c>
      <c r="L1585" s="16">
        <v>25</v>
      </c>
      <c r="M1585" s="17">
        <v>675</v>
      </c>
      <c r="N1585" s="15" t="s">
        <v>367</v>
      </c>
      <c r="O1585" s="15" t="s">
        <v>19</v>
      </c>
      <c r="Q1585"/>
    </row>
    <row r="1586" spans="1:17" ht="15.6" x14ac:dyDescent="0.3">
      <c r="A1586" s="11">
        <v>10285</v>
      </c>
      <c r="B1586" s="10">
        <v>38226</v>
      </c>
      <c r="C1586" s="10" t="s">
        <v>365</v>
      </c>
      <c r="D1586" s="11" t="s">
        <v>237</v>
      </c>
      <c r="E1586" s="11" t="s">
        <v>216</v>
      </c>
      <c r="F1586" s="11" t="s">
        <v>15</v>
      </c>
      <c r="G1586" s="11" t="s">
        <v>16</v>
      </c>
      <c r="H1586" s="11" t="s">
        <v>68</v>
      </c>
      <c r="I1586" s="11" t="s">
        <v>76</v>
      </c>
      <c r="J1586" s="11" t="s">
        <v>269</v>
      </c>
      <c r="K1586" s="11">
        <v>49</v>
      </c>
      <c r="L1586" s="12">
        <v>30</v>
      </c>
      <c r="M1586" s="13">
        <v>1470</v>
      </c>
      <c r="N1586" s="11" t="s">
        <v>367</v>
      </c>
      <c r="O1586" s="11" t="s">
        <v>19</v>
      </c>
      <c r="Q1586"/>
    </row>
    <row r="1587" spans="1:17" ht="15.6" x14ac:dyDescent="0.3">
      <c r="A1587" s="15">
        <v>10285</v>
      </c>
      <c r="B1587" s="14">
        <v>38226</v>
      </c>
      <c r="C1587" s="14" t="s">
        <v>365</v>
      </c>
      <c r="D1587" s="15" t="s">
        <v>237</v>
      </c>
      <c r="E1587" s="15" t="s">
        <v>216</v>
      </c>
      <c r="F1587" s="15" t="s">
        <v>15</v>
      </c>
      <c r="G1587" s="15" t="s">
        <v>16</v>
      </c>
      <c r="H1587" s="15" t="s">
        <v>68</v>
      </c>
      <c r="I1587" s="15" t="s">
        <v>70</v>
      </c>
      <c r="J1587" s="15" t="s">
        <v>267</v>
      </c>
      <c r="K1587" s="15">
        <v>20</v>
      </c>
      <c r="L1587" s="16">
        <v>50</v>
      </c>
      <c r="M1587" s="17">
        <v>1000</v>
      </c>
      <c r="N1587" s="15" t="s">
        <v>367</v>
      </c>
      <c r="O1587" s="15" t="s">
        <v>19</v>
      </c>
      <c r="Q1587"/>
    </row>
    <row r="1588" spans="1:17" ht="15.6" x14ac:dyDescent="0.3">
      <c r="A1588" s="11">
        <v>10285</v>
      </c>
      <c r="B1588" s="10">
        <v>38226</v>
      </c>
      <c r="C1588" s="10" t="s">
        <v>365</v>
      </c>
      <c r="D1588" s="11" t="s">
        <v>237</v>
      </c>
      <c r="E1588" s="11" t="s">
        <v>216</v>
      </c>
      <c r="F1588" s="11" t="s">
        <v>15</v>
      </c>
      <c r="G1588" s="11" t="s">
        <v>16</v>
      </c>
      <c r="H1588" s="11" t="s">
        <v>68</v>
      </c>
      <c r="I1588" s="11" t="s">
        <v>70</v>
      </c>
      <c r="J1588" s="11" t="s">
        <v>267</v>
      </c>
      <c r="K1588" s="11">
        <v>34</v>
      </c>
      <c r="L1588" s="12">
        <v>50</v>
      </c>
      <c r="M1588" s="13">
        <v>1700</v>
      </c>
      <c r="N1588" s="11" t="s">
        <v>367</v>
      </c>
      <c r="O1588" s="11" t="s">
        <v>19</v>
      </c>
      <c r="Q1588"/>
    </row>
    <row r="1589" spans="1:17" ht="15.6" x14ac:dyDescent="0.3">
      <c r="A1589" s="15">
        <v>10285</v>
      </c>
      <c r="B1589" s="14">
        <v>38226</v>
      </c>
      <c r="C1589" s="14" t="s">
        <v>365</v>
      </c>
      <c r="D1589" s="15" t="s">
        <v>237</v>
      </c>
      <c r="E1589" s="15" t="s">
        <v>216</v>
      </c>
      <c r="F1589" s="15" t="s">
        <v>15</v>
      </c>
      <c r="G1589" s="15" t="s">
        <v>16</v>
      </c>
      <c r="H1589" s="15" t="s">
        <v>68</v>
      </c>
      <c r="I1589" s="15" t="s">
        <v>70</v>
      </c>
      <c r="J1589" s="15" t="s">
        <v>267</v>
      </c>
      <c r="K1589" s="15">
        <v>39</v>
      </c>
      <c r="L1589" s="16">
        <v>50</v>
      </c>
      <c r="M1589" s="17">
        <v>1950</v>
      </c>
      <c r="N1589" s="15" t="s">
        <v>367</v>
      </c>
      <c r="O1589" s="15" t="s">
        <v>19</v>
      </c>
      <c r="Q1589"/>
    </row>
    <row r="1590" spans="1:17" ht="15.6" x14ac:dyDescent="0.3">
      <c r="A1590" s="11">
        <v>10285</v>
      </c>
      <c r="B1590" s="10">
        <v>38226</v>
      </c>
      <c r="C1590" s="10" t="s">
        <v>365</v>
      </c>
      <c r="D1590" s="11" t="s">
        <v>237</v>
      </c>
      <c r="E1590" s="11" t="s">
        <v>216</v>
      </c>
      <c r="F1590" s="11" t="s">
        <v>15</v>
      </c>
      <c r="G1590" s="11" t="s">
        <v>16</v>
      </c>
      <c r="H1590" s="11" t="s">
        <v>68</v>
      </c>
      <c r="I1590" s="11" t="s">
        <v>70</v>
      </c>
      <c r="J1590" s="11" t="s">
        <v>267</v>
      </c>
      <c r="K1590" s="11">
        <v>38</v>
      </c>
      <c r="L1590" s="12">
        <v>50</v>
      </c>
      <c r="M1590" s="13">
        <v>1900</v>
      </c>
      <c r="N1590" s="11" t="s">
        <v>367</v>
      </c>
      <c r="O1590" s="11" t="s">
        <v>19</v>
      </c>
      <c r="Q1590"/>
    </row>
    <row r="1591" spans="1:17" ht="15.6" x14ac:dyDescent="0.3">
      <c r="A1591" s="15">
        <v>10285</v>
      </c>
      <c r="B1591" s="14">
        <v>38226</v>
      </c>
      <c r="C1591" s="14" t="s">
        <v>365</v>
      </c>
      <c r="D1591" s="15" t="s">
        <v>237</v>
      </c>
      <c r="E1591" s="15" t="s">
        <v>216</v>
      </c>
      <c r="F1591" s="15" t="s">
        <v>15</v>
      </c>
      <c r="G1591" s="15" t="s">
        <v>16</v>
      </c>
      <c r="H1591" s="15" t="s">
        <v>68</v>
      </c>
      <c r="I1591" s="15" t="s">
        <v>69</v>
      </c>
      <c r="J1591" s="15" t="s">
        <v>266</v>
      </c>
      <c r="K1591" s="15">
        <v>37</v>
      </c>
      <c r="L1591" s="16">
        <v>25</v>
      </c>
      <c r="M1591" s="17">
        <v>925</v>
      </c>
      <c r="N1591" s="15" t="s">
        <v>367</v>
      </c>
      <c r="O1591" s="15" t="s">
        <v>19</v>
      </c>
      <c r="Q1591"/>
    </row>
    <row r="1592" spans="1:17" ht="15.6" x14ac:dyDescent="0.3">
      <c r="A1592" s="11">
        <v>10285</v>
      </c>
      <c r="B1592" s="10">
        <v>38226</v>
      </c>
      <c r="C1592" s="10" t="s">
        <v>365</v>
      </c>
      <c r="D1592" s="11" t="s">
        <v>237</v>
      </c>
      <c r="E1592" s="11" t="s">
        <v>216</v>
      </c>
      <c r="F1592" s="11" t="s">
        <v>15</v>
      </c>
      <c r="G1592" s="11" t="s">
        <v>16</v>
      </c>
      <c r="H1592" s="11" t="s">
        <v>68</v>
      </c>
      <c r="I1592" s="11" t="s">
        <v>70</v>
      </c>
      <c r="J1592" s="11" t="s">
        <v>267</v>
      </c>
      <c r="K1592" s="11">
        <v>37</v>
      </c>
      <c r="L1592" s="12">
        <v>50</v>
      </c>
      <c r="M1592" s="13">
        <v>1850</v>
      </c>
      <c r="N1592" s="11" t="s">
        <v>367</v>
      </c>
      <c r="O1592" s="11" t="s">
        <v>19</v>
      </c>
      <c r="Q1592"/>
    </row>
    <row r="1593" spans="1:17" ht="15.6" x14ac:dyDescent="0.3">
      <c r="A1593" s="15">
        <v>10285</v>
      </c>
      <c r="B1593" s="14">
        <v>38226</v>
      </c>
      <c r="C1593" s="14" t="s">
        <v>365</v>
      </c>
      <c r="D1593" s="15" t="s">
        <v>237</v>
      </c>
      <c r="E1593" s="15" t="s">
        <v>216</v>
      </c>
      <c r="F1593" s="15" t="s">
        <v>15</v>
      </c>
      <c r="G1593" s="15" t="s">
        <v>16</v>
      </c>
      <c r="H1593" s="15" t="s">
        <v>68</v>
      </c>
      <c r="I1593" s="15" t="s">
        <v>70</v>
      </c>
      <c r="J1593" s="15" t="s">
        <v>267</v>
      </c>
      <c r="K1593" s="15">
        <v>26</v>
      </c>
      <c r="L1593" s="16">
        <v>50</v>
      </c>
      <c r="M1593" s="17">
        <v>1300</v>
      </c>
      <c r="N1593" s="15" t="s">
        <v>367</v>
      </c>
      <c r="O1593" s="15" t="s">
        <v>19</v>
      </c>
      <c r="Q1593"/>
    </row>
    <row r="1594" spans="1:17" ht="15.6" x14ac:dyDescent="0.3">
      <c r="A1594" s="11">
        <v>10285</v>
      </c>
      <c r="B1594" s="10">
        <v>38226</v>
      </c>
      <c r="C1594" s="10" t="s">
        <v>365</v>
      </c>
      <c r="D1594" s="11" t="s">
        <v>237</v>
      </c>
      <c r="E1594" s="11" t="s">
        <v>216</v>
      </c>
      <c r="F1594" s="11" t="s">
        <v>15</v>
      </c>
      <c r="G1594" s="11" t="s">
        <v>16</v>
      </c>
      <c r="H1594" s="11" t="s">
        <v>68</v>
      </c>
      <c r="I1594" s="11" t="s">
        <v>108</v>
      </c>
      <c r="J1594" s="11" t="s">
        <v>271</v>
      </c>
      <c r="K1594" s="11">
        <v>39</v>
      </c>
      <c r="L1594" s="12">
        <v>45</v>
      </c>
      <c r="M1594" s="13">
        <v>1755</v>
      </c>
      <c r="N1594" s="11" t="s">
        <v>367</v>
      </c>
      <c r="O1594" s="11" t="s">
        <v>19</v>
      </c>
      <c r="Q1594"/>
    </row>
    <row r="1595" spans="1:17" ht="15.6" x14ac:dyDescent="0.3">
      <c r="A1595" s="15">
        <v>10285</v>
      </c>
      <c r="B1595" s="14">
        <v>38226</v>
      </c>
      <c r="C1595" s="14" t="s">
        <v>365</v>
      </c>
      <c r="D1595" s="15" t="s">
        <v>237</v>
      </c>
      <c r="E1595" s="15" t="s">
        <v>216</v>
      </c>
      <c r="F1595" s="15" t="s">
        <v>15</v>
      </c>
      <c r="G1595" s="15" t="s">
        <v>16</v>
      </c>
      <c r="H1595" s="15" t="s">
        <v>61</v>
      </c>
      <c r="I1595" s="15" t="s">
        <v>66</v>
      </c>
      <c r="J1595" s="15" t="s">
        <v>265</v>
      </c>
      <c r="K1595" s="15">
        <v>45</v>
      </c>
      <c r="L1595" s="16">
        <v>35</v>
      </c>
      <c r="M1595" s="17">
        <v>1575</v>
      </c>
      <c r="N1595" s="15" t="s">
        <v>367</v>
      </c>
      <c r="O1595" s="15" t="s">
        <v>19</v>
      </c>
      <c r="Q1595"/>
    </row>
    <row r="1596" spans="1:17" ht="15.6" x14ac:dyDescent="0.3">
      <c r="A1596" s="11">
        <v>10286</v>
      </c>
      <c r="B1596" s="10">
        <v>38227</v>
      </c>
      <c r="C1596" s="10" t="s">
        <v>289</v>
      </c>
      <c r="D1596" s="11" t="s">
        <v>90</v>
      </c>
      <c r="E1596" s="11" t="s">
        <v>91</v>
      </c>
      <c r="F1596" s="11" t="s">
        <v>92</v>
      </c>
      <c r="G1596" s="11" t="s">
        <v>25</v>
      </c>
      <c r="H1596" s="11" t="s">
        <v>68</v>
      </c>
      <c r="I1596" s="11" t="s">
        <v>76</v>
      </c>
      <c r="J1596" s="11" t="s">
        <v>269</v>
      </c>
      <c r="K1596" s="11">
        <v>38</v>
      </c>
      <c r="L1596" s="12">
        <v>30</v>
      </c>
      <c r="M1596" s="13">
        <v>1140</v>
      </c>
      <c r="N1596" s="11" t="s">
        <v>367</v>
      </c>
      <c r="O1596" s="11" t="s">
        <v>19</v>
      </c>
      <c r="Q1596"/>
    </row>
    <row r="1597" spans="1:17" ht="15.6" x14ac:dyDescent="0.3">
      <c r="A1597" s="15">
        <v>10287</v>
      </c>
      <c r="B1597" s="14">
        <v>38229</v>
      </c>
      <c r="C1597" s="14" t="s">
        <v>351</v>
      </c>
      <c r="D1597" s="15" t="s">
        <v>212</v>
      </c>
      <c r="E1597" s="15" t="s">
        <v>213</v>
      </c>
      <c r="F1597" s="15" t="s">
        <v>214</v>
      </c>
      <c r="G1597" s="15" t="s">
        <v>25</v>
      </c>
      <c r="H1597" s="15" t="s">
        <v>32</v>
      </c>
      <c r="I1597" s="15" t="s">
        <v>33</v>
      </c>
      <c r="J1597" s="15" t="s">
        <v>245</v>
      </c>
      <c r="K1597" s="15">
        <v>21</v>
      </c>
      <c r="L1597" s="16">
        <v>85</v>
      </c>
      <c r="M1597" s="17">
        <v>1785</v>
      </c>
      <c r="N1597" s="15" t="s">
        <v>367</v>
      </c>
      <c r="O1597" s="15" t="s">
        <v>19</v>
      </c>
      <c r="Q1597"/>
    </row>
    <row r="1598" spans="1:17" ht="15.6" x14ac:dyDescent="0.3">
      <c r="A1598" s="11">
        <v>10287</v>
      </c>
      <c r="B1598" s="10">
        <v>38229</v>
      </c>
      <c r="C1598" s="10" t="s">
        <v>351</v>
      </c>
      <c r="D1598" s="11" t="s">
        <v>212</v>
      </c>
      <c r="E1598" s="11" t="s">
        <v>213</v>
      </c>
      <c r="F1598" s="11" t="s">
        <v>214</v>
      </c>
      <c r="G1598" s="11" t="s">
        <v>25</v>
      </c>
      <c r="H1598" s="11" t="s">
        <v>32</v>
      </c>
      <c r="I1598" s="11" t="s">
        <v>34</v>
      </c>
      <c r="J1598" s="11" t="s">
        <v>246</v>
      </c>
      <c r="K1598" s="11">
        <v>45</v>
      </c>
      <c r="L1598" s="12">
        <v>80</v>
      </c>
      <c r="M1598" s="13">
        <v>3600</v>
      </c>
      <c r="N1598" s="11" t="s">
        <v>367</v>
      </c>
      <c r="O1598" s="11" t="s">
        <v>19</v>
      </c>
      <c r="Q1598"/>
    </row>
    <row r="1599" spans="1:17" ht="15.6" x14ac:dyDescent="0.3">
      <c r="A1599" s="15">
        <v>10287</v>
      </c>
      <c r="B1599" s="14">
        <v>38229</v>
      </c>
      <c r="C1599" s="14" t="s">
        <v>351</v>
      </c>
      <c r="D1599" s="15" t="s">
        <v>212</v>
      </c>
      <c r="E1599" s="15" t="s">
        <v>213</v>
      </c>
      <c r="F1599" s="15" t="s">
        <v>214</v>
      </c>
      <c r="G1599" s="15" t="s">
        <v>25</v>
      </c>
      <c r="H1599" s="15" t="s">
        <v>32</v>
      </c>
      <c r="I1599" s="15" t="s">
        <v>44</v>
      </c>
      <c r="J1599" s="15" t="s">
        <v>252</v>
      </c>
      <c r="K1599" s="15">
        <v>41</v>
      </c>
      <c r="L1599" s="16">
        <v>55</v>
      </c>
      <c r="M1599" s="17">
        <v>2255</v>
      </c>
      <c r="N1599" s="15" t="s">
        <v>367</v>
      </c>
      <c r="O1599" s="15" t="s">
        <v>19</v>
      </c>
      <c r="Q1599"/>
    </row>
    <row r="1600" spans="1:17" ht="15.6" x14ac:dyDescent="0.3">
      <c r="A1600" s="11">
        <v>10287</v>
      </c>
      <c r="B1600" s="10">
        <v>38229</v>
      </c>
      <c r="C1600" s="10" t="s">
        <v>351</v>
      </c>
      <c r="D1600" s="11" t="s">
        <v>212</v>
      </c>
      <c r="E1600" s="11" t="s">
        <v>213</v>
      </c>
      <c r="F1600" s="11" t="s">
        <v>214</v>
      </c>
      <c r="G1600" s="11" t="s">
        <v>25</v>
      </c>
      <c r="H1600" s="11" t="s">
        <v>32</v>
      </c>
      <c r="I1600" s="11" t="s">
        <v>45</v>
      </c>
      <c r="J1600" s="11" t="s">
        <v>253</v>
      </c>
      <c r="K1600" s="11">
        <v>23</v>
      </c>
      <c r="L1600" s="12">
        <v>35</v>
      </c>
      <c r="M1600" s="13">
        <v>805</v>
      </c>
      <c r="N1600" s="11" t="s">
        <v>367</v>
      </c>
      <c r="O1600" s="11" t="s">
        <v>19</v>
      </c>
      <c r="Q1600"/>
    </row>
    <row r="1601" spans="1:17" ht="15.6" x14ac:dyDescent="0.3">
      <c r="A1601" s="15">
        <v>10287</v>
      </c>
      <c r="B1601" s="14">
        <v>38229</v>
      </c>
      <c r="C1601" s="14" t="s">
        <v>351</v>
      </c>
      <c r="D1601" s="15" t="s">
        <v>212</v>
      </c>
      <c r="E1601" s="15" t="s">
        <v>213</v>
      </c>
      <c r="F1601" s="15" t="s">
        <v>214</v>
      </c>
      <c r="G1601" s="15" t="s">
        <v>25</v>
      </c>
      <c r="H1601" s="15" t="s">
        <v>32</v>
      </c>
      <c r="I1601" s="15" t="s">
        <v>46</v>
      </c>
      <c r="J1601" s="15" t="s">
        <v>254</v>
      </c>
      <c r="K1601" s="15">
        <v>41</v>
      </c>
      <c r="L1601" s="16">
        <v>90</v>
      </c>
      <c r="M1601" s="17">
        <v>3690</v>
      </c>
      <c r="N1601" s="15" t="s">
        <v>367</v>
      </c>
      <c r="O1601" s="15" t="s">
        <v>19</v>
      </c>
      <c r="Q1601"/>
    </row>
    <row r="1602" spans="1:17" ht="15.6" x14ac:dyDescent="0.3">
      <c r="A1602" s="11">
        <v>10287</v>
      </c>
      <c r="B1602" s="10">
        <v>38229</v>
      </c>
      <c r="C1602" s="10" t="s">
        <v>351</v>
      </c>
      <c r="D1602" s="11" t="s">
        <v>212</v>
      </c>
      <c r="E1602" s="11" t="s">
        <v>213</v>
      </c>
      <c r="F1602" s="11" t="s">
        <v>214</v>
      </c>
      <c r="G1602" s="11" t="s">
        <v>25</v>
      </c>
      <c r="H1602" s="11" t="s">
        <v>32</v>
      </c>
      <c r="I1602" s="11" t="s">
        <v>44</v>
      </c>
      <c r="J1602" s="11" t="s">
        <v>252</v>
      </c>
      <c r="K1602" s="11">
        <v>44</v>
      </c>
      <c r="L1602" s="12">
        <v>55</v>
      </c>
      <c r="M1602" s="13">
        <v>2420</v>
      </c>
      <c r="N1602" s="11" t="s">
        <v>367</v>
      </c>
      <c r="O1602" s="11" t="s">
        <v>19</v>
      </c>
      <c r="Q1602"/>
    </row>
    <row r="1603" spans="1:17" ht="15.6" x14ac:dyDescent="0.3">
      <c r="A1603" s="15">
        <v>10287</v>
      </c>
      <c r="B1603" s="14">
        <v>38229</v>
      </c>
      <c r="C1603" s="14" t="s">
        <v>351</v>
      </c>
      <c r="D1603" s="15" t="s">
        <v>212</v>
      </c>
      <c r="E1603" s="15" t="s">
        <v>213</v>
      </c>
      <c r="F1603" s="15" t="s">
        <v>214</v>
      </c>
      <c r="G1603" s="15" t="s">
        <v>25</v>
      </c>
      <c r="H1603" s="15" t="s">
        <v>32</v>
      </c>
      <c r="I1603" s="15" t="s">
        <v>34</v>
      </c>
      <c r="J1603" s="15" t="s">
        <v>246</v>
      </c>
      <c r="K1603" s="15">
        <v>24</v>
      </c>
      <c r="L1603" s="16">
        <v>80</v>
      </c>
      <c r="M1603" s="17">
        <v>1920</v>
      </c>
      <c r="N1603" s="15" t="s">
        <v>367</v>
      </c>
      <c r="O1603" s="15" t="s">
        <v>19</v>
      </c>
      <c r="Q1603"/>
    </row>
    <row r="1604" spans="1:17" ht="15.6" x14ac:dyDescent="0.3">
      <c r="A1604" s="11">
        <v>10287</v>
      </c>
      <c r="B1604" s="10">
        <v>38229</v>
      </c>
      <c r="C1604" s="10" t="s">
        <v>351</v>
      </c>
      <c r="D1604" s="11" t="s">
        <v>212</v>
      </c>
      <c r="E1604" s="11" t="s">
        <v>213</v>
      </c>
      <c r="F1604" s="11" t="s">
        <v>214</v>
      </c>
      <c r="G1604" s="11" t="s">
        <v>25</v>
      </c>
      <c r="H1604" s="11" t="s">
        <v>32</v>
      </c>
      <c r="I1604" s="11" t="s">
        <v>46</v>
      </c>
      <c r="J1604" s="11" t="s">
        <v>254</v>
      </c>
      <c r="K1604" s="11">
        <v>44</v>
      </c>
      <c r="L1604" s="12">
        <v>90</v>
      </c>
      <c r="M1604" s="13">
        <v>3960</v>
      </c>
      <c r="N1604" s="11" t="s">
        <v>367</v>
      </c>
      <c r="O1604" s="11" t="s">
        <v>19</v>
      </c>
      <c r="Q1604"/>
    </row>
    <row r="1605" spans="1:17" ht="15.6" x14ac:dyDescent="0.3">
      <c r="A1605" s="15">
        <v>10287</v>
      </c>
      <c r="B1605" s="14">
        <v>38229</v>
      </c>
      <c r="C1605" s="14" t="s">
        <v>351</v>
      </c>
      <c r="D1605" s="15" t="s">
        <v>212</v>
      </c>
      <c r="E1605" s="15" t="s">
        <v>213</v>
      </c>
      <c r="F1605" s="15" t="s">
        <v>214</v>
      </c>
      <c r="G1605" s="15" t="s">
        <v>25</v>
      </c>
      <c r="H1605" s="15" t="s">
        <v>32</v>
      </c>
      <c r="I1605" s="15" t="s">
        <v>44</v>
      </c>
      <c r="J1605" s="15" t="s">
        <v>252</v>
      </c>
      <c r="K1605" s="15">
        <v>36</v>
      </c>
      <c r="L1605" s="16">
        <v>55</v>
      </c>
      <c r="M1605" s="17">
        <v>1980</v>
      </c>
      <c r="N1605" s="15" t="s">
        <v>367</v>
      </c>
      <c r="O1605" s="15" t="s">
        <v>19</v>
      </c>
      <c r="Q1605"/>
    </row>
    <row r="1606" spans="1:17" ht="15.6" x14ac:dyDescent="0.3">
      <c r="A1606" s="11">
        <v>10287</v>
      </c>
      <c r="B1606" s="10">
        <v>38229</v>
      </c>
      <c r="C1606" s="10" t="s">
        <v>351</v>
      </c>
      <c r="D1606" s="11" t="s">
        <v>212</v>
      </c>
      <c r="E1606" s="11" t="s">
        <v>213</v>
      </c>
      <c r="F1606" s="11" t="s">
        <v>214</v>
      </c>
      <c r="G1606" s="11" t="s">
        <v>25</v>
      </c>
      <c r="H1606" s="11" t="s">
        <v>32</v>
      </c>
      <c r="I1606" s="11" t="s">
        <v>34</v>
      </c>
      <c r="J1606" s="11" t="s">
        <v>246</v>
      </c>
      <c r="K1606" s="11">
        <v>43</v>
      </c>
      <c r="L1606" s="12">
        <v>80</v>
      </c>
      <c r="M1606" s="13">
        <v>3440</v>
      </c>
      <c r="N1606" s="11" t="s">
        <v>367</v>
      </c>
      <c r="O1606" s="11" t="s">
        <v>19</v>
      </c>
      <c r="Q1606"/>
    </row>
    <row r="1607" spans="1:17" ht="15.6" x14ac:dyDescent="0.3">
      <c r="A1607" s="15">
        <v>10287</v>
      </c>
      <c r="B1607" s="14">
        <v>38229</v>
      </c>
      <c r="C1607" s="14" t="s">
        <v>351</v>
      </c>
      <c r="D1607" s="15" t="s">
        <v>212</v>
      </c>
      <c r="E1607" s="15" t="s">
        <v>213</v>
      </c>
      <c r="F1607" s="15" t="s">
        <v>214</v>
      </c>
      <c r="G1607" s="15" t="s">
        <v>25</v>
      </c>
      <c r="H1607" s="15" t="s">
        <v>32</v>
      </c>
      <c r="I1607" s="15" t="s">
        <v>34</v>
      </c>
      <c r="J1607" s="15" t="s">
        <v>246</v>
      </c>
      <c r="K1607" s="15">
        <v>40</v>
      </c>
      <c r="L1607" s="16">
        <v>80</v>
      </c>
      <c r="M1607" s="17">
        <v>3200</v>
      </c>
      <c r="N1607" s="15" t="s">
        <v>367</v>
      </c>
      <c r="O1607" s="15" t="s">
        <v>19</v>
      </c>
      <c r="Q1607"/>
    </row>
    <row r="1608" spans="1:17" ht="15.6" x14ac:dyDescent="0.3">
      <c r="A1608" s="11">
        <v>10287</v>
      </c>
      <c r="B1608" s="10">
        <v>38229</v>
      </c>
      <c r="C1608" s="10" t="s">
        <v>351</v>
      </c>
      <c r="D1608" s="11" t="s">
        <v>212</v>
      </c>
      <c r="E1608" s="11" t="s">
        <v>213</v>
      </c>
      <c r="F1608" s="11" t="s">
        <v>214</v>
      </c>
      <c r="G1608" s="11" t="s">
        <v>25</v>
      </c>
      <c r="H1608" s="11" t="s">
        <v>32</v>
      </c>
      <c r="I1608" s="11" t="s">
        <v>46</v>
      </c>
      <c r="J1608" s="11" t="s">
        <v>254</v>
      </c>
      <c r="K1608" s="11">
        <v>27</v>
      </c>
      <c r="L1608" s="12">
        <v>90</v>
      </c>
      <c r="M1608" s="13">
        <v>2430</v>
      </c>
      <c r="N1608" s="11" t="s">
        <v>367</v>
      </c>
      <c r="O1608" s="11" t="s">
        <v>19</v>
      </c>
      <c r="Q1608"/>
    </row>
    <row r="1609" spans="1:17" ht="15.6" x14ac:dyDescent="0.3">
      <c r="A1609" s="15">
        <v>10287</v>
      </c>
      <c r="B1609" s="14">
        <v>38229</v>
      </c>
      <c r="C1609" s="14" t="s">
        <v>351</v>
      </c>
      <c r="D1609" s="15" t="s">
        <v>212</v>
      </c>
      <c r="E1609" s="15" t="s">
        <v>213</v>
      </c>
      <c r="F1609" s="15" t="s">
        <v>214</v>
      </c>
      <c r="G1609" s="15" t="s">
        <v>25</v>
      </c>
      <c r="H1609" s="15" t="s">
        <v>32</v>
      </c>
      <c r="I1609" s="15" t="s">
        <v>45</v>
      </c>
      <c r="J1609" s="15" t="s">
        <v>253</v>
      </c>
      <c r="K1609" s="15">
        <v>34</v>
      </c>
      <c r="L1609" s="16">
        <v>35</v>
      </c>
      <c r="M1609" s="17">
        <v>1190</v>
      </c>
      <c r="N1609" s="15" t="s">
        <v>367</v>
      </c>
      <c r="O1609" s="15" t="s">
        <v>19</v>
      </c>
      <c r="Q1609"/>
    </row>
    <row r="1610" spans="1:17" ht="15.6" x14ac:dyDescent="0.3">
      <c r="A1610" s="11">
        <v>10287</v>
      </c>
      <c r="B1610" s="10">
        <v>38229</v>
      </c>
      <c r="C1610" s="10" t="s">
        <v>351</v>
      </c>
      <c r="D1610" s="11" t="s">
        <v>212</v>
      </c>
      <c r="E1610" s="11" t="s">
        <v>213</v>
      </c>
      <c r="F1610" s="11" t="s">
        <v>214</v>
      </c>
      <c r="G1610" s="11" t="s">
        <v>25</v>
      </c>
      <c r="H1610" s="11" t="s">
        <v>32</v>
      </c>
      <c r="I1610" s="11" t="s">
        <v>34</v>
      </c>
      <c r="J1610" s="11" t="s">
        <v>246</v>
      </c>
      <c r="K1610" s="11">
        <v>36</v>
      </c>
      <c r="L1610" s="12">
        <v>80</v>
      </c>
      <c r="M1610" s="13">
        <v>2880</v>
      </c>
      <c r="N1610" s="11" t="s">
        <v>367</v>
      </c>
      <c r="O1610" s="11" t="s">
        <v>19</v>
      </c>
      <c r="Q1610"/>
    </row>
    <row r="1611" spans="1:17" ht="15.6" x14ac:dyDescent="0.3">
      <c r="A1611" s="15">
        <v>10287</v>
      </c>
      <c r="B1611" s="14">
        <v>38229</v>
      </c>
      <c r="C1611" s="14" t="s">
        <v>351</v>
      </c>
      <c r="D1611" s="15" t="s">
        <v>212</v>
      </c>
      <c r="E1611" s="15" t="s">
        <v>213</v>
      </c>
      <c r="F1611" s="15" t="s">
        <v>214</v>
      </c>
      <c r="G1611" s="15" t="s">
        <v>25</v>
      </c>
      <c r="H1611" s="15" t="s">
        <v>32</v>
      </c>
      <c r="I1611" s="15" t="s">
        <v>45</v>
      </c>
      <c r="J1611" s="15" t="s">
        <v>253</v>
      </c>
      <c r="K1611" s="15">
        <v>20</v>
      </c>
      <c r="L1611" s="16">
        <v>35</v>
      </c>
      <c r="M1611" s="17">
        <v>700</v>
      </c>
      <c r="N1611" s="15" t="s">
        <v>367</v>
      </c>
      <c r="O1611" s="15" t="s">
        <v>19</v>
      </c>
      <c r="Q1611"/>
    </row>
    <row r="1612" spans="1:17" ht="15.6" x14ac:dyDescent="0.3">
      <c r="A1612" s="11">
        <v>10287</v>
      </c>
      <c r="B1612" s="10">
        <v>38229</v>
      </c>
      <c r="C1612" s="10" t="s">
        <v>351</v>
      </c>
      <c r="D1612" s="11" t="s">
        <v>212</v>
      </c>
      <c r="E1612" s="11" t="s">
        <v>213</v>
      </c>
      <c r="F1612" s="11" t="s">
        <v>214</v>
      </c>
      <c r="G1612" s="11" t="s">
        <v>25</v>
      </c>
      <c r="H1612" s="11" t="s">
        <v>32</v>
      </c>
      <c r="I1612" s="11" t="s">
        <v>46</v>
      </c>
      <c r="J1612" s="11" t="s">
        <v>254</v>
      </c>
      <c r="K1612" s="11">
        <v>36</v>
      </c>
      <c r="L1612" s="12">
        <v>90</v>
      </c>
      <c r="M1612" s="13">
        <v>3240</v>
      </c>
      <c r="N1612" s="11" t="s">
        <v>367</v>
      </c>
      <c r="O1612" s="11" t="s">
        <v>19</v>
      </c>
      <c r="Q1612"/>
    </row>
    <row r="1613" spans="1:17" ht="15.6" x14ac:dyDescent="0.3">
      <c r="A1613" s="15">
        <v>10287</v>
      </c>
      <c r="B1613" s="14">
        <v>38229</v>
      </c>
      <c r="C1613" s="14" t="s">
        <v>351</v>
      </c>
      <c r="D1613" s="15" t="s">
        <v>212</v>
      </c>
      <c r="E1613" s="15" t="s">
        <v>213</v>
      </c>
      <c r="F1613" s="15" t="s">
        <v>214</v>
      </c>
      <c r="G1613" s="15" t="s">
        <v>25</v>
      </c>
      <c r="H1613" s="15" t="s">
        <v>32</v>
      </c>
      <c r="I1613" s="15" t="s">
        <v>34</v>
      </c>
      <c r="J1613" s="15" t="s">
        <v>246</v>
      </c>
      <c r="K1613" s="15">
        <v>40</v>
      </c>
      <c r="L1613" s="16">
        <v>80</v>
      </c>
      <c r="M1613" s="17">
        <v>3200</v>
      </c>
      <c r="N1613" s="15" t="s">
        <v>367</v>
      </c>
      <c r="O1613" s="15" t="s">
        <v>19</v>
      </c>
      <c r="Q1613"/>
    </row>
    <row r="1614" spans="1:17" ht="15.6" x14ac:dyDescent="0.3">
      <c r="A1614" s="11">
        <v>10288</v>
      </c>
      <c r="B1614" s="10">
        <v>38231</v>
      </c>
      <c r="C1614" s="10" t="s">
        <v>347</v>
      </c>
      <c r="D1614" s="11" t="s">
        <v>204</v>
      </c>
      <c r="E1614" s="11" t="s">
        <v>98</v>
      </c>
      <c r="F1614" s="11" t="s">
        <v>98</v>
      </c>
      <c r="G1614" s="11" t="s">
        <v>107</v>
      </c>
      <c r="H1614" s="11" t="s">
        <v>32</v>
      </c>
      <c r="I1614" s="11" t="s">
        <v>34</v>
      </c>
      <c r="J1614" s="11" t="s">
        <v>246</v>
      </c>
      <c r="K1614" s="11">
        <v>20</v>
      </c>
      <c r="L1614" s="12">
        <v>80</v>
      </c>
      <c r="M1614" s="13">
        <v>1600</v>
      </c>
      <c r="N1614" s="11" t="s">
        <v>367</v>
      </c>
      <c r="O1614" s="11" t="s">
        <v>19</v>
      </c>
      <c r="Q1614"/>
    </row>
    <row r="1615" spans="1:17" ht="15.6" x14ac:dyDescent="0.3">
      <c r="A1615" s="15">
        <v>10288</v>
      </c>
      <c r="B1615" s="14">
        <v>38231</v>
      </c>
      <c r="C1615" s="14" t="s">
        <v>347</v>
      </c>
      <c r="D1615" s="15" t="s">
        <v>204</v>
      </c>
      <c r="E1615" s="15" t="s">
        <v>98</v>
      </c>
      <c r="F1615" s="15" t="s">
        <v>98</v>
      </c>
      <c r="G1615" s="15" t="s">
        <v>107</v>
      </c>
      <c r="H1615" s="15" t="s">
        <v>17</v>
      </c>
      <c r="I1615" s="15" t="s">
        <v>18</v>
      </c>
      <c r="J1615" s="15" t="s">
        <v>241</v>
      </c>
      <c r="K1615" s="15">
        <v>32</v>
      </c>
      <c r="L1615" s="16">
        <v>30</v>
      </c>
      <c r="M1615" s="17">
        <v>960</v>
      </c>
      <c r="N1615" s="15" t="s">
        <v>367</v>
      </c>
      <c r="O1615" s="15" t="s">
        <v>19</v>
      </c>
      <c r="Q1615"/>
    </row>
    <row r="1616" spans="1:17" ht="15.6" x14ac:dyDescent="0.3">
      <c r="A1616" s="11">
        <v>10288</v>
      </c>
      <c r="B1616" s="10">
        <v>38231</v>
      </c>
      <c r="C1616" s="10" t="s">
        <v>347</v>
      </c>
      <c r="D1616" s="11" t="s">
        <v>204</v>
      </c>
      <c r="E1616" s="11" t="s">
        <v>98</v>
      </c>
      <c r="F1616" s="11" t="s">
        <v>98</v>
      </c>
      <c r="G1616" s="11" t="s">
        <v>107</v>
      </c>
      <c r="H1616" s="11" t="s">
        <v>17</v>
      </c>
      <c r="I1616" s="11" t="s">
        <v>21</v>
      </c>
      <c r="J1616" s="11" t="s">
        <v>243</v>
      </c>
      <c r="K1616" s="11">
        <v>28</v>
      </c>
      <c r="L1616" s="12">
        <v>110</v>
      </c>
      <c r="M1616" s="13">
        <v>3080</v>
      </c>
      <c r="N1616" s="11" t="s">
        <v>367</v>
      </c>
      <c r="O1616" s="11" t="s">
        <v>19</v>
      </c>
      <c r="Q1616"/>
    </row>
    <row r="1617" spans="1:17" ht="15.6" x14ac:dyDescent="0.3">
      <c r="A1617" s="15">
        <v>10288</v>
      </c>
      <c r="B1617" s="14">
        <v>38231</v>
      </c>
      <c r="C1617" s="14" t="s">
        <v>347</v>
      </c>
      <c r="D1617" s="15" t="s">
        <v>204</v>
      </c>
      <c r="E1617" s="15" t="s">
        <v>98</v>
      </c>
      <c r="F1617" s="15" t="s">
        <v>98</v>
      </c>
      <c r="G1617" s="15" t="s">
        <v>107</v>
      </c>
      <c r="H1617" s="15" t="s">
        <v>17</v>
      </c>
      <c r="I1617" s="15" t="s">
        <v>18</v>
      </c>
      <c r="J1617" s="15" t="s">
        <v>241</v>
      </c>
      <c r="K1617" s="15">
        <v>31</v>
      </c>
      <c r="L1617" s="16">
        <v>30</v>
      </c>
      <c r="M1617" s="17">
        <v>930</v>
      </c>
      <c r="N1617" s="15" t="s">
        <v>367</v>
      </c>
      <c r="O1617" s="15" t="s">
        <v>19</v>
      </c>
      <c r="Q1617"/>
    </row>
    <row r="1618" spans="1:17" ht="15.6" x14ac:dyDescent="0.3">
      <c r="A1618" s="11">
        <v>10288</v>
      </c>
      <c r="B1618" s="10">
        <v>38231</v>
      </c>
      <c r="C1618" s="10" t="s">
        <v>347</v>
      </c>
      <c r="D1618" s="11" t="s">
        <v>204</v>
      </c>
      <c r="E1618" s="11" t="s">
        <v>98</v>
      </c>
      <c r="F1618" s="11" t="s">
        <v>98</v>
      </c>
      <c r="G1618" s="11" t="s">
        <v>107</v>
      </c>
      <c r="H1618" s="11" t="s">
        <v>17</v>
      </c>
      <c r="I1618" s="11" t="s">
        <v>82</v>
      </c>
      <c r="J1618" s="11" t="s">
        <v>270</v>
      </c>
      <c r="K1618" s="11">
        <v>35</v>
      </c>
      <c r="L1618" s="12">
        <v>75</v>
      </c>
      <c r="M1618" s="13">
        <v>2625</v>
      </c>
      <c r="N1618" s="11" t="s">
        <v>367</v>
      </c>
      <c r="O1618" s="11" t="s">
        <v>19</v>
      </c>
      <c r="Q1618"/>
    </row>
    <row r="1619" spans="1:17" ht="15.6" x14ac:dyDescent="0.3">
      <c r="A1619" s="15">
        <v>10288</v>
      </c>
      <c r="B1619" s="14">
        <v>38231</v>
      </c>
      <c r="C1619" s="14" t="s">
        <v>347</v>
      </c>
      <c r="D1619" s="15" t="s">
        <v>204</v>
      </c>
      <c r="E1619" s="15" t="s">
        <v>98</v>
      </c>
      <c r="F1619" s="15" t="s">
        <v>98</v>
      </c>
      <c r="G1619" s="15" t="s">
        <v>107</v>
      </c>
      <c r="H1619" s="15" t="s">
        <v>32</v>
      </c>
      <c r="I1619" s="15" t="s">
        <v>33</v>
      </c>
      <c r="J1619" s="15" t="s">
        <v>245</v>
      </c>
      <c r="K1619" s="15">
        <v>23</v>
      </c>
      <c r="L1619" s="16">
        <v>85</v>
      </c>
      <c r="M1619" s="17">
        <v>1955</v>
      </c>
      <c r="N1619" s="15" t="s">
        <v>367</v>
      </c>
      <c r="O1619" s="15" t="s">
        <v>19</v>
      </c>
      <c r="Q1619"/>
    </row>
    <row r="1620" spans="1:17" ht="15.6" x14ac:dyDescent="0.3">
      <c r="A1620" s="11">
        <v>10288</v>
      </c>
      <c r="B1620" s="10">
        <v>38231</v>
      </c>
      <c r="C1620" s="10" t="s">
        <v>347</v>
      </c>
      <c r="D1620" s="11" t="s">
        <v>204</v>
      </c>
      <c r="E1620" s="11" t="s">
        <v>98</v>
      </c>
      <c r="F1620" s="11" t="s">
        <v>98</v>
      </c>
      <c r="G1620" s="11" t="s">
        <v>107</v>
      </c>
      <c r="H1620" s="11" t="s">
        <v>32</v>
      </c>
      <c r="I1620" s="11" t="s">
        <v>45</v>
      </c>
      <c r="J1620" s="11" t="s">
        <v>253</v>
      </c>
      <c r="K1620" s="11">
        <v>36</v>
      </c>
      <c r="L1620" s="12">
        <v>35</v>
      </c>
      <c r="M1620" s="13">
        <v>1260</v>
      </c>
      <c r="N1620" s="11" t="s">
        <v>367</v>
      </c>
      <c r="O1620" s="11" t="s">
        <v>19</v>
      </c>
      <c r="Q1620"/>
    </row>
    <row r="1621" spans="1:17" ht="15.6" x14ac:dyDescent="0.3">
      <c r="A1621" s="15">
        <v>10288</v>
      </c>
      <c r="B1621" s="14">
        <v>38231</v>
      </c>
      <c r="C1621" s="14" t="s">
        <v>347</v>
      </c>
      <c r="D1621" s="15" t="s">
        <v>204</v>
      </c>
      <c r="E1621" s="15" t="s">
        <v>98</v>
      </c>
      <c r="F1621" s="15" t="s">
        <v>98</v>
      </c>
      <c r="G1621" s="15" t="s">
        <v>107</v>
      </c>
      <c r="H1621" s="15" t="s">
        <v>32</v>
      </c>
      <c r="I1621" s="15" t="s">
        <v>33</v>
      </c>
      <c r="J1621" s="15" t="s">
        <v>245</v>
      </c>
      <c r="K1621" s="15">
        <v>50</v>
      </c>
      <c r="L1621" s="16">
        <v>85</v>
      </c>
      <c r="M1621" s="17">
        <v>4250</v>
      </c>
      <c r="N1621" s="15" t="s">
        <v>368</v>
      </c>
      <c r="O1621" s="15" t="s">
        <v>19</v>
      </c>
      <c r="Q1621"/>
    </row>
    <row r="1622" spans="1:17" ht="15.6" x14ac:dyDescent="0.3">
      <c r="A1622" s="11">
        <v>10288</v>
      </c>
      <c r="B1622" s="10">
        <v>38231</v>
      </c>
      <c r="C1622" s="10" t="s">
        <v>347</v>
      </c>
      <c r="D1622" s="11" t="s">
        <v>204</v>
      </c>
      <c r="E1622" s="11" t="s">
        <v>98</v>
      </c>
      <c r="F1622" s="11" t="s">
        <v>98</v>
      </c>
      <c r="G1622" s="11" t="s">
        <v>107</v>
      </c>
      <c r="H1622" s="11" t="s">
        <v>17</v>
      </c>
      <c r="I1622" s="11" t="s">
        <v>26</v>
      </c>
      <c r="J1622" s="11" t="s">
        <v>244</v>
      </c>
      <c r="K1622" s="11">
        <v>29</v>
      </c>
      <c r="L1622" s="12">
        <v>60</v>
      </c>
      <c r="M1622" s="13">
        <v>1740</v>
      </c>
      <c r="N1622" s="11" t="s">
        <v>367</v>
      </c>
      <c r="O1622" s="11" t="s">
        <v>19</v>
      </c>
      <c r="Q1622"/>
    </row>
    <row r="1623" spans="1:17" ht="15.6" x14ac:dyDescent="0.3">
      <c r="A1623" s="15">
        <v>10288</v>
      </c>
      <c r="B1623" s="14">
        <v>38231</v>
      </c>
      <c r="C1623" s="14" t="s">
        <v>347</v>
      </c>
      <c r="D1623" s="15" t="s">
        <v>204</v>
      </c>
      <c r="E1623" s="15" t="s">
        <v>98</v>
      </c>
      <c r="F1623" s="15" t="s">
        <v>98</v>
      </c>
      <c r="G1623" s="15" t="s">
        <v>107</v>
      </c>
      <c r="H1623" s="15" t="s">
        <v>32</v>
      </c>
      <c r="I1623" s="15" t="s">
        <v>34</v>
      </c>
      <c r="J1623" s="15" t="s">
        <v>246</v>
      </c>
      <c r="K1623" s="15">
        <v>35</v>
      </c>
      <c r="L1623" s="16">
        <v>80</v>
      </c>
      <c r="M1623" s="17">
        <v>2800</v>
      </c>
      <c r="N1623" s="15" t="s">
        <v>367</v>
      </c>
      <c r="O1623" s="15" t="s">
        <v>19</v>
      </c>
      <c r="Q1623"/>
    </row>
    <row r="1624" spans="1:17" ht="15.6" x14ac:dyDescent="0.3">
      <c r="A1624" s="11">
        <v>10288</v>
      </c>
      <c r="B1624" s="10">
        <v>38231</v>
      </c>
      <c r="C1624" s="10" t="s">
        <v>347</v>
      </c>
      <c r="D1624" s="11" t="s">
        <v>204</v>
      </c>
      <c r="E1624" s="11" t="s">
        <v>98</v>
      </c>
      <c r="F1624" s="11" t="s">
        <v>98</v>
      </c>
      <c r="G1624" s="11" t="s">
        <v>107</v>
      </c>
      <c r="H1624" s="11" t="s">
        <v>32</v>
      </c>
      <c r="I1624" s="11" t="s">
        <v>44</v>
      </c>
      <c r="J1624" s="11" t="s">
        <v>252</v>
      </c>
      <c r="K1624" s="11">
        <v>48</v>
      </c>
      <c r="L1624" s="12">
        <v>55</v>
      </c>
      <c r="M1624" s="13">
        <v>2640</v>
      </c>
      <c r="N1624" s="11" t="s">
        <v>367</v>
      </c>
      <c r="O1624" s="11" t="s">
        <v>19</v>
      </c>
      <c r="Q1624"/>
    </row>
    <row r="1625" spans="1:17" ht="15.6" x14ac:dyDescent="0.3">
      <c r="A1625" s="15">
        <v>10288</v>
      </c>
      <c r="B1625" s="14">
        <v>38231</v>
      </c>
      <c r="C1625" s="14" t="s">
        <v>347</v>
      </c>
      <c r="D1625" s="15" t="s">
        <v>204</v>
      </c>
      <c r="E1625" s="15" t="s">
        <v>98</v>
      </c>
      <c r="F1625" s="15" t="s">
        <v>98</v>
      </c>
      <c r="G1625" s="15" t="s">
        <v>107</v>
      </c>
      <c r="H1625" s="15" t="s">
        <v>32</v>
      </c>
      <c r="I1625" s="15" t="s">
        <v>33</v>
      </c>
      <c r="J1625" s="15" t="s">
        <v>245</v>
      </c>
      <c r="K1625" s="15">
        <v>34</v>
      </c>
      <c r="L1625" s="16">
        <v>85</v>
      </c>
      <c r="M1625" s="17">
        <v>2890</v>
      </c>
      <c r="N1625" s="15" t="s">
        <v>367</v>
      </c>
      <c r="O1625" s="15" t="s">
        <v>19</v>
      </c>
      <c r="Q1625"/>
    </row>
    <row r="1626" spans="1:17" ht="15.6" x14ac:dyDescent="0.3">
      <c r="A1626" s="11">
        <v>10288</v>
      </c>
      <c r="B1626" s="10">
        <v>38231</v>
      </c>
      <c r="C1626" s="10" t="s">
        <v>347</v>
      </c>
      <c r="D1626" s="11" t="s">
        <v>204</v>
      </c>
      <c r="E1626" s="11" t="s">
        <v>98</v>
      </c>
      <c r="F1626" s="11" t="s">
        <v>98</v>
      </c>
      <c r="G1626" s="11" t="s">
        <v>107</v>
      </c>
      <c r="H1626" s="11" t="s">
        <v>32</v>
      </c>
      <c r="I1626" s="11" t="s">
        <v>46</v>
      </c>
      <c r="J1626" s="11" t="s">
        <v>254</v>
      </c>
      <c r="K1626" s="11">
        <v>41</v>
      </c>
      <c r="L1626" s="12">
        <v>90</v>
      </c>
      <c r="M1626" s="13">
        <v>3690</v>
      </c>
      <c r="N1626" s="11" t="s">
        <v>367</v>
      </c>
      <c r="O1626" s="11" t="s">
        <v>19</v>
      </c>
      <c r="Q1626"/>
    </row>
    <row r="1627" spans="1:17" ht="15.6" x14ac:dyDescent="0.3">
      <c r="A1627" s="15">
        <v>10288</v>
      </c>
      <c r="B1627" s="14">
        <v>38231</v>
      </c>
      <c r="C1627" s="14" t="s">
        <v>347</v>
      </c>
      <c r="D1627" s="15" t="s">
        <v>204</v>
      </c>
      <c r="E1627" s="15" t="s">
        <v>98</v>
      </c>
      <c r="F1627" s="15" t="s">
        <v>98</v>
      </c>
      <c r="G1627" s="15" t="s">
        <v>107</v>
      </c>
      <c r="H1627" s="15" t="s">
        <v>17</v>
      </c>
      <c r="I1627" s="15" t="s">
        <v>82</v>
      </c>
      <c r="J1627" s="15" t="s">
        <v>270</v>
      </c>
      <c r="K1627" s="15">
        <v>33</v>
      </c>
      <c r="L1627" s="16">
        <v>75</v>
      </c>
      <c r="M1627" s="17">
        <v>2475</v>
      </c>
      <c r="N1627" s="15" t="s">
        <v>367</v>
      </c>
      <c r="O1627" s="15" t="s">
        <v>19</v>
      </c>
      <c r="Q1627"/>
    </row>
    <row r="1628" spans="1:17" ht="15.6" x14ac:dyDescent="0.3">
      <c r="A1628" s="11">
        <v>10289</v>
      </c>
      <c r="B1628" s="10">
        <v>38233</v>
      </c>
      <c r="C1628" s="10" t="s">
        <v>332</v>
      </c>
      <c r="D1628" s="11" t="s">
        <v>177</v>
      </c>
      <c r="E1628" s="11" t="s">
        <v>178</v>
      </c>
      <c r="F1628" s="11" t="s">
        <v>31</v>
      </c>
      <c r="G1628" s="11" t="s">
        <v>25</v>
      </c>
      <c r="H1628" s="11" t="s">
        <v>17</v>
      </c>
      <c r="I1628" s="11" t="s">
        <v>20</v>
      </c>
      <c r="J1628" s="11" t="s">
        <v>242</v>
      </c>
      <c r="K1628" s="11">
        <v>38</v>
      </c>
      <c r="L1628" s="12">
        <v>48</v>
      </c>
      <c r="M1628" s="13">
        <v>1824</v>
      </c>
      <c r="N1628" s="11" t="s">
        <v>367</v>
      </c>
      <c r="O1628" s="11" t="s">
        <v>19</v>
      </c>
      <c r="Q1628"/>
    </row>
    <row r="1629" spans="1:17" ht="15.6" x14ac:dyDescent="0.3">
      <c r="A1629" s="15">
        <v>10289</v>
      </c>
      <c r="B1629" s="14">
        <v>38233</v>
      </c>
      <c r="C1629" s="14" t="s">
        <v>332</v>
      </c>
      <c r="D1629" s="15" t="s">
        <v>177</v>
      </c>
      <c r="E1629" s="15" t="s">
        <v>178</v>
      </c>
      <c r="F1629" s="15" t="s">
        <v>31</v>
      </c>
      <c r="G1629" s="15" t="s">
        <v>25</v>
      </c>
      <c r="H1629" s="15" t="s">
        <v>17</v>
      </c>
      <c r="I1629" s="15" t="s">
        <v>52</v>
      </c>
      <c r="J1629" s="15" t="s">
        <v>256</v>
      </c>
      <c r="K1629" s="15">
        <v>24</v>
      </c>
      <c r="L1629" s="16">
        <v>45</v>
      </c>
      <c r="M1629" s="17">
        <v>1080</v>
      </c>
      <c r="N1629" s="15" t="s">
        <v>367</v>
      </c>
      <c r="O1629" s="15" t="s">
        <v>19</v>
      </c>
      <c r="Q1629"/>
    </row>
    <row r="1630" spans="1:17" ht="15.6" x14ac:dyDescent="0.3">
      <c r="A1630" s="11">
        <v>10289</v>
      </c>
      <c r="B1630" s="10">
        <v>38233</v>
      </c>
      <c r="C1630" s="10" t="s">
        <v>332</v>
      </c>
      <c r="D1630" s="11" t="s">
        <v>177</v>
      </c>
      <c r="E1630" s="11" t="s">
        <v>178</v>
      </c>
      <c r="F1630" s="11" t="s">
        <v>31</v>
      </c>
      <c r="G1630" s="11" t="s">
        <v>25</v>
      </c>
      <c r="H1630" s="11" t="s">
        <v>17</v>
      </c>
      <c r="I1630" s="11" t="s">
        <v>20</v>
      </c>
      <c r="J1630" s="11" t="s">
        <v>242</v>
      </c>
      <c r="K1630" s="11">
        <v>43</v>
      </c>
      <c r="L1630" s="12">
        <v>48</v>
      </c>
      <c r="M1630" s="13">
        <v>2064</v>
      </c>
      <c r="N1630" s="11" t="s">
        <v>367</v>
      </c>
      <c r="O1630" s="11" t="s">
        <v>19</v>
      </c>
      <c r="Q1630"/>
    </row>
    <row r="1631" spans="1:17" ht="15.6" x14ac:dyDescent="0.3">
      <c r="A1631" s="15">
        <v>10289</v>
      </c>
      <c r="B1631" s="14">
        <v>38233</v>
      </c>
      <c r="C1631" s="14" t="s">
        <v>332</v>
      </c>
      <c r="D1631" s="15" t="s">
        <v>177</v>
      </c>
      <c r="E1631" s="15" t="s">
        <v>178</v>
      </c>
      <c r="F1631" s="15" t="s">
        <v>31</v>
      </c>
      <c r="G1631" s="15" t="s">
        <v>25</v>
      </c>
      <c r="H1631" s="15" t="s">
        <v>17</v>
      </c>
      <c r="I1631" s="15" t="s">
        <v>20</v>
      </c>
      <c r="J1631" s="15" t="s">
        <v>242</v>
      </c>
      <c r="K1631" s="15">
        <v>45</v>
      </c>
      <c r="L1631" s="16">
        <v>48</v>
      </c>
      <c r="M1631" s="17">
        <v>2160</v>
      </c>
      <c r="N1631" s="15" t="s">
        <v>367</v>
      </c>
      <c r="O1631" s="15" t="s">
        <v>19</v>
      </c>
      <c r="Q1631"/>
    </row>
    <row r="1632" spans="1:17" ht="15.6" x14ac:dyDescent="0.3">
      <c r="A1632" s="11">
        <v>10290</v>
      </c>
      <c r="B1632" s="10">
        <v>38237</v>
      </c>
      <c r="C1632" s="10" t="s">
        <v>304</v>
      </c>
      <c r="D1632" s="11" t="s">
        <v>124</v>
      </c>
      <c r="E1632" s="11" t="s">
        <v>125</v>
      </c>
      <c r="F1632" s="11" t="s">
        <v>15</v>
      </c>
      <c r="G1632" s="11" t="s">
        <v>16</v>
      </c>
      <c r="H1632" s="11" t="s">
        <v>17</v>
      </c>
      <c r="I1632" s="11" t="s">
        <v>20</v>
      </c>
      <c r="J1632" s="11" t="s">
        <v>242</v>
      </c>
      <c r="K1632" s="11">
        <v>26</v>
      </c>
      <c r="L1632" s="12">
        <v>48</v>
      </c>
      <c r="M1632" s="13">
        <v>1248</v>
      </c>
      <c r="N1632" s="11" t="s">
        <v>367</v>
      </c>
      <c r="O1632" s="11" t="s">
        <v>19</v>
      </c>
      <c r="Q1632"/>
    </row>
    <row r="1633" spans="1:17" ht="15.6" x14ac:dyDescent="0.3">
      <c r="A1633" s="15">
        <v>10290</v>
      </c>
      <c r="B1633" s="14">
        <v>38237</v>
      </c>
      <c r="C1633" s="14" t="s">
        <v>304</v>
      </c>
      <c r="D1633" s="15" t="s">
        <v>124</v>
      </c>
      <c r="E1633" s="15" t="s">
        <v>125</v>
      </c>
      <c r="F1633" s="15" t="s">
        <v>15</v>
      </c>
      <c r="G1633" s="15" t="s">
        <v>16</v>
      </c>
      <c r="H1633" s="15" t="s">
        <v>17</v>
      </c>
      <c r="I1633" s="15" t="s">
        <v>20</v>
      </c>
      <c r="J1633" s="15" t="s">
        <v>242</v>
      </c>
      <c r="K1633" s="15">
        <v>45</v>
      </c>
      <c r="L1633" s="16">
        <v>48</v>
      </c>
      <c r="M1633" s="17">
        <v>2160</v>
      </c>
      <c r="N1633" s="15" t="s">
        <v>367</v>
      </c>
      <c r="O1633" s="15" t="s">
        <v>19</v>
      </c>
      <c r="Q1633"/>
    </row>
    <row r="1634" spans="1:17" ht="15.6" x14ac:dyDescent="0.3">
      <c r="A1634" s="11">
        <v>10291</v>
      </c>
      <c r="B1634" s="10">
        <v>38238</v>
      </c>
      <c r="C1634" s="10" t="s">
        <v>326</v>
      </c>
      <c r="D1634" s="11" t="s">
        <v>164</v>
      </c>
      <c r="E1634" s="11" t="s">
        <v>165</v>
      </c>
      <c r="F1634" s="11" t="s">
        <v>85</v>
      </c>
      <c r="G1634" s="11" t="s">
        <v>25</v>
      </c>
      <c r="H1634" s="11" t="s">
        <v>32</v>
      </c>
      <c r="I1634" s="11" t="s">
        <v>44</v>
      </c>
      <c r="J1634" s="11" t="s">
        <v>252</v>
      </c>
      <c r="K1634" s="11">
        <v>37</v>
      </c>
      <c r="L1634" s="12">
        <v>55</v>
      </c>
      <c r="M1634" s="13">
        <v>2035</v>
      </c>
      <c r="N1634" s="11" t="s">
        <v>367</v>
      </c>
      <c r="O1634" s="11" t="s">
        <v>19</v>
      </c>
      <c r="Q1634"/>
    </row>
    <row r="1635" spans="1:17" ht="15.6" x14ac:dyDescent="0.3">
      <c r="A1635" s="15">
        <v>10291</v>
      </c>
      <c r="B1635" s="14">
        <v>38238</v>
      </c>
      <c r="C1635" s="14" t="s">
        <v>326</v>
      </c>
      <c r="D1635" s="15" t="s">
        <v>164</v>
      </c>
      <c r="E1635" s="15" t="s">
        <v>165</v>
      </c>
      <c r="F1635" s="15" t="s">
        <v>85</v>
      </c>
      <c r="G1635" s="15" t="s">
        <v>25</v>
      </c>
      <c r="H1635" s="15" t="s">
        <v>32</v>
      </c>
      <c r="I1635" s="15" t="s">
        <v>44</v>
      </c>
      <c r="J1635" s="15" t="s">
        <v>252</v>
      </c>
      <c r="K1635" s="15">
        <v>30</v>
      </c>
      <c r="L1635" s="16">
        <v>55</v>
      </c>
      <c r="M1635" s="17">
        <v>1650</v>
      </c>
      <c r="N1635" s="15" t="s">
        <v>367</v>
      </c>
      <c r="O1635" s="15" t="s">
        <v>19</v>
      </c>
      <c r="Q1635"/>
    </row>
    <row r="1636" spans="1:17" ht="15.6" x14ac:dyDescent="0.3">
      <c r="A1636" s="11">
        <v>10291</v>
      </c>
      <c r="B1636" s="10">
        <v>38238</v>
      </c>
      <c r="C1636" s="10" t="s">
        <v>326</v>
      </c>
      <c r="D1636" s="11" t="s">
        <v>164</v>
      </c>
      <c r="E1636" s="11" t="s">
        <v>165</v>
      </c>
      <c r="F1636" s="11" t="s">
        <v>85</v>
      </c>
      <c r="G1636" s="11" t="s">
        <v>25</v>
      </c>
      <c r="H1636" s="11" t="s">
        <v>35</v>
      </c>
      <c r="I1636" s="11" t="s">
        <v>39</v>
      </c>
      <c r="J1636" s="11" t="s">
        <v>250</v>
      </c>
      <c r="K1636" s="11">
        <v>41</v>
      </c>
      <c r="L1636" s="12">
        <v>20</v>
      </c>
      <c r="M1636" s="13">
        <v>820</v>
      </c>
      <c r="N1636" s="11" t="s">
        <v>367</v>
      </c>
      <c r="O1636" s="11" t="s">
        <v>19</v>
      </c>
      <c r="Q1636"/>
    </row>
    <row r="1637" spans="1:17" ht="15.6" x14ac:dyDescent="0.3">
      <c r="A1637" s="15">
        <v>10292</v>
      </c>
      <c r="B1637" s="14">
        <v>38238</v>
      </c>
      <c r="C1637" s="14" t="s">
        <v>282</v>
      </c>
      <c r="D1637" s="15" t="s">
        <v>67</v>
      </c>
      <c r="E1637" s="15" t="s">
        <v>28</v>
      </c>
      <c r="F1637" s="15" t="s">
        <v>15</v>
      </c>
      <c r="G1637" s="15" t="s">
        <v>16</v>
      </c>
      <c r="H1637" s="15" t="s">
        <v>35</v>
      </c>
      <c r="I1637" s="15" t="s">
        <v>38</v>
      </c>
      <c r="J1637" s="15" t="s">
        <v>249</v>
      </c>
      <c r="K1637" s="15">
        <v>21</v>
      </c>
      <c r="L1637" s="16">
        <v>20</v>
      </c>
      <c r="M1637" s="17">
        <v>420</v>
      </c>
      <c r="N1637" s="15" t="s">
        <v>367</v>
      </c>
      <c r="O1637" s="15" t="s">
        <v>19</v>
      </c>
      <c r="Q1637"/>
    </row>
    <row r="1638" spans="1:17" ht="15.6" x14ac:dyDescent="0.3">
      <c r="A1638" s="11">
        <v>10291</v>
      </c>
      <c r="B1638" s="10">
        <v>38238</v>
      </c>
      <c r="C1638" s="10" t="s">
        <v>326</v>
      </c>
      <c r="D1638" s="11" t="s">
        <v>164</v>
      </c>
      <c r="E1638" s="11" t="s">
        <v>165</v>
      </c>
      <c r="F1638" s="11" t="s">
        <v>85</v>
      </c>
      <c r="G1638" s="11" t="s">
        <v>25</v>
      </c>
      <c r="H1638" s="11" t="s">
        <v>35</v>
      </c>
      <c r="I1638" s="11" t="s">
        <v>36</v>
      </c>
      <c r="J1638" s="11" t="s">
        <v>247</v>
      </c>
      <c r="K1638" s="11">
        <v>41</v>
      </c>
      <c r="L1638" s="12">
        <v>30</v>
      </c>
      <c r="M1638" s="13">
        <v>1230</v>
      </c>
      <c r="N1638" s="11" t="s">
        <v>367</v>
      </c>
      <c r="O1638" s="11" t="s">
        <v>19</v>
      </c>
      <c r="Q1638"/>
    </row>
    <row r="1639" spans="1:17" ht="15.6" x14ac:dyDescent="0.3">
      <c r="A1639" s="15">
        <v>10292</v>
      </c>
      <c r="B1639" s="14">
        <v>38238</v>
      </c>
      <c r="C1639" s="14" t="s">
        <v>282</v>
      </c>
      <c r="D1639" s="15" t="s">
        <v>67</v>
      </c>
      <c r="E1639" s="15" t="s">
        <v>28</v>
      </c>
      <c r="F1639" s="15" t="s">
        <v>15</v>
      </c>
      <c r="G1639" s="15" t="s">
        <v>16</v>
      </c>
      <c r="H1639" s="15" t="s">
        <v>32</v>
      </c>
      <c r="I1639" s="15" t="s">
        <v>34</v>
      </c>
      <c r="J1639" s="15" t="s">
        <v>246</v>
      </c>
      <c r="K1639" s="15">
        <v>26</v>
      </c>
      <c r="L1639" s="16">
        <v>80</v>
      </c>
      <c r="M1639" s="17">
        <v>2080</v>
      </c>
      <c r="N1639" s="15" t="s">
        <v>367</v>
      </c>
      <c r="O1639" s="15" t="s">
        <v>19</v>
      </c>
      <c r="Q1639"/>
    </row>
    <row r="1640" spans="1:17" ht="15.6" x14ac:dyDescent="0.3">
      <c r="A1640" s="11">
        <v>10292</v>
      </c>
      <c r="B1640" s="10">
        <v>38238</v>
      </c>
      <c r="C1640" s="10" t="s">
        <v>282</v>
      </c>
      <c r="D1640" s="11" t="s">
        <v>67</v>
      </c>
      <c r="E1640" s="11" t="s">
        <v>28</v>
      </c>
      <c r="F1640" s="11" t="s">
        <v>15</v>
      </c>
      <c r="G1640" s="11" t="s">
        <v>16</v>
      </c>
      <c r="H1640" s="11" t="s">
        <v>35</v>
      </c>
      <c r="I1640" s="11" t="s">
        <v>39</v>
      </c>
      <c r="J1640" s="11" t="s">
        <v>250</v>
      </c>
      <c r="K1640" s="11">
        <v>41</v>
      </c>
      <c r="L1640" s="12">
        <v>20</v>
      </c>
      <c r="M1640" s="13">
        <v>820</v>
      </c>
      <c r="N1640" s="11" t="s">
        <v>367</v>
      </c>
      <c r="O1640" s="11" t="s">
        <v>19</v>
      </c>
      <c r="Q1640"/>
    </row>
    <row r="1641" spans="1:17" ht="15.6" x14ac:dyDescent="0.3">
      <c r="A1641" s="15">
        <v>10291</v>
      </c>
      <c r="B1641" s="14">
        <v>38238</v>
      </c>
      <c r="C1641" s="14" t="s">
        <v>326</v>
      </c>
      <c r="D1641" s="15" t="s">
        <v>164</v>
      </c>
      <c r="E1641" s="15" t="s">
        <v>165</v>
      </c>
      <c r="F1641" s="15" t="s">
        <v>85</v>
      </c>
      <c r="G1641" s="15" t="s">
        <v>25</v>
      </c>
      <c r="H1641" s="15" t="s">
        <v>35</v>
      </c>
      <c r="I1641" s="15" t="s">
        <v>40</v>
      </c>
      <c r="J1641" s="15" t="s">
        <v>251</v>
      </c>
      <c r="K1641" s="15">
        <v>26</v>
      </c>
      <c r="L1641" s="16">
        <v>25</v>
      </c>
      <c r="M1641" s="17">
        <v>650</v>
      </c>
      <c r="N1641" s="15" t="s">
        <v>367</v>
      </c>
      <c r="O1641" s="15" t="s">
        <v>19</v>
      </c>
      <c r="Q1641"/>
    </row>
    <row r="1642" spans="1:17" ht="15.6" x14ac:dyDescent="0.3">
      <c r="A1642" s="11">
        <v>10291</v>
      </c>
      <c r="B1642" s="10">
        <v>38238</v>
      </c>
      <c r="C1642" s="10" t="s">
        <v>326</v>
      </c>
      <c r="D1642" s="11" t="s">
        <v>164</v>
      </c>
      <c r="E1642" s="11" t="s">
        <v>165</v>
      </c>
      <c r="F1642" s="11" t="s">
        <v>85</v>
      </c>
      <c r="G1642" s="11" t="s">
        <v>25</v>
      </c>
      <c r="H1642" s="11" t="s">
        <v>17</v>
      </c>
      <c r="I1642" s="11" t="s">
        <v>20</v>
      </c>
      <c r="J1642" s="11" t="s">
        <v>242</v>
      </c>
      <c r="K1642" s="11">
        <v>47</v>
      </c>
      <c r="L1642" s="12">
        <v>48</v>
      </c>
      <c r="M1642" s="13">
        <v>2256</v>
      </c>
      <c r="N1642" s="11" t="s">
        <v>367</v>
      </c>
      <c r="O1642" s="11" t="s">
        <v>19</v>
      </c>
      <c r="Q1642"/>
    </row>
    <row r="1643" spans="1:17" ht="15.6" x14ac:dyDescent="0.3">
      <c r="A1643" s="15">
        <v>10291</v>
      </c>
      <c r="B1643" s="14">
        <v>38238</v>
      </c>
      <c r="C1643" s="14" t="s">
        <v>326</v>
      </c>
      <c r="D1643" s="15" t="s">
        <v>164</v>
      </c>
      <c r="E1643" s="15" t="s">
        <v>165</v>
      </c>
      <c r="F1643" s="15" t="s">
        <v>85</v>
      </c>
      <c r="G1643" s="15" t="s">
        <v>25</v>
      </c>
      <c r="H1643" s="15" t="s">
        <v>17</v>
      </c>
      <c r="I1643" s="15" t="s">
        <v>20</v>
      </c>
      <c r="J1643" s="15" t="s">
        <v>242</v>
      </c>
      <c r="K1643" s="15">
        <v>37</v>
      </c>
      <c r="L1643" s="16">
        <v>48</v>
      </c>
      <c r="M1643" s="17">
        <v>1776</v>
      </c>
      <c r="N1643" s="15" t="s">
        <v>367</v>
      </c>
      <c r="O1643" s="15" t="s">
        <v>19</v>
      </c>
      <c r="Q1643"/>
    </row>
    <row r="1644" spans="1:17" ht="15.6" x14ac:dyDescent="0.3">
      <c r="A1644" s="11">
        <v>10291</v>
      </c>
      <c r="B1644" s="10">
        <v>38238</v>
      </c>
      <c r="C1644" s="10" t="s">
        <v>326</v>
      </c>
      <c r="D1644" s="11" t="s">
        <v>164</v>
      </c>
      <c r="E1644" s="11" t="s">
        <v>165</v>
      </c>
      <c r="F1644" s="11" t="s">
        <v>85</v>
      </c>
      <c r="G1644" s="11" t="s">
        <v>25</v>
      </c>
      <c r="H1644" s="11" t="s">
        <v>17</v>
      </c>
      <c r="I1644" s="11" t="s">
        <v>21</v>
      </c>
      <c r="J1644" s="11" t="s">
        <v>243</v>
      </c>
      <c r="K1644" s="11">
        <v>23</v>
      </c>
      <c r="L1644" s="12">
        <v>110</v>
      </c>
      <c r="M1644" s="13">
        <v>2530</v>
      </c>
      <c r="N1644" s="11" t="s">
        <v>367</v>
      </c>
      <c r="O1644" s="11" t="s">
        <v>19</v>
      </c>
      <c r="Q1644"/>
    </row>
    <row r="1645" spans="1:17" ht="15.6" x14ac:dyDescent="0.3">
      <c r="A1645" s="15">
        <v>10292</v>
      </c>
      <c r="B1645" s="14">
        <v>38238</v>
      </c>
      <c r="C1645" s="14" t="s">
        <v>282</v>
      </c>
      <c r="D1645" s="15" t="s">
        <v>67</v>
      </c>
      <c r="E1645" s="15" t="s">
        <v>28</v>
      </c>
      <c r="F1645" s="15" t="s">
        <v>15</v>
      </c>
      <c r="G1645" s="15" t="s">
        <v>16</v>
      </c>
      <c r="H1645" s="15" t="s">
        <v>32</v>
      </c>
      <c r="I1645" s="15" t="s">
        <v>46</v>
      </c>
      <c r="J1645" s="15" t="s">
        <v>254</v>
      </c>
      <c r="K1645" s="15">
        <v>21</v>
      </c>
      <c r="L1645" s="16">
        <v>90</v>
      </c>
      <c r="M1645" s="17">
        <v>1890</v>
      </c>
      <c r="N1645" s="15" t="s">
        <v>367</v>
      </c>
      <c r="O1645" s="15" t="s">
        <v>19</v>
      </c>
      <c r="Q1645"/>
    </row>
    <row r="1646" spans="1:17" ht="15.6" x14ac:dyDescent="0.3">
      <c r="A1646" s="11">
        <v>10292</v>
      </c>
      <c r="B1646" s="10">
        <v>38238</v>
      </c>
      <c r="C1646" s="10" t="s">
        <v>282</v>
      </c>
      <c r="D1646" s="11" t="s">
        <v>67</v>
      </c>
      <c r="E1646" s="11" t="s">
        <v>28</v>
      </c>
      <c r="F1646" s="11" t="s">
        <v>15</v>
      </c>
      <c r="G1646" s="11" t="s">
        <v>16</v>
      </c>
      <c r="H1646" s="11" t="s">
        <v>32</v>
      </c>
      <c r="I1646" s="11" t="s">
        <v>46</v>
      </c>
      <c r="J1646" s="11" t="s">
        <v>254</v>
      </c>
      <c r="K1646" s="11">
        <v>44</v>
      </c>
      <c r="L1646" s="12">
        <v>90</v>
      </c>
      <c r="M1646" s="13">
        <v>3960</v>
      </c>
      <c r="N1646" s="11" t="s">
        <v>367</v>
      </c>
      <c r="O1646" s="11" t="s">
        <v>19</v>
      </c>
      <c r="Q1646"/>
    </row>
    <row r="1647" spans="1:17" ht="15.6" x14ac:dyDescent="0.3">
      <c r="A1647" s="15">
        <v>10291</v>
      </c>
      <c r="B1647" s="14">
        <v>38238</v>
      </c>
      <c r="C1647" s="14" t="s">
        <v>326</v>
      </c>
      <c r="D1647" s="15" t="s">
        <v>164</v>
      </c>
      <c r="E1647" s="15" t="s">
        <v>165</v>
      </c>
      <c r="F1647" s="15" t="s">
        <v>85</v>
      </c>
      <c r="G1647" s="15" t="s">
        <v>25</v>
      </c>
      <c r="H1647" s="15" t="s">
        <v>35</v>
      </c>
      <c r="I1647" s="15" t="s">
        <v>40</v>
      </c>
      <c r="J1647" s="15" t="s">
        <v>251</v>
      </c>
      <c r="K1647" s="15">
        <v>48</v>
      </c>
      <c r="L1647" s="16">
        <v>25</v>
      </c>
      <c r="M1647" s="17">
        <v>1200</v>
      </c>
      <c r="N1647" s="15" t="s">
        <v>367</v>
      </c>
      <c r="O1647" s="15" t="s">
        <v>19</v>
      </c>
      <c r="Q1647"/>
    </row>
    <row r="1648" spans="1:17" ht="15.6" x14ac:dyDescent="0.3">
      <c r="A1648" s="11">
        <v>10291</v>
      </c>
      <c r="B1648" s="10">
        <v>38238</v>
      </c>
      <c r="C1648" s="10" t="s">
        <v>326</v>
      </c>
      <c r="D1648" s="11" t="s">
        <v>164</v>
      </c>
      <c r="E1648" s="11" t="s">
        <v>165</v>
      </c>
      <c r="F1648" s="11" t="s">
        <v>85</v>
      </c>
      <c r="G1648" s="11" t="s">
        <v>25</v>
      </c>
      <c r="H1648" s="11" t="s">
        <v>17</v>
      </c>
      <c r="I1648" s="11" t="s">
        <v>52</v>
      </c>
      <c r="J1648" s="11" t="s">
        <v>256</v>
      </c>
      <c r="K1648" s="11">
        <v>29</v>
      </c>
      <c r="L1648" s="12">
        <v>45</v>
      </c>
      <c r="M1648" s="13">
        <v>1305</v>
      </c>
      <c r="N1648" s="11" t="s">
        <v>367</v>
      </c>
      <c r="O1648" s="11" t="s">
        <v>19</v>
      </c>
      <c r="Q1648"/>
    </row>
    <row r="1649" spans="1:17" ht="15.6" x14ac:dyDescent="0.3">
      <c r="A1649" s="15">
        <v>10292</v>
      </c>
      <c r="B1649" s="14">
        <v>38238</v>
      </c>
      <c r="C1649" s="14" t="s">
        <v>282</v>
      </c>
      <c r="D1649" s="15" t="s">
        <v>67</v>
      </c>
      <c r="E1649" s="15" t="s">
        <v>28</v>
      </c>
      <c r="F1649" s="15" t="s">
        <v>15</v>
      </c>
      <c r="G1649" s="15" t="s">
        <v>16</v>
      </c>
      <c r="H1649" s="15" t="s">
        <v>32</v>
      </c>
      <c r="I1649" s="15" t="s">
        <v>33</v>
      </c>
      <c r="J1649" s="15" t="s">
        <v>245</v>
      </c>
      <c r="K1649" s="15">
        <v>40</v>
      </c>
      <c r="L1649" s="16">
        <v>85</v>
      </c>
      <c r="M1649" s="17">
        <v>3400</v>
      </c>
      <c r="N1649" s="15" t="s">
        <v>367</v>
      </c>
      <c r="O1649" s="15" t="s">
        <v>19</v>
      </c>
      <c r="Q1649"/>
    </row>
    <row r="1650" spans="1:17" ht="15.6" x14ac:dyDescent="0.3">
      <c r="A1650" s="11">
        <v>10291</v>
      </c>
      <c r="B1650" s="10">
        <v>38238</v>
      </c>
      <c r="C1650" s="10" t="s">
        <v>326</v>
      </c>
      <c r="D1650" s="11" t="s">
        <v>164</v>
      </c>
      <c r="E1650" s="11" t="s">
        <v>165</v>
      </c>
      <c r="F1650" s="11" t="s">
        <v>85</v>
      </c>
      <c r="G1650" s="11" t="s">
        <v>25</v>
      </c>
      <c r="H1650" s="11" t="s">
        <v>35</v>
      </c>
      <c r="I1650" s="11" t="s">
        <v>40</v>
      </c>
      <c r="J1650" s="11" t="s">
        <v>251</v>
      </c>
      <c r="K1650" s="11">
        <v>48</v>
      </c>
      <c r="L1650" s="12">
        <v>25</v>
      </c>
      <c r="M1650" s="13">
        <v>1200</v>
      </c>
      <c r="N1650" s="11" t="s">
        <v>367</v>
      </c>
      <c r="O1650" s="11" t="s">
        <v>19</v>
      </c>
      <c r="Q1650"/>
    </row>
    <row r="1651" spans="1:17" ht="15.6" x14ac:dyDescent="0.3">
      <c r="A1651" s="15">
        <v>10292</v>
      </c>
      <c r="B1651" s="14">
        <v>38238</v>
      </c>
      <c r="C1651" s="14" t="s">
        <v>282</v>
      </c>
      <c r="D1651" s="15" t="s">
        <v>67</v>
      </c>
      <c r="E1651" s="15" t="s">
        <v>28</v>
      </c>
      <c r="F1651" s="15" t="s">
        <v>15</v>
      </c>
      <c r="G1651" s="15" t="s">
        <v>16</v>
      </c>
      <c r="H1651" s="15" t="s">
        <v>32</v>
      </c>
      <c r="I1651" s="15" t="s">
        <v>34</v>
      </c>
      <c r="J1651" s="15" t="s">
        <v>246</v>
      </c>
      <c r="K1651" s="15">
        <v>39</v>
      </c>
      <c r="L1651" s="16">
        <v>80</v>
      </c>
      <c r="M1651" s="17">
        <v>3120</v>
      </c>
      <c r="N1651" s="15" t="s">
        <v>367</v>
      </c>
      <c r="O1651" s="15" t="s">
        <v>19</v>
      </c>
      <c r="Q1651"/>
    </row>
    <row r="1652" spans="1:17" ht="15.6" x14ac:dyDescent="0.3">
      <c r="A1652" s="11">
        <v>10292</v>
      </c>
      <c r="B1652" s="10">
        <v>38238</v>
      </c>
      <c r="C1652" s="10" t="s">
        <v>282</v>
      </c>
      <c r="D1652" s="11" t="s">
        <v>67</v>
      </c>
      <c r="E1652" s="11" t="s">
        <v>28</v>
      </c>
      <c r="F1652" s="11" t="s">
        <v>15</v>
      </c>
      <c r="G1652" s="11" t="s">
        <v>16</v>
      </c>
      <c r="H1652" s="11" t="s">
        <v>32</v>
      </c>
      <c r="I1652" s="11" t="s">
        <v>34</v>
      </c>
      <c r="J1652" s="11" t="s">
        <v>246</v>
      </c>
      <c r="K1652" s="11">
        <v>27</v>
      </c>
      <c r="L1652" s="12">
        <v>80</v>
      </c>
      <c r="M1652" s="13">
        <v>2160</v>
      </c>
      <c r="N1652" s="11" t="s">
        <v>367</v>
      </c>
      <c r="O1652" s="11" t="s">
        <v>19</v>
      </c>
      <c r="Q1652"/>
    </row>
    <row r="1653" spans="1:17" ht="15.6" x14ac:dyDescent="0.3">
      <c r="A1653" s="15">
        <v>10291</v>
      </c>
      <c r="B1653" s="14">
        <v>38238</v>
      </c>
      <c r="C1653" s="14" t="s">
        <v>326</v>
      </c>
      <c r="D1653" s="15" t="s">
        <v>164</v>
      </c>
      <c r="E1653" s="15" t="s">
        <v>165</v>
      </c>
      <c r="F1653" s="15" t="s">
        <v>85</v>
      </c>
      <c r="G1653" s="15" t="s">
        <v>25</v>
      </c>
      <c r="H1653" s="15" t="s">
        <v>35</v>
      </c>
      <c r="I1653" s="15" t="s">
        <v>38</v>
      </c>
      <c r="J1653" s="15" t="s">
        <v>249</v>
      </c>
      <c r="K1653" s="15">
        <v>26</v>
      </c>
      <c r="L1653" s="16">
        <v>20</v>
      </c>
      <c r="M1653" s="17">
        <v>520</v>
      </c>
      <c r="N1653" s="15" t="s">
        <v>367</v>
      </c>
      <c r="O1653" s="15" t="s">
        <v>19</v>
      </c>
      <c r="Q1653"/>
    </row>
    <row r="1654" spans="1:17" ht="15.6" x14ac:dyDescent="0.3">
      <c r="A1654" s="11">
        <v>10292</v>
      </c>
      <c r="B1654" s="10">
        <v>38238</v>
      </c>
      <c r="C1654" s="10" t="s">
        <v>282</v>
      </c>
      <c r="D1654" s="11" t="s">
        <v>67</v>
      </c>
      <c r="E1654" s="11" t="s">
        <v>28</v>
      </c>
      <c r="F1654" s="11" t="s">
        <v>15</v>
      </c>
      <c r="G1654" s="11" t="s">
        <v>16</v>
      </c>
      <c r="H1654" s="11" t="s">
        <v>35</v>
      </c>
      <c r="I1654" s="11" t="s">
        <v>39</v>
      </c>
      <c r="J1654" s="11" t="s">
        <v>250</v>
      </c>
      <c r="K1654" s="11">
        <v>50</v>
      </c>
      <c r="L1654" s="12">
        <v>20</v>
      </c>
      <c r="M1654" s="13">
        <v>1000</v>
      </c>
      <c r="N1654" s="11" t="s">
        <v>368</v>
      </c>
      <c r="O1654" s="11" t="s">
        <v>19</v>
      </c>
      <c r="Q1654"/>
    </row>
    <row r="1655" spans="1:17" ht="15.6" x14ac:dyDescent="0.3">
      <c r="A1655" s="15">
        <v>10292</v>
      </c>
      <c r="B1655" s="14">
        <v>38238</v>
      </c>
      <c r="C1655" s="14" t="s">
        <v>282</v>
      </c>
      <c r="D1655" s="15" t="s">
        <v>67</v>
      </c>
      <c r="E1655" s="15" t="s">
        <v>28</v>
      </c>
      <c r="F1655" s="15" t="s">
        <v>15</v>
      </c>
      <c r="G1655" s="15" t="s">
        <v>16</v>
      </c>
      <c r="H1655" s="15" t="s">
        <v>47</v>
      </c>
      <c r="I1655" s="15" t="s">
        <v>48</v>
      </c>
      <c r="J1655" s="15" t="s">
        <v>255</v>
      </c>
      <c r="K1655" s="15">
        <v>31</v>
      </c>
      <c r="L1655" s="16">
        <v>70</v>
      </c>
      <c r="M1655" s="17">
        <v>2170</v>
      </c>
      <c r="N1655" s="15" t="s">
        <v>367</v>
      </c>
      <c r="O1655" s="15" t="s">
        <v>19</v>
      </c>
      <c r="Q1655"/>
    </row>
    <row r="1656" spans="1:17" ht="15.6" x14ac:dyDescent="0.3">
      <c r="A1656" s="11">
        <v>10291</v>
      </c>
      <c r="B1656" s="10">
        <v>38238</v>
      </c>
      <c r="C1656" s="10" t="s">
        <v>326</v>
      </c>
      <c r="D1656" s="11" t="s">
        <v>164</v>
      </c>
      <c r="E1656" s="11" t="s">
        <v>165</v>
      </c>
      <c r="F1656" s="11" t="s">
        <v>85</v>
      </c>
      <c r="G1656" s="11" t="s">
        <v>25</v>
      </c>
      <c r="H1656" s="11" t="s">
        <v>35</v>
      </c>
      <c r="I1656" s="11" t="s">
        <v>36</v>
      </c>
      <c r="J1656" s="11" t="s">
        <v>247</v>
      </c>
      <c r="K1656" s="11">
        <v>32</v>
      </c>
      <c r="L1656" s="12">
        <v>30</v>
      </c>
      <c r="M1656" s="13">
        <v>960</v>
      </c>
      <c r="N1656" s="11" t="s">
        <v>367</v>
      </c>
      <c r="O1656" s="11" t="s">
        <v>19</v>
      </c>
      <c r="Q1656"/>
    </row>
    <row r="1657" spans="1:17" ht="15.6" x14ac:dyDescent="0.3">
      <c r="A1657" s="15">
        <v>10292</v>
      </c>
      <c r="B1657" s="14">
        <v>38238</v>
      </c>
      <c r="C1657" s="14" t="s">
        <v>282</v>
      </c>
      <c r="D1657" s="15" t="s">
        <v>67</v>
      </c>
      <c r="E1657" s="15" t="s">
        <v>28</v>
      </c>
      <c r="F1657" s="15" t="s">
        <v>15</v>
      </c>
      <c r="G1657" s="15" t="s">
        <v>16</v>
      </c>
      <c r="H1657" s="15" t="s">
        <v>35</v>
      </c>
      <c r="I1657" s="15" t="s">
        <v>39</v>
      </c>
      <c r="J1657" s="15" t="s">
        <v>250</v>
      </c>
      <c r="K1657" s="15">
        <v>41</v>
      </c>
      <c r="L1657" s="16">
        <v>20</v>
      </c>
      <c r="M1657" s="17">
        <v>820</v>
      </c>
      <c r="N1657" s="15" t="s">
        <v>367</v>
      </c>
      <c r="O1657" s="15" t="s">
        <v>19</v>
      </c>
      <c r="Q1657"/>
    </row>
    <row r="1658" spans="1:17" ht="15.6" x14ac:dyDescent="0.3">
      <c r="A1658" s="11">
        <v>10292</v>
      </c>
      <c r="B1658" s="10">
        <v>38238</v>
      </c>
      <c r="C1658" s="10" t="s">
        <v>282</v>
      </c>
      <c r="D1658" s="11" t="s">
        <v>67</v>
      </c>
      <c r="E1658" s="11" t="s">
        <v>28</v>
      </c>
      <c r="F1658" s="11" t="s">
        <v>15</v>
      </c>
      <c r="G1658" s="11" t="s">
        <v>16</v>
      </c>
      <c r="H1658" s="11" t="s">
        <v>47</v>
      </c>
      <c r="I1658" s="11" t="s">
        <v>48</v>
      </c>
      <c r="J1658" s="11" t="s">
        <v>255</v>
      </c>
      <c r="K1658" s="11">
        <v>35</v>
      </c>
      <c r="L1658" s="12">
        <v>70</v>
      </c>
      <c r="M1658" s="13">
        <v>2450</v>
      </c>
      <c r="N1658" s="11" t="s">
        <v>367</v>
      </c>
      <c r="O1658" s="11" t="s">
        <v>19</v>
      </c>
      <c r="Q1658"/>
    </row>
    <row r="1659" spans="1:17" ht="15.6" x14ac:dyDescent="0.3">
      <c r="A1659" s="15">
        <v>10291</v>
      </c>
      <c r="B1659" s="14">
        <v>38238</v>
      </c>
      <c r="C1659" s="14" t="s">
        <v>326</v>
      </c>
      <c r="D1659" s="15" t="s">
        <v>164</v>
      </c>
      <c r="E1659" s="15" t="s">
        <v>165</v>
      </c>
      <c r="F1659" s="15" t="s">
        <v>85</v>
      </c>
      <c r="G1659" s="15" t="s">
        <v>25</v>
      </c>
      <c r="H1659" s="15" t="s">
        <v>32</v>
      </c>
      <c r="I1659" s="15" t="s">
        <v>33</v>
      </c>
      <c r="J1659" s="15" t="s">
        <v>245</v>
      </c>
      <c r="K1659" s="15">
        <v>28</v>
      </c>
      <c r="L1659" s="16">
        <v>85</v>
      </c>
      <c r="M1659" s="17">
        <v>2380</v>
      </c>
      <c r="N1659" s="15" t="s">
        <v>367</v>
      </c>
      <c r="O1659" s="15" t="s">
        <v>19</v>
      </c>
      <c r="Q1659"/>
    </row>
    <row r="1660" spans="1:17" ht="15.6" x14ac:dyDescent="0.3">
      <c r="A1660" s="11">
        <v>10293</v>
      </c>
      <c r="B1660" s="10">
        <v>38239</v>
      </c>
      <c r="C1660" s="10" t="s">
        <v>364</v>
      </c>
      <c r="D1660" s="11" t="s">
        <v>235</v>
      </c>
      <c r="E1660" s="11" t="s">
        <v>236</v>
      </c>
      <c r="F1660" s="11" t="s">
        <v>60</v>
      </c>
      <c r="G1660" s="11" t="s">
        <v>25</v>
      </c>
      <c r="H1660" s="11" t="s">
        <v>32</v>
      </c>
      <c r="I1660" s="11" t="s">
        <v>34</v>
      </c>
      <c r="J1660" s="11" t="s">
        <v>246</v>
      </c>
      <c r="K1660" s="11">
        <v>46</v>
      </c>
      <c r="L1660" s="12">
        <v>80</v>
      </c>
      <c r="M1660" s="13">
        <v>3680</v>
      </c>
      <c r="N1660" s="11" t="s">
        <v>367</v>
      </c>
      <c r="O1660" s="11" t="s">
        <v>19</v>
      </c>
      <c r="Q1660"/>
    </row>
    <row r="1661" spans="1:17" ht="15.6" x14ac:dyDescent="0.3">
      <c r="A1661" s="15">
        <v>10293</v>
      </c>
      <c r="B1661" s="14">
        <v>38239</v>
      </c>
      <c r="C1661" s="14" t="s">
        <v>364</v>
      </c>
      <c r="D1661" s="15" t="s">
        <v>235</v>
      </c>
      <c r="E1661" s="15" t="s">
        <v>236</v>
      </c>
      <c r="F1661" s="15" t="s">
        <v>60</v>
      </c>
      <c r="G1661" s="15" t="s">
        <v>25</v>
      </c>
      <c r="H1661" s="15" t="s">
        <v>32</v>
      </c>
      <c r="I1661" s="15" t="s">
        <v>45</v>
      </c>
      <c r="J1661" s="15" t="s">
        <v>253</v>
      </c>
      <c r="K1661" s="15">
        <v>24</v>
      </c>
      <c r="L1661" s="16">
        <v>35</v>
      </c>
      <c r="M1661" s="17">
        <v>840</v>
      </c>
      <c r="N1661" s="15" t="s">
        <v>367</v>
      </c>
      <c r="O1661" s="15" t="s">
        <v>19</v>
      </c>
      <c r="Q1661"/>
    </row>
    <row r="1662" spans="1:17" ht="15.6" x14ac:dyDescent="0.3">
      <c r="A1662" s="11">
        <v>10293</v>
      </c>
      <c r="B1662" s="10">
        <v>38239</v>
      </c>
      <c r="C1662" s="10" t="s">
        <v>364</v>
      </c>
      <c r="D1662" s="11" t="s">
        <v>235</v>
      </c>
      <c r="E1662" s="11" t="s">
        <v>236</v>
      </c>
      <c r="F1662" s="11" t="s">
        <v>60</v>
      </c>
      <c r="G1662" s="11" t="s">
        <v>25</v>
      </c>
      <c r="H1662" s="11" t="s">
        <v>32</v>
      </c>
      <c r="I1662" s="11" t="s">
        <v>45</v>
      </c>
      <c r="J1662" s="11" t="s">
        <v>253</v>
      </c>
      <c r="K1662" s="11">
        <v>45</v>
      </c>
      <c r="L1662" s="12">
        <v>35</v>
      </c>
      <c r="M1662" s="13">
        <v>1575</v>
      </c>
      <c r="N1662" s="11" t="s">
        <v>367</v>
      </c>
      <c r="O1662" s="11" t="s">
        <v>19</v>
      </c>
      <c r="Q1662"/>
    </row>
    <row r="1663" spans="1:17" ht="15.6" x14ac:dyDescent="0.3">
      <c r="A1663" s="15">
        <v>10293</v>
      </c>
      <c r="B1663" s="14">
        <v>38239</v>
      </c>
      <c r="C1663" s="14" t="s">
        <v>364</v>
      </c>
      <c r="D1663" s="15" t="s">
        <v>235</v>
      </c>
      <c r="E1663" s="15" t="s">
        <v>236</v>
      </c>
      <c r="F1663" s="15" t="s">
        <v>60</v>
      </c>
      <c r="G1663" s="15" t="s">
        <v>25</v>
      </c>
      <c r="H1663" s="15" t="s">
        <v>17</v>
      </c>
      <c r="I1663" s="15" t="s">
        <v>20</v>
      </c>
      <c r="J1663" s="15" t="s">
        <v>242</v>
      </c>
      <c r="K1663" s="15">
        <v>24</v>
      </c>
      <c r="L1663" s="16">
        <v>48</v>
      </c>
      <c r="M1663" s="17">
        <v>1152</v>
      </c>
      <c r="N1663" s="15" t="s">
        <v>367</v>
      </c>
      <c r="O1663" s="15" t="s">
        <v>19</v>
      </c>
      <c r="Q1663"/>
    </row>
    <row r="1664" spans="1:17" ht="15.6" x14ac:dyDescent="0.3">
      <c r="A1664" s="11">
        <v>10293</v>
      </c>
      <c r="B1664" s="10">
        <v>38239</v>
      </c>
      <c r="C1664" s="10" t="s">
        <v>364</v>
      </c>
      <c r="D1664" s="11" t="s">
        <v>235</v>
      </c>
      <c r="E1664" s="11" t="s">
        <v>236</v>
      </c>
      <c r="F1664" s="11" t="s">
        <v>60</v>
      </c>
      <c r="G1664" s="11" t="s">
        <v>25</v>
      </c>
      <c r="H1664" s="11" t="s">
        <v>47</v>
      </c>
      <c r="I1664" s="11" t="s">
        <v>48</v>
      </c>
      <c r="J1664" s="11" t="s">
        <v>255</v>
      </c>
      <c r="K1664" s="11">
        <v>22</v>
      </c>
      <c r="L1664" s="12">
        <v>70</v>
      </c>
      <c r="M1664" s="13">
        <v>1540</v>
      </c>
      <c r="N1664" s="11" t="s">
        <v>367</v>
      </c>
      <c r="O1664" s="11" t="s">
        <v>19</v>
      </c>
      <c r="Q1664"/>
    </row>
    <row r="1665" spans="1:17" ht="15.6" x14ac:dyDescent="0.3">
      <c r="A1665" s="15">
        <v>10293</v>
      </c>
      <c r="B1665" s="14">
        <v>38239</v>
      </c>
      <c r="C1665" s="14" t="s">
        <v>364</v>
      </c>
      <c r="D1665" s="15" t="s">
        <v>235</v>
      </c>
      <c r="E1665" s="15" t="s">
        <v>236</v>
      </c>
      <c r="F1665" s="15" t="s">
        <v>60</v>
      </c>
      <c r="G1665" s="15" t="s">
        <v>25</v>
      </c>
      <c r="H1665" s="15" t="s">
        <v>17</v>
      </c>
      <c r="I1665" s="15" t="s">
        <v>20</v>
      </c>
      <c r="J1665" s="15" t="s">
        <v>242</v>
      </c>
      <c r="K1665" s="15">
        <v>49</v>
      </c>
      <c r="L1665" s="16">
        <v>48</v>
      </c>
      <c r="M1665" s="17">
        <v>2352</v>
      </c>
      <c r="N1665" s="15" t="s">
        <v>367</v>
      </c>
      <c r="O1665" s="15" t="s">
        <v>19</v>
      </c>
      <c r="Q1665"/>
    </row>
    <row r="1666" spans="1:17" ht="15.6" x14ac:dyDescent="0.3">
      <c r="A1666" s="11">
        <v>10293</v>
      </c>
      <c r="B1666" s="10">
        <v>38239</v>
      </c>
      <c r="C1666" s="10" t="s">
        <v>364</v>
      </c>
      <c r="D1666" s="11" t="s">
        <v>235</v>
      </c>
      <c r="E1666" s="11" t="s">
        <v>236</v>
      </c>
      <c r="F1666" s="11" t="s">
        <v>60</v>
      </c>
      <c r="G1666" s="11" t="s">
        <v>25</v>
      </c>
      <c r="H1666" s="11" t="s">
        <v>54</v>
      </c>
      <c r="I1666" s="11" t="s">
        <v>166</v>
      </c>
      <c r="J1666" s="11" t="s">
        <v>273</v>
      </c>
      <c r="K1666" s="11">
        <v>21</v>
      </c>
      <c r="L1666" s="12">
        <v>160</v>
      </c>
      <c r="M1666" s="13">
        <v>3360</v>
      </c>
      <c r="N1666" s="11" t="s">
        <v>367</v>
      </c>
      <c r="O1666" s="11" t="s">
        <v>19</v>
      </c>
      <c r="Q1666"/>
    </row>
    <row r="1667" spans="1:17" ht="15.6" x14ac:dyDescent="0.3">
      <c r="A1667" s="15">
        <v>10293</v>
      </c>
      <c r="B1667" s="14">
        <v>38239</v>
      </c>
      <c r="C1667" s="14" t="s">
        <v>364</v>
      </c>
      <c r="D1667" s="15" t="s">
        <v>235</v>
      </c>
      <c r="E1667" s="15" t="s">
        <v>236</v>
      </c>
      <c r="F1667" s="15" t="s">
        <v>60</v>
      </c>
      <c r="G1667" s="15" t="s">
        <v>25</v>
      </c>
      <c r="H1667" s="15" t="s">
        <v>54</v>
      </c>
      <c r="I1667" s="15" t="s">
        <v>56</v>
      </c>
      <c r="J1667" s="15" t="s">
        <v>259</v>
      </c>
      <c r="K1667" s="15">
        <v>29</v>
      </c>
      <c r="L1667" s="16">
        <v>250</v>
      </c>
      <c r="M1667" s="17">
        <v>7250</v>
      </c>
      <c r="N1667" s="15" t="s">
        <v>367</v>
      </c>
      <c r="O1667" s="15" t="s">
        <v>19</v>
      </c>
      <c r="Q1667"/>
    </row>
    <row r="1668" spans="1:17" ht="15.6" x14ac:dyDescent="0.3">
      <c r="A1668" s="11">
        <v>10293</v>
      </c>
      <c r="B1668" s="10">
        <v>38239</v>
      </c>
      <c r="C1668" s="10" t="s">
        <v>364</v>
      </c>
      <c r="D1668" s="11" t="s">
        <v>235</v>
      </c>
      <c r="E1668" s="11" t="s">
        <v>236</v>
      </c>
      <c r="F1668" s="11" t="s">
        <v>60</v>
      </c>
      <c r="G1668" s="11" t="s">
        <v>25</v>
      </c>
      <c r="H1668" s="11" t="s">
        <v>54</v>
      </c>
      <c r="I1668" s="11" t="s">
        <v>55</v>
      </c>
      <c r="J1668" s="11" t="s">
        <v>258</v>
      </c>
      <c r="K1668" s="11">
        <v>32</v>
      </c>
      <c r="L1668" s="12">
        <v>180</v>
      </c>
      <c r="M1668" s="13">
        <v>5760</v>
      </c>
      <c r="N1668" s="11" t="s">
        <v>367</v>
      </c>
      <c r="O1668" s="11" t="s">
        <v>19</v>
      </c>
      <c r="Q1668"/>
    </row>
    <row r="1669" spans="1:17" ht="15.6" x14ac:dyDescent="0.3">
      <c r="A1669" s="15">
        <v>10295</v>
      </c>
      <c r="B1669" s="14">
        <v>38240</v>
      </c>
      <c r="C1669" s="14" t="s">
        <v>360</v>
      </c>
      <c r="D1669" s="15" t="s">
        <v>230</v>
      </c>
      <c r="E1669" s="15" t="s">
        <v>198</v>
      </c>
      <c r="F1669" s="15" t="s">
        <v>15</v>
      </c>
      <c r="G1669" s="15" t="s">
        <v>16</v>
      </c>
      <c r="H1669" s="15" t="s">
        <v>32</v>
      </c>
      <c r="I1669" s="15" t="s">
        <v>33</v>
      </c>
      <c r="J1669" s="15" t="s">
        <v>245</v>
      </c>
      <c r="K1669" s="15">
        <v>24</v>
      </c>
      <c r="L1669" s="16">
        <v>85</v>
      </c>
      <c r="M1669" s="17">
        <v>2040</v>
      </c>
      <c r="N1669" s="15" t="s">
        <v>367</v>
      </c>
      <c r="O1669" s="15" t="s">
        <v>19</v>
      </c>
      <c r="Q1669"/>
    </row>
    <row r="1670" spans="1:17" ht="15.6" x14ac:dyDescent="0.3">
      <c r="A1670" s="11">
        <v>10295</v>
      </c>
      <c r="B1670" s="10">
        <v>38240</v>
      </c>
      <c r="C1670" s="10" t="s">
        <v>360</v>
      </c>
      <c r="D1670" s="11" t="s">
        <v>230</v>
      </c>
      <c r="E1670" s="11" t="s">
        <v>198</v>
      </c>
      <c r="F1670" s="11" t="s">
        <v>15</v>
      </c>
      <c r="G1670" s="11" t="s">
        <v>16</v>
      </c>
      <c r="H1670" s="11" t="s">
        <v>17</v>
      </c>
      <c r="I1670" s="11" t="s">
        <v>18</v>
      </c>
      <c r="J1670" s="11" t="s">
        <v>241</v>
      </c>
      <c r="K1670" s="11">
        <v>46</v>
      </c>
      <c r="L1670" s="12">
        <v>30</v>
      </c>
      <c r="M1670" s="13">
        <v>1380</v>
      </c>
      <c r="N1670" s="11" t="s">
        <v>367</v>
      </c>
      <c r="O1670" s="11" t="s">
        <v>19</v>
      </c>
      <c r="Q1670"/>
    </row>
    <row r="1671" spans="1:17" ht="15.6" x14ac:dyDescent="0.3">
      <c r="A1671" s="15">
        <v>10295</v>
      </c>
      <c r="B1671" s="14">
        <v>38240</v>
      </c>
      <c r="C1671" s="14" t="s">
        <v>360</v>
      </c>
      <c r="D1671" s="15" t="s">
        <v>230</v>
      </c>
      <c r="E1671" s="15" t="s">
        <v>198</v>
      </c>
      <c r="F1671" s="15" t="s">
        <v>15</v>
      </c>
      <c r="G1671" s="15" t="s">
        <v>16</v>
      </c>
      <c r="H1671" s="15" t="s">
        <v>54</v>
      </c>
      <c r="I1671" s="15" t="s">
        <v>56</v>
      </c>
      <c r="J1671" s="15" t="s">
        <v>259</v>
      </c>
      <c r="K1671" s="15">
        <v>26</v>
      </c>
      <c r="L1671" s="16">
        <v>250</v>
      </c>
      <c r="M1671" s="17">
        <v>6500</v>
      </c>
      <c r="N1671" s="15" t="s">
        <v>367</v>
      </c>
      <c r="O1671" s="15" t="s">
        <v>19</v>
      </c>
      <c r="Q1671"/>
    </row>
    <row r="1672" spans="1:17" ht="15.6" x14ac:dyDescent="0.3">
      <c r="A1672" s="11">
        <v>10295</v>
      </c>
      <c r="B1672" s="10">
        <v>38240</v>
      </c>
      <c r="C1672" s="10" t="s">
        <v>360</v>
      </c>
      <c r="D1672" s="11" t="s">
        <v>230</v>
      </c>
      <c r="E1672" s="11" t="s">
        <v>198</v>
      </c>
      <c r="F1672" s="11" t="s">
        <v>15</v>
      </c>
      <c r="G1672" s="11" t="s">
        <v>16</v>
      </c>
      <c r="H1672" s="11" t="s">
        <v>54</v>
      </c>
      <c r="I1672" s="11" t="s">
        <v>166</v>
      </c>
      <c r="J1672" s="11" t="s">
        <v>273</v>
      </c>
      <c r="K1672" s="11">
        <v>44</v>
      </c>
      <c r="L1672" s="12">
        <v>160</v>
      </c>
      <c r="M1672" s="13">
        <v>7040</v>
      </c>
      <c r="N1672" s="11" t="s">
        <v>367</v>
      </c>
      <c r="O1672" s="11" t="s">
        <v>19</v>
      </c>
      <c r="Q1672"/>
    </row>
    <row r="1673" spans="1:17" ht="15.6" x14ac:dyDescent="0.3">
      <c r="A1673" s="15">
        <v>10295</v>
      </c>
      <c r="B1673" s="14">
        <v>38240</v>
      </c>
      <c r="C1673" s="14" t="s">
        <v>360</v>
      </c>
      <c r="D1673" s="15" t="s">
        <v>230</v>
      </c>
      <c r="E1673" s="15" t="s">
        <v>198</v>
      </c>
      <c r="F1673" s="15" t="s">
        <v>15</v>
      </c>
      <c r="G1673" s="15" t="s">
        <v>16</v>
      </c>
      <c r="H1673" s="15" t="s">
        <v>54</v>
      </c>
      <c r="I1673" s="15" t="s">
        <v>56</v>
      </c>
      <c r="J1673" s="15" t="s">
        <v>259</v>
      </c>
      <c r="K1673" s="15">
        <v>34</v>
      </c>
      <c r="L1673" s="16">
        <v>250</v>
      </c>
      <c r="M1673" s="17">
        <v>8500</v>
      </c>
      <c r="N1673" s="15" t="s">
        <v>367</v>
      </c>
      <c r="O1673" s="15" t="s">
        <v>19</v>
      </c>
      <c r="Q1673"/>
    </row>
    <row r="1674" spans="1:17" ht="15.6" x14ac:dyDescent="0.3">
      <c r="A1674" s="11">
        <v>10294</v>
      </c>
      <c r="B1674" s="10">
        <v>38240</v>
      </c>
      <c r="C1674" s="10" t="s">
        <v>363</v>
      </c>
      <c r="D1674" s="11" t="s">
        <v>234</v>
      </c>
      <c r="E1674" s="11" t="s">
        <v>125</v>
      </c>
      <c r="F1674" s="11" t="s">
        <v>15</v>
      </c>
      <c r="G1674" s="11" t="s">
        <v>16</v>
      </c>
      <c r="H1674" s="11" t="s">
        <v>54</v>
      </c>
      <c r="I1674" s="11" t="s">
        <v>56</v>
      </c>
      <c r="J1674" s="11" t="s">
        <v>259</v>
      </c>
      <c r="K1674" s="11">
        <v>45</v>
      </c>
      <c r="L1674" s="12">
        <v>250</v>
      </c>
      <c r="M1674" s="13">
        <v>11250</v>
      </c>
      <c r="N1674" s="11" t="s">
        <v>367</v>
      </c>
      <c r="O1674" s="11" t="s">
        <v>19</v>
      </c>
      <c r="Q1674"/>
    </row>
    <row r="1675" spans="1:17" ht="15.6" x14ac:dyDescent="0.3">
      <c r="A1675" s="15">
        <v>10296</v>
      </c>
      <c r="B1675" s="14">
        <v>38245</v>
      </c>
      <c r="C1675" s="14" t="s">
        <v>366</v>
      </c>
      <c r="D1675" s="15" t="s">
        <v>238</v>
      </c>
      <c r="E1675" s="15" t="s">
        <v>239</v>
      </c>
      <c r="F1675" s="15" t="s">
        <v>24</v>
      </c>
      <c r="G1675" s="15" t="s">
        <v>25</v>
      </c>
      <c r="H1675" s="15" t="s">
        <v>61</v>
      </c>
      <c r="I1675" s="15" t="s">
        <v>66</v>
      </c>
      <c r="J1675" s="15" t="s">
        <v>265</v>
      </c>
      <c r="K1675" s="15">
        <v>36</v>
      </c>
      <c r="L1675" s="16">
        <v>35</v>
      </c>
      <c r="M1675" s="17">
        <v>1260</v>
      </c>
      <c r="N1675" s="15" t="s">
        <v>367</v>
      </c>
      <c r="O1675" s="15" t="s">
        <v>19</v>
      </c>
      <c r="Q1675"/>
    </row>
    <row r="1676" spans="1:17" ht="15.6" x14ac:dyDescent="0.3">
      <c r="A1676" s="11">
        <v>10296</v>
      </c>
      <c r="B1676" s="10">
        <v>38245</v>
      </c>
      <c r="C1676" s="10" t="s">
        <v>366</v>
      </c>
      <c r="D1676" s="11" t="s">
        <v>238</v>
      </c>
      <c r="E1676" s="11" t="s">
        <v>239</v>
      </c>
      <c r="F1676" s="11" t="s">
        <v>24</v>
      </c>
      <c r="G1676" s="11" t="s">
        <v>25</v>
      </c>
      <c r="H1676" s="11" t="s">
        <v>54</v>
      </c>
      <c r="I1676" s="11" t="s">
        <v>57</v>
      </c>
      <c r="J1676" s="11" t="s">
        <v>260</v>
      </c>
      <c r="K1676" s="11">
        <v>21</v>
      </c>
      <c r="L1676" s="12">
        <v>220</v>
      </c>
      <c r="M1676" s="13">
        <v>4620</v>
      </c>
      <c r="N1676" s="11" t="s">
        <v>367</v>
      </c>
      <c r="O1676" s="11" t="s">
        <v>19</v>
      </c>
      <c r="Q1676"/>
    </row>
    <row r="1677" spans="1:17" ht="15.6" x14ac:dyDescent="0.3">
      <c r="A1677" s="15">
        <v>10296</v>
      </c>
      <c r="B1677" s="14">
        <v>38245</v>
      </c>
      <c r="C1677" s="14" t="s">
        <v>366</v>
      </c>
      <c r="D1677" s="15" t="s">
        <v>238</v>
      </c>
      <c r="E1677" s="15" t="s">
        <v>239</v>
      </c>
      <c r="F1677" s="15" t="s">
        <v>24</v>
      </c>
      <c r="G1677" s="15" t="s">
        <v>25</v>
      </c>
      <c r="H1677" s="15" t="s">
        <v>17</v>
      </c>
      <c r="I1677" s="15" t="s">
        <v>20</v>
      </c>
      <c r="J1677" s="15" t="s">
        <v>242</v>
      </c>
      <c r="K1677" s="15">
        <v>22</v>
      </c>
      <c r="L1677" s="16">
        <v>48</v>
      </c>
      <c r="M1677" s="17">
        <v>1056</v>
      </c>
      <c r="N1677" s="15" t="s">
        <v>367</v>
      </c>
      <c r="O1677" s="15" t="s">
        <v>19</v>
      </c>
      <c r="Q1677"/>
    </row>
    <row r="1678" spans="1:17" ht="15.6" x14ac:dyDescent="0.3">
      <c r="A1678" s="11">
        <v>10296</v>
      </c>
      <c r="B1678" s="10">
        <v>38245</v>
      </c>
      <c r="C1678" s="10" t="s">
        <v>366</v>
      </c>
      <c r="D1678" s="11" t="s">
        <v>238</v>
      </c>
      <c r="E1678" s="11" t="s">
        <v>239</v>
      </c>
      <c r="F1678" s="11" t="s">
        <v>24</v>
      </c>
      <c r="G1678" s="11" t="s">
        <v>25</v>
      </c>
      <c r="H1678" s="11" t="s">
        <v>61</v>
      </c>
      <c r="I1678" s="11" t="s">
        <v>62</v>
      </c>
      <c r="J1678" s="11" t="s">
        <v>261</v>
      </c>
      <c r="K1678" s="11">
        <v>21</v>
      </c>
      <c r="L1678" s="12">
        <v>15</v>
      </c>
      <c r="M1678" s="13">
        <v>315</v>
      </c>
      <c r="N1678" s="11" t="s">
        <v>367</v>
      </c>
      <c r="O1678" s="11" t="s">
        <v>19</v>
      </c>
      <c r="Q1678"/>
    </row>
    <row r="1679" spans="1:17" ht="15.6" x14ac:dyDescent="0.3">
      <c r="A1679" s="15">
        <v>10296</v>
      </c>
      <c r="B1679" s="14">
        <v>38245</v>
      </c>
      <c r="C1679" s="14" t="s">
        <v>366</v>
      </c>
      <c r="D1679" s="15" t="s">
        <v>238</v>
      </c>
      <c r="E1679" s="15" t="s">
        <v>239</v>
      </c>
      <c r="F1679" s="15" t="s">
        <v>24</v>
      </c>
      <c r="G1679" s="15" t="s">
        <v>25</v>
      </c>
      <c r="H1679" s="15" t="s">
        <v>17</v>
      </c>
      <c r="I1679" s="15" t="s">
        <v>18</v>
      </c>
      <c r="J1679" s="15" t="s">
        <v>241</v>
      </c>
      <c r="K1679" s="15">
        <v>31</v>
      </c>
      <c r="L1679" s="16">
        <v>30</v>
      </c>
      <c r="M1679" s="17">
        <v>930</v>
      </c>
      <c r="N1679" s="15" t="s">
        <v>367</v>
      </c>
      <c r="O1679" s="15" t="s">
        <v>19</v>
      </c>
      <c r="Q1679"/>
    </row>
    <row r="1680" spans="1:17" ht="15.6" x14ac:dyDescent="0.3">
      <c r="A1680" s="11">
        <v>10296</v>
      </c>
      <c r="B1680" s="10">
        <v>38245</v>
      </c>
      <c r="C1680" s="10" t="s">
        <v>366</v>
      </c>
      <c r="D1680" s="11" t="s">
        <v>238</v>
      </c>
      <c r="E1680" s="11" t="s">
        <v>239</v>
      </c>
      <c r="F1680" s="11" t="s">
        <v>24</v>
      </c>
      <c r="G1680" s="11" t="s">
        <v>25</v>
      </c>
      <c r="H1680" s="11" t="s">
        <v>17</v>
      </c>
      <c r="I1680" s="11" t="s">
        <v>20</v>
      </c>
      <c r="J1680" s="11" t="s">
        <v>242</v>
      </c>
      <c r="K1680" s="11">
        <v>22</v>
      </c>
      <c r="L1680" s="12">
        <v>48</v>
      </c>
      <c r="M1680" s="13">
        <v>1056</v>
      </c>
      <c r="N1680" s="11" t="s">
        <v>367</v>
      </c>
      <c r="O1680" s="11" t="s">
        <v>19</v>
      </c>
      <c r="Q1680"/>
    </row>
    <row r="1681" spans="1:17" ht="15.6" x14ac:dyDescent="0.3">
      <c r="A1681" s="15">
        <v>10296</v>
      </c>
      <c r="B1681" s="14">
        <v>38245</v>
      </c>
      <c r="C1681" s="14" t="s">
        <v>366</v>
      </c>
      <c r="D1681" s="15" t="s">
        <v>238</v>
      </c>
      <c r="E1681" s="15" t="s">
        <v>239</v>
      </c>
      <c r="F1681" s="15" t="s">
        <v>24</v>
      </c>
      <c r="G1681" s="15" t="s">
        <v>25</v>
      </c>
      <c r="H1681" s="15" t="s">
        <v>61</v>
      </c>
      <c r="I1681" s="15" t="s">
        <v>62</v>
      </c>
      <c r="J1681" s="15" t="s">
        <v>261</v>
      </c>
      <c r="K1681" s="15">
        <v>32</v>
      </c>
      <c r="L1681" s="16">
        <v>15</v>
      </c>
      <c r="M1681" s="17">
        <v>480</v>
      </c>
      <c r="N1681" s="15" t="s">
        <v>367</v>
      </c>
      <c r="O1681" s="15" t="s">
        <v>19</v>
      </c>
      <c r="Q1681"/>
    </row>
    <row r="1682" spans="1:17" ht="15.6" x14ac:dyDescent="0.3">
      <c r="A1682" s="11">
        <v>10296</v>
      </c>
      <c r="B1682" s="10">
        <v>38245</v>
      </c>
      <c r="C1682" s="10" t="s">
        <v>366</v>
      </c>
      <c r="D1682" s="11" t="s">
        <v>238</v>
      </c>
      <c r="E1682" s="11" t="s">
        <v>239</v>
      </c>
      <c r="F1682" s="11" t="s">
        <v>24</v>
      </c>
      <c r="G1682" s="11" t="s">
        <v>25</v>
      </c>
      <c r="H1682" s="11" t="s">
        <v>17</v>
      </c>
      <c r="I1682" s="11" t="s">
        <v>20</v>
      </c>
      <c r="J1682" s="11" t="s">
        <v>242</v>
      </c>
      <c r="K1682" s="11">
        <v>26</v>
      </c>
      <c r="L1682" s="12">
        <v>48</v>
      </c>
      <c r="M1682" s="13">
        <v>1248</v>
      </c>
      <c r="N1682" s="11" t="s">
        <v>367</v>
      </c>
      <c r="O1682" s="11" t="s">
        <v>19</v>
      </c>
      <c r="Q1682"/>
    </row>
    <row r="1683" spans="1:17" ht="15.6" x14ac:dyDescent="0.3">
      <c r="A1683" s="15">
        <v>10296</v>
      </c>
      <c r="B1683" s="14">
        <v>38245</v>
      </c>
      <c r="C1683" s="14" t="s">
        <v>366</v>
      </c>
      <c r="D1683" s="15" t="s">
        <v>238</v>
      </c>
      <c r="E1683" s="15" t="s">
        <v>239</v>
      </c>
      <c r="F1683" s="15" t="s">
        <v>24</v>
      </c>
      <c r="G1683" s="15" t="s">
        <v>25</v>
      </c>
      <c r="H1683" s="15" t="s">
        <v>61</v>
      </c>
      <c r="I1683" s="15" t="s">
        <v>62</v>
      </c>
      <c r="J1683" s="15" t="s">
        <v>261</v>
      </c>
      <c r="K1683" s="15">
        <v>42</v>
      </c>
      <c r="L1683" s="16">
        <v>15</v>
      </c>
      <c r="M1683" s="17">
        <v>630</v>
      </c>
      <c r="N1683" s="15" t="s">
        <v>367</v>
      </c>
      <c r="O1683" s="15" t="s">
        <v>19</v>
      </c>
      <c r="Q1683"/>
    </row>
    <row r="1684" spans="1:17" ht="15.6" x14ac:dyDescent="0.3">
      <c r="A1684" s="11">
        <v>10296</v>
      </c>
      <c r="B1684" s="10">
        <v>38245</v>
      </c>
      <c r="C1684" s="10" t="s">
        <v>366</v>
      </c>
      <c r="D1684" s="11" t="s">
        <v>238</v>
      </c>
      <c r="E1684" s="11" t="s">
        <v>239</v>
      </c>
      <c r="F1684" s="11" t="s">
        <v>24</v>
      </c>
      <c r="G1684" s="11" t="s">
        <v>25</v>
      </c>
      <c r="H1684" s="11" t="s">
        <v>54</v>
      </c>
      <c r="I1684" s="11" t="s">
        <v>56</v>
      </c>
      <c r="J1684" s="11" t="s">
        <v>259</v>
      </c>
      <c r="K1684" s="11">
        <v>34</v>
      </c>
      <c r="L1684" s="12">
        <v>250</v>
      </c>
      <c r="M1684" s="13">
        <v>8500</v>
      </c>
      <c r="N1684" s="11" t="s">
        <v>367</v>
      </c>
      <c r="O1684" s="11" t="s">
        <v>19</v>
      </c>
      <c r="Q1684"/>
    </row>
    <row r="1685" spans="1:17" ht="15.6" x14ac:dyDescent="0.3">
      <c r="A1685" s="15">
        <v>10296</v>
      </c>
      <c r="B1685" s="14">
        <v>38245</v>
      </c>
      <c r="C1685" s="14" t="s">
        <v>366</v>
      </c>
      <c r="D1685" s="15" t="s">
        <v>238</v>
      </c>
      <c r="E1685" s="15" t="s">
        <v>239</v>
      </c>
      <c r="F1685" s="15" t="s">
        <v>24</v>
      </c>
      <c r="G1685" s="15" t="s">
        <v>25</v>
      </c>
      <c r="H1685" s="15" t="s">
        <v>61</v>
      </c>
      <c r="I1685" s="15" t="s">
        <v>62</v>
      </c>
      <c r="J1685" s="15" t="s">
        <v>261</v>
      </c>
      <c r="K1685" s="15">
        <v>24</v>
      </c>
      <c r="L1685" s="16">
        <v>15</v>
      </c>
      <c r="M1685" s="17">
        <v>360</v>
      </c>
      <c r="N1685" s="15" t="s">
        <v>367</v>
      </c>
      <c r="O1685" s="15" t="s">
        <v>19</v>
      </c>
      <c r="Q1685"/>
    </row>
    <row r="1686" spans="1:17" ht="15.6" x14ac:dyDescent="0.3">
      <c r="A1686" s="11">
        <v>10296</v>
      </c>
      <c r="B1686" s="10">
        <v>38245</v>
      </c>
      <c r="C1686" s="10" t="s">
        <v>366</v>
      </c>
      <c r="D1686" s="11" t="s">
        <v>238</v>
      </c>
      <c r="E1686" s="11" t="s">
        <v>239</v>
      </c>
      <c r="F1686" s="11" t="s">
        <v>24</v>
      </c>
      <c r="G1686" s="11" t="s">
        <v>25</v>
      </c>
      <c r="H1686" s="11" t="s">
        <v>61</v>
      </c>
      <c r="I1686" s="11" t="s">
        <v>62</v>
      </c>
      <c r="J1686" s="11" t="s">
        <v>261</v>
      </c>
      <c r="K1686" s="11">
        <v>22</v>
      </c>
      <c r="L1686" s="12">
        <v>15</v>
      </c>
      <c r="M1686" s="13">
        <v>330</v>
      </c>
      <c r="N1686" s="11" t="s">
        <v>367</v>
      </c>
      <c r="O1686" s="11" t="s">
        <v>19</v>
      </c>
      <c r="Q1686"/>
    </row>
    <row r="1687" spans="1:17" ht="15.6" x14ac:dyDescent="0.3">
      <c r="A1687" s="15">
        <v>10296</v>
      </c>
      <c r="B1687" s="14">
        <v>38245</v>
      </c>
      <c r="C1687" s="14" t="s">
        <v>366</v>
      </c>
      <c r="D1687" s="15" t="s">
        <v>238</v>
      </c>
      <c r="E1687" s="15" t="s">
        <v>239</v>
      </c>
      <c r="F1687" s="15" t="s">
        <v>24</v>
      </c>
      <c r="G1687" s="15" t="s">
        <v>25</v>
      </c>
      <c r="H1687" s="15" t="s">
        <v>61</v>
      </c>
      <c r="I1687" s="15" t="s">
        <v>66</v>
      </c>
      <c r="J1687" s="15" t="s">
        <v>265</v>
      </c>
      <c r="K1687" s="15">
        <v>47</v>
      </c>
      <c r="L1687" s="16">
        <v>35</v>
      </c>
      <c r="M1687" s="17">
        <v>1645</v>
      </c>
      <c r="N1687" s="15" t="s">
        <v>367</v>
      </c>
      <c r="O1687" s="15" t="s">
        <v>19</v>
      </c>
      <c r="Q1687"/>
    </row>
    <row r="1688" spans="1:17" ht="15.6" x14ac:dyDescent="0.3">
      <c r="A1688" s="11">
        <v>10296</v>
      </c>
      <c r="B1688" s="10">
        <v>38245</v>
      </c>
      <c r="C1688" s="10" t="s">
        <v>366</v>
      </c>
      <c r="D1688" s="11" t="s">
        <v>238</v>
      </c>
      <c r="E1688" s="11" t="s">
        <v>239</v>
      </c>
      <c r="F1688" s="11" t="s">
        <v>24</v>
      </c>
      <c r="G1688" s="11" t="s">
        <v>25</v>
      </c>
      <c r="H1688" s="11" t="s">
        <v>61</v>
      </c>
      <c r="I1688" s="11" t="s">
        <v>62</v>
      </c>
      <c r="J1688" s="11" t="s">
        <v>261</v>
      </c>
      <c r="K1688" s="11">
        <v>21</v>
      </c>
      <c r="L1688" s="12">
        <v>15</v>
      </c>
      <c r="M1688" s="13">
        <v>315</v>
      </c>
      <c r="N1688" s="11" t="s">
        <v>367</v>
      </c>
      <c r="O1688" s="11" t="s">
        <v>19</v>
      </c>
      <c r="Q1688"/>
    </row>
    <row r="1689" spans="1:17" ht="15.6" x14ac:dyDescent="0.3">
      <c r="A1689" s="15">
        <v>10297</v>
      </c>
      <c r="B1689" s="14">
        <v>38246</v>
      </c>
      <c r="C1689" s="14" t="s">
        <v>348</v>
      </c>
      <c r="D1689" s="15" t="s">
        <v>205</v>
      </c>
      <c r="E1689" s="15" t="s">
        <v>206</v>
      </c>
      <c r="F1689" s="15" t="s">
        <v>207</v>
      </c>
      <c r="G1689" s="15" t="s">
        <v>25</v>
      </c>
      <c r="H1689" s="15" t="s">
        <v>61</v>
      </c>
      <c r="I1689" s="15" t="s">
        <v>62</v>
      </c>
      <c r="J1689" s="15" t="s">
        <v>261</v>
      </c>
      <c r="K1689" s="15">
        <v>25</v>
      </c>
      <c r="L1689" s="16">
        <v>15</v>
      </c>
      <c r="M1689" s="17">
        <v>375</v>
      </c>
      <c r="N1689" s="15" t="s">
        <v>367</v>
      </c>
      <c r="O1689" s="15" t="s">
        <v>19</v>
      </c>
      <c r="Q1689"/>
    </row>
    <row r="1690" spans="1:17" ht="15.6" x14ac:dyDescent="0.3">
      <c r="A1690" s="11">
        <v>10297</v>
      </c>
      <c r="B1690" s="10">
        <v>38246</v>
      </c>
      <c r="C1690" s="10" t="s">
        <v>348</v>
      </c>
      <c r="D1690" s="11" t="s">
        <v>205</v>
      </c>
      <c r="E1690" s="11" t="s">
        <v>206</v>
      </c>
      <c r="F1690" s="11" t="s">
        <v>207</v>
      </c>
      <c r="G1690" s="11" t="s">
        <v>25</v>
      </c>
      <c r="H1690" s="11" t="s">
        <v>61</v>
      </c>
      <c r="I1690" s="11" t="s">
        <v>65</v>
      </c>
      <c r="J1690" s="11" t="s">
        <v>264</v>
      </c>
      <c r="K1690" s="11">
        <v>32</v>
      </c>
      <c r="L1690" s="12">
        <v>30</v>
      </c>
      <c r="M1690" s="13">
        <v>960</v>
      </c>
      <c r="N1690" s="11" t="s">
        <v>367</v>
      </c>
      <c r="O1690" s="11" t="s">
        <v>19</v>
      </c>
      <c r="Q1690"/>
    </row>
    <row r="1691" spans="1:17" ht="15.6" x14ac:dyDescent="0.3">
      <c r="A1691" s="15">
        <v>10297</v>
      </c>
      <c r="B1691" s="14">
        <v>38246</v>
      </c>
      <c r="C1691" s="14" t="s">
        <v>348</v>
      </c>
      <c r="D1691" s="15" t="s">
        <v>205</v>
      </c>
      <c r="E1691" s="15" t="s">
        <v>206</v>
      </c>
      <c r="F1691" s="15" t="s">
        <v>207</v>
      </c>
      <c r="G1691" s="15" t="s">
        <v>25</v>
      </c>
      <c r="H1691" s="15" t="s">
        <v>68</v>
      </c>
      <c r="I1691" s="15" t="s">
        <v>108</v>
      </c>
      <c r="J1691" s="15" t="s">
        <v>271</v>
      </c>
      <c r="K1691" s="15">
        <v>32</v>
      </c>
      <c r="L1691" s="16">
        <v>45</v>
      </c>
      <c r="M1691" s="17">
        <v>1440</v>
      </c>
      <c r="N1691" s="15" t="s">
        <v>367</v>
      </c>
      <c r="O1691" s="15" t="s">
        <v>19</v>
      </c>
      <c r="Q1691"/>
    </row>
    <row r="1692" spans="1:17" ht="15.6" x14ac:dyDescent="0.3">
      <c r="A1692" s="11">
        <v>10297</v>
      </c>
      <c r="B1692" s="10">
        <v>38246</v>
      </c>
      <c r="C1692" s="10" t="s">
        <v>348</v>
      </c>
      <c r="D1692" s="11" t="s">
        <v>205</v>
      </c>
      <c r="E1692" s="11" t="s">
        <v>206</v>
      </c>
      <c r="F1692" s="11" t="s">
        <v>207</v>
      </c>
      <c r="G1692" s="11" t="s">
        <v>25</v>
      </c>
      <c r="H1692" s="11" t="s">
        <v>61</v>
      </c>
      <c r="I1692" s="11" t="s">
        <v>65</v>
      </c>
      <c r="J1692" s="11" t="s">
        <v>264</v>
      </c>
      <c r="K1692" s="11">
        <v>23</v>
      </c>
      <c r="L1692" s="12">
        <v>30</v>
      </c>
      <c r="M1692" s="13">
        <v>690</v>
      </c>
      <c r="N1692" s="11" t="s">
        <v>367</v>
      </c>
      <c r="O1692" s="11" t="s">
        <v>19</v>
      </c>
      <c r="Q1692"/>
    </row>
    <row r="1693" spans="1:17" ht="15.6" x14ac:dyDescent="0.3">
      <c r="A1693" s="15">
        <v>10297</v>
      </c>
      <c r="B1693" s="14">
        <v>38246</v>
      </c>
      <c r="C1693" s="14" t="s">
        <v>348</v>
      </c>
      <c r="D1693" s="15" t="s">
        <v>205</v>
      </c>
      <c r="E1693" s="15" t="s">
        <v>206</v>
      </c>
      <c r="F1693" s="15" t="s">
        <v>207</v>
      </c>
      <c r="G1693" s="15" t="s">
        <v>25</v>
      </c>
      <c r="H1693" s="15" t="s">
        <v>68</v>
      </c>
      <c r="I1693" s="15" t="s">
        <v>70</v>
      </c>
      <c r="J1693" s="15" t="s">
        <v>267</v>
      </c>
      <c r="K1693" s="15">
        <v>26</v>
      </c>
      <c r="L1693" s="16">
        <v>50</v>
      </c>
      <c r="M1693" s="17">
        <v>1300</v>
      </c>
      <c r="N1693" s="15" t="s">
        <v>367</v>
      </c>
      <c r="O1693" s="15" t="s">
        <v>19</v>
      </c>
      <c r="Q1693"/>
    </row>
    <row r="1694" spans="1:17" ht="15.6" x14ac:dyDescent="0.3">
      <c r="A1694" s="11">
        <v>10297</v>
      </c>
      <c r="B1694" s="10">
        <v>38246</v>
      </c>
      <c r="C1694" s="10" t="s">
        <v>348</v>
      </c>
      <c r="D1694" s="11" t="s">
        <v>205</v>
      </c>
      <c r="E1694" s="11" t="s">
        <v>206</v>
      </c>
      <c r="F1694" s="11" t="s">
        <v>207</v>
      </c>
      <c r="G1694" s="11" t="s">
        <v>25</v>
      </c>
      <c r="H1694" s="11" t="s">
        <v>17</v>
      </c>
      <c r="I1694" s="11" t="s">
        <v>20</v>
      </c>
      <c r="J1694" s="11" t="s">
        <v>242</v>
      </c>
      <c r="K1694" s="11">
        <v>28</v>
      </c>
      <c r="L1694" s="12">
        <v>48</v>
      </c>
      <c r="M1694" s="13">
        <v>1344</v>
      </c>
      <c r="N1694" s="11" t="s">
        <v>367</v>
      </c>
      <c r="O1694" s="11" t="s">
        <v>19</v>
      </c>
      <c r="Q1694"/>
    </row>
    <row r="1695" spans="1:17" ht="15.6" x14ac:dyDescent="0.3">
      <c r="A1695" s="15">
        <v>10297</v>
      </c>
      <c r="B1695" s="14">
        <v>38246</v>
      </c>
      <c r="C1695" s="14" t="s">
        <v>348</v>
      </c>
      <c r="D1695" s="15" t="s">
        <v>205</v>
      </c>
      <c r="E1695" s="15" t="s">
        <v>206</v>
      </c>
      <c r="F1695" s="15" t="s">
        <v>207</v>
      </c>
      <c r="G1695" s="15" t="s">
        <v>25</v>
      </c>
      <c r="H1695" s="15" t="s">
        <v>61</v>
      </c>
      <c r="I1695" s="15" t="s">
        <v>64</v>
      </c>
      <c r="J1695" s="15" t="s">
        <v>263</v>
      </c>
      <c r="K1695" s="15">
        <v>35</v>
      </c>
      <c r="L1695" s="16">
        <v>35</v>
      </c>
      <c r="M1695" s="17">
        <v>1225</v>
      </c>
      <c r="N1695" s="15" t="s">
        <v>367</v>
      </c>
      <c r="O1695" s="15" t="s">
        <v>19</v>
      </c>
      <c r="Q1695"/>
    </row>
    <row r="1696" spans="1:17" ht="15.6" x14ac:dyDescent="0.3">
      <c r="A1696" s="11">
        <v>10298</v>
      </c>
      <c r="B1696" s="10">
        <v>38257</v>
      </c>
      <c r="C1696" s="10" t="s">
        <v>298</v>
      </c>
      <c r="D1696" s="11" t="s">
        <v>113</v>
      </c>
      <c r="E1696" s="11" t="s">
        <v>114</v>
      </c>
      <c r="F1696" s="11" t="s">
        <v>92</v>
      </c>
      <c r="G1696" s="11" t="s">
        <v>25</v>
      </c>
      <c r="H1696" s="11" t="s">
        <v>68</v>
      </c>
      <c r="I1696" s="11" t="s">
        <v>69</v>
      </c>
      <c r="J1696" s="11" t="s">
        <v>266</v>
      </c>
      <c r="K1696" s="11">
        <v>39</v>
      </c>
      <c r="L1696" s="12">
        <v>25</v>
      </c>
      <c r="M1696" s="13">
        <v>975</v>
      </c>
      <c r="N1696" s="11" t="s">
        <v>367</v>
      </c>
      <c r="O1696" s="11" t="s">
        <v>19</v>
      </c>
      <c r="Q1696"/>
    </row>
    <row r="1697" spans="1:17" ht="15.6" x14ac:dyDescent="0.3">
      <c r="A1697" s="15">
        <v>10298</v>
      </c>
      <c r="B1697" s="14">
        <v>38257</v>
      </c>
      <c r="C1697" s="14" t="s">
        <v>298</v>
      </c>
      <c r="D1697" s="15" t="s">
        <v>113</v>
      </c>
      <c r="E1697" s="15" t="s">
        <v>114</v>
      </c>
      <c r="F1697" s="15" t="s">
        <v>92</v>
      </c>
      <c r="G1697" s="15" t="s">
        <v>25</v>
      </c>
      <c r="H1697" s="15" t="s">
        <v>68</v>
      </c>
      <c r="I1697" s="15" t="s">
        <v>69</v>
      </c>
      <c r="J1697" s="15" t="s">
        <v>266</v>
      </c>
      <c r="K1697" s="15">
        <v>32</v>
      </c>
      <c r="L1697" s="16">
        <v>25</v>
      </c>
      <c r="M1697" s="17">
        <v>800</v>
      </c>
      <c r="N1697" s="15" t="s">
        <v>367</v>
      </c>
      <c r="O1697" s="15" t="s">
        <v>19</v>
      </c>
      <c r="Q1697"/>
    </row>
    <row r="1698" spans="1:17" ht="15.6" x14ac:dyDescent="0.3">
      <c r="A1698" s="11">
        <v>10299</v>
      </c>
      <c r="B1698" s="10">
        <v>38260</v>
      </c>
      <c r="C1698" s="10" t="s">
        <v>319</v>
      </c>
      <c r="D1698" s="11" t="s">
        <v>152</v>
      </c>
      <c r="E1698" s="11" t="s">
        <v>153</v>
      </c>
      <c r="F1698" s="11" t="s">
        <v>135</v>
      </c>
      <c r="G1698" s="11" t="s">
        <v>25</v>
      </c>
      <c r="H1698" s="11" t="s">
        <v>68</v>
      </c>
      <c r="I1698" s="11" t="s">
        <v>69</v>
      </c>
      <c r="J1698" s="11" t="s">
        <v>266</v>
      </c>
      <c r="K1698" s="11">
        <v>23</v>
      </c>
      <c r="L1698" s="12">
        <v>25</v>
      </c>
      <c r="M1698" s="13">
        <v>575</v>
      </c>
      <c r="N1698" s="11" t="s">
        <v>367</v>
      </c>
      <c r="O1698" s="11" t="s">
        <v>19</v>
      </c>
      <c r="Q1698"/>
    </row>
    <row r="1699" spans="1:17" ht="15.6" x14ac:dyDescent="0.3">
      <c r="A1699" s="15">
        <v>10299</v>
      </c>
      <c r="B1699" s="14">
        <v>38260</v>
      </c>
      <c r="C1699" s="14" t="s">
        <v>319</v>
      </c>
      <c r="D1699" s="15" t="s">
        <v>152</v>
      </c>
      <c r="E1699" s="15" t="s">
        <v>153</v>
      </c>
      <c r="F1699" s="15" t="s">
        <v>135</v>
      </c>
      <c r="G1699" s="15" t="s">
        <v>25</v>
      </c>
      <c r="H1699" s="15" t="s">
        <v>68</v>
      </c>
      <c r="I1699" s="15" t="s">
        <v>69</v>
      </c>
      <c r="J1699" s="15" t="s">
        <v>266</v>
      </c>
      <c r="K1699" s="15">
        <v>29</v>
      </c>
      <c r="L1699" s="16">
        <v>25</v>
      </c>
      <c r="M1699" s="17">
        <v>725</v>
      </c>
      <c r="N1699" s="15" t="s">
        <v>367</v>
      </c>
      <c r="O1699" s="15" t="s">
        <v>19</v>
      </c>
      <c r="Q1699"/>
    </row>
    <row r="1700" spans="1:17" ht="15.6" x14ac:dyDescent="0.3">
      <c r="A1700" s="11">
        <v>10299</v>
      </c>
      <c r="B1700" s="10">
        <v>38260</v>
      </c>
      <c r="C1700" s="10" t="s">
        <v>319</v>
      </c>
      <c r="D1700" s="11" t="s">
        <v>152</v>
      </c>
      <c r="E1700" s="11" t="s">
        <v>153</v>
      </c>
      <c r="F1700" s="11" t="s">
        <v>135</v>
      </c>
      <c r="G1700" s="11" t="s">
        <v>25</v>
      </c>
      <c r="H1700" s="11" t="s">
        <v>68</v>
      </c>
      <c r="I1700" s="11" t="s">
        <v>76</v>
      </c>
      <c r="J1700" s="11" t="s">
        <v>269</v>
      </c>
      <c r="K1700" s="11">
        <v>24</v>
      </c>
      <c r="L1700" s="12">
        <v>30</v>
      </c>
      <c r="M1700" s="13">
        <v>720</v>
      </c>
      <c r="N1700" s="11" t="s">
        <v>367</v>
      </c>
      <c r="O1700" s="11" t="s">
        <v>19</v>
      </c>
      <c r="Q1700"/>
    </row>
    <row r="1701" spans="1:17" ht="15.6" x14ac:dyDescent="0.3">
      <c r="A1701" s="15">
        <v>10299</v>
      </c>
      <c r="B1701" s="14">
        <v>38260</v>
      </c>
      <c r="C1701" s="14" t="s">
        <v>319</v>
      </c>
      <c r="D1701" s="15" t="s">
        <v>152</v>
      </c>
      <c r="E1701" s="15" t="s">
        <v>153</v>
      </c>
      <c r="F1701" s="15" t="s">
        <v>135</v>
      </c>
      <c r="G1701" s="15" t="s">
        <v>25</v>
      </c>
      <c r="H1701" s="15" t="s">
        <v>68</v>
      </c>
      <c r="I1701" s="15" t="s">
        <v>70</v>
      </c>
      <c r="J1701" s="15" t="s">
        <v>267</v>
      </c>
      <c r="K1701" s="15">
        <v>39</v>
      </c>
      <c r="L1701" s="16">
        <v>50</v>
      </c>
      <c r="M1701" s="17">
        <v>1950</v>
      </c>
      <c r="N1701" s="15" t="s">
        <v>367</v>
      </c>
      <c r="O1701" s="15" t="s">
        <v>19</v>
      </c>
      <c r="Q1701"/>
    </row>
    <row r="1702" spans="1:17" ht="15.6" x14ac:dyDescent="0.3">
      <c r="A1702" s="11">
        <v>10299</v>
      </c>
      <c r="B1702" s="10">
        <v>38260</v>
      </c>
      <c r="C1702" s="10" t="s">
        <v>319</v>
      </c>
      <c r="D1702" s="11" t="s">
        <v>152</v>
      </c>
      <c r="E1702" s="11" t="s">
        <v>153</v>
      </c>
      <c r="F1702" s="11" t="s">
        <v>135</v>
      </c>
      <c r="G1702" s="11" t="s">
        <v>25</v>
      </c>
      <c r="H1702" s="11" t="s">
        <v>32</v>
      </c>
      <c r="I1702" s="11" t="s">
        <v>34</v>
      </c>
      <c r="J1702" s="11" t="s">
        <v>246</v>
      </c>
      <c r="K1702" s="11">
        <v>49</v>
      </c>
      <c r="L1702" s="12">
        <v>80</v>
      </c>
      <c r="M1702" s="13">
        <v>3920</v>
      </c>
      <c r="N1702" s="11" t="s">
        <v>367</v>
      </c>
      <c r="O1702" s="11" t="s">
        <v>19</v>
      </c>
      <c r="Q1702"/>
    </row>
    <row r="1703" spans="1:17" ht="15.6" x14ac:dyDescent="0.3">
      <c r="A1703" s="15">
        <v>10299</v>
      </c>
      <c r="B1703" s="14">
        <v>38260</v>
      </c>
      <c r="C1703" s="14" t="s">
        <v>319</v>
      </c>
      <c r="D1703" s="15" t="s">
        <v>152</v>
      </c>
      <c r="E1703" s="15" t="s">
        <v>153</v>
      </c>
      <c r="F1703" s="15" t="s">
        <v>135</v>
      </c>
      <c r="G1703" s="15" t="s">
        <v>25</v>
      </c>
      <c r="H1703" s="15" t="s">
        <v>68</v>
      </c>
      <c r="I1703" s="15" t="s">
        <v>75</v>
      </c>
      <c r="J1703" s="15" t="s">
        <v>268</v>
      </c>
      <c r="K1703" s="15">
        <v>47</v>
      </c>
      <c r="L1703" s="16">
        <v>35</v>
      </c>
      <c r="M1703" s="17">
        <v>1645</v>
      </c>
      <c r="N1703" s="15" t="s">
        <v>367</v>
      </c>
      <c r="O1703" s="15" t="s">
        <v>19</v>
      </c>
      <c r="Q1703"/>
    </row>
    <row r="1704" spans="1:17" ht="15.6" x14ac:dyDescent="0.3">
      <c r="A1704" s="11">
        <v>10299</v>
      </c>
      <c r="B1704" s="10">
        <v>38260</v>
      </c>
      <c r="C1704" s="10" t="s">
        <v>319</v>
      </c>
      <c r="D1704" s="11" t="s">
        <v>152</v>
      </c>
      <c r="E1704" s="11" t="s">
        <v>153</v>
      </c>
      <c r="F1704" s="11" t="s">
        <v>135</v>
      </c>
      <c r="G1704" s="11" t="s">
        <v>25</v>
      </c>
      <c r="H1704" s="11" t="s">
        <v>68</v>
      </c>
      <c r="I1704" s="11" t="s">
        <v>76</v>
      </c>
      <c r="J1704" s="11" t="s">
        <v>269</v>
      </c>
      <c r="K1704" s="11">
        <v>33</v>
      </c>
      <c r="L1704" s="12">
        <v>30</v>
      </c>
      <c r="M1704" s="13">
        <v>990</v>
      </c>
      <c r="N1704" s="11" t="s">
        <v>367</v>
      </c>
      <c r="O1704" s="11" t="s">
        <v>19</v>
      </c>
      <c r="Q1704"/>
    </row>
    <row r="1705" spans="1:17" ht="15.6" x14ac:dyDescent="0.3">
      <c r="A1705" s="15">
        <v>10299</v>
      </c>
      <c r="B1705" s="14">
        <v>38260</v>
      </c>
      <c r="C1705" s="14" t="s">
        <v>319</v>
      </c>
      <c r="D1705" s="15" t="s">
        <v>152</v>
      </c>
      <c r="E1705" s="15" t="s">
        <v>153</v>
      </c>
      <c r="F1705" s="15" t="s">
        <v>135</v>
      </c>
      <c r="G1705" s="15" t="s">
        <v>25</v>
      </c>
      <c r="H1705" s="15" t="s">
        <v>32</v>
      </c>
      <c r="I1705" s="15" t="s">
        <v>45</v>
      </c>
      <c r="J1705" s="15" t="s">
        <v>253</v>
      </c>
      <c r="K1705" s="15">
        <v>32</v>
      </c>
      <c r="L1705" s="16">
        <v>35</v>
      </c>
      <c r="M1705" s="17">
        <v>1120</v>
      </c>
      <c r="N1705" s="15" t="s">
        <v>367</v>
      </c>
      <c r="O1705" s="15" t="s">
        <v>19</v>
      </c>
      <c r="Q1705"/>
    </row>
    <row r="1706" spans="1:17" ht="15.6" x14ac:dyDescent="0.3">
      <c r="A1706" s="11">
        <v>10299</v>
      </c>
      <c r="B1706" s="10">
        <v>38260</v>
      </c>
      <c r="C1706" s="10" t="s">
        <v>319</v>
      </c>
      <c r="D1706" s="11" t="s">
        <v>152</v>
      </c>
      <c r="E1706" s="11" t="s">
        <v>153</v>
      </c>
      <c r="F1706" s="11" t="s">
        <v>135</v>
      </c>
      <c r="G1706" s="11" t="s">
        <v>25</v>
      </c>
      <c r="H1706" s="11" t="s">
        <v>68</v>
      </c>
      <c r="I1706" s="11" t="s">
        <v>69</v>
      </c>
      <c r="J1706" s="11" t="s">
        <v>266</v>
      </c>
      <c r="K1706" s="11">
        <v>24</v>
      </c>
      <c r="L1706" s="12">
        <v>25</v>
      </c>
      <c r="M1706" s="13">
        <v>600</v>
      </c>
      <c r="N1706" s="11" t="s">
        <v>367</v>
      </c>
      <c r="O1706" s="11" t="s">
        <v>19</v>
      </c>
      <c r="Q1706"/>
    </row>
    <row r="1707" spans="1:17" ht="15.6" x14ac:dyDescent="0.3">
      <c r="A1707" s="15">
        <v>10299</v>
      </c>
      <c r="B1707" s="14">
        <v>38260</v>
      </c>
      <c r="C1707" s="14" t="s">
        <v>319</v>
      </c>
      <c r="D1707" s="15" t="s">
        <v>152</v>
      </c>
      <c r="E1707" s="15" t="s">
        <v>153</v>
      </c>
      <c r="F1707" s="15" t="s">
        <v>135</v>
      </c>
      <c r="G1707" s="15" t="s">
        <v>25</v>
      </c>
      <c r="H1707" s="15" t="s">
        <v>68</v>
      </c>
      <c r="I1707" s="15" t="s">
        <v>75</v>
      </c>
      <c r="J1707" s="15" t="s">
        <v>268</v>
      </c>
      <c r="K1707" s="15">
        <v>38</v>
      </c>
      <c r="L1707" s="16">
        <v>35</v>
      </c>
      <c r="M1707" s="17">
        <v>1330</v>
      </c>
      <c r="N1707" s="15" t="s">
        <v>367</v>
      </c>
      <c r="O1707" s="15" t="s">
        <v>19</v>
      </c>
      <c r="Q1707"/>
    </row>
    <row r="1708" spans="1:17" ht="15.6" x14ac:dyDescent="0.3">
      <c r="A1708" s="11">
        <v>10299</v>
      </c>
      <c r="B1708" s="10">
        <v>38260</v>
      </c>
      <c r="C1708" s="10" t="s">
        <v>319</v>
      </c>
      <c r="D1708" s="11" t="s">
        <v>152</v>
      </c>
      <c r="E1708" s="11" t="s">
        <v>153</v>
      </c>
      <c r="F1708" s="11" t="s">
        <v>135</v>
      </c>
      <c r="G1708" s="11" t="s">
        <v>25</v>
      </c>
      <c r="H1708" s="11" t="s">
        <v>68</v>
      </c>
      <c r="I1708" s="11" t="s">
        <v>69</v>
      </c>
      <c r="J1708" s="11" t="s">
        <v>266</v>
      </c>
      <c r="K1708" s="11">
        <v>44</v>
      </c>
      <c r="L1708" s="12">
        <v>25</v>
      </c>
      <c r="M1708" s="13">
        <v>1100</v>
      </c>
      <c r="N1708" s="11" t="s">
        <v>367</v>
      </c>
      <c r="O1708" s="11" t="s">
        <v>19</v>
      </c>
      <c r="Q1708"/>
    </row>
    <row r="1709" spans="1:17" ht="15.6" x14ac:dyDescent="0.3">
      <c r="A1709" s="15">
        <v>10303</v>
      </c>
      <c r="B1709" s="14">
        <v>38266</v>
      </c>
      <c r="C1709" s="14" t="s">
        <v>335</v>
      </c>
      <c r="D1709" s="15" t="s">
        <v>181</v>
      </c>
      <c r="E1709" s="15" t="s">
        <v>182</v>
      </c>
      <c r="F1709" s="15" t="s">
        <v>43</v>
      </c>
      <c r="G1709" s="15" t="s">
        <v>25</v>
      </c>
      <c r="H1709" s="15" t="s">
        <v>17</v>
      </c>
      <c r="I1709" s="15" t="s">
        <v>26</v>
      </c>
      <c r="J1709" s="15" t="s">
        <v>244</v>
      </c>
      <c r="K1709" s="15">
        <v>46</v>
      </c>
      <c r="L1709" s="16">
        <v>60</v>
      </c>
      <c r="M1709" s="17">
        <v>2760</v>
      </c>
      <c r="N1709" s="15" t="s">
        <v>367</v>
      </c>
      <c r="O1709" s="15" t="s">
        <v>19</v>
      </c>
      <c r="Q1709"/>
    </row>
    <row r="1710" spans="1:17" ht="15.6" x14ac:dyDescent="0.3">
      <c r="A1710" s="11">
        <v>10303</v>
      </c>
      <c r="B1710" s="10">
        <v>38266</v>
      </c>
      <c r="C1710" s="10" t="s">
        <v>335</v>
      </c>
      <c r="D1710" s="11" t="s">
        <v>181</v>
      </c>
      <c r="E1710" s="11" t="s">
        <v>182</v>
      </c>
      <c r="F1710" s="11" t="s">
        <v>43</v>
      </c>
      <c r="G1710" s="11" t="s">
        <v>25</v>
      </c>
      <c r="H1710" s="11" t="s">
        <v>17</v>
      </c>
      <c r="I1710" s="11" t="s">
        <v>20</v>
      </c>
      <c r="J1710" s="11" t="s">
        <v>242</v>
      </c>
      <c r="K1710" s="11">
        <v>24</v>
      </c>
      <c r="L1710" s="12">
        <v>48</v>
      </c>
      <c r="M1710" s="13">
        <v>1152</v>
      </c>
      <c r="N1710" s="11" t="s">
        <v>367</v>
      </c>
      <c r="O1710" s="11" t="s">
        <v>19</v>
      </c>
      <c r="Q1710"/>
    </row>
    <row r="1711" spans="1:17" ht="15.6" x14ac:dyDescent="0.3">
      <c r="A1711" s="15">
        <v>10304</v>
      </c>
      <c r="B1711" s="14">
        <v>38271</v>
      </c>
      <c r="C1711" s="14" t="s">
        <v>346</v>
      </c>
      <c r="D1711" s="15" t="s">
        <v>202</v>
      </c>
      <c r="E1711" s="15" t="s">
        <v>203</v>
      </c>
      <c r="F1711" s="15" t="s">
        <v>92</v>
      </c>
      <c r="G1711" s="15" t="s">
        <v>25</v>
      </c>
      <c r="H1711" s="15" t="s">
        <v>32</v>
      </c>
      <c r="I1711" s="15" t="s">
        <v>33</v>
      </c>
      <c r="J1711" s="15" t="s">
        <v>245</v>
      </c>
      <c r="K1711" s="15">
        <v>47</v>
      </c>
      <c r="L1711" s="16">
        <v>85</v>
      </c>
      <c r="M1711" s="17">
        <v>3995</v>
      </c>
      <c r="N1711" s="15" t="s">
        <v>367</v>
      </c>
      <c r="O1711" s="15" t="s">
        <v>19</v>
      </c>
      <c r="Q1711"/>
    </row>
    <row r="1712" spans="1:17" ht="15.6" x14ac:dyDescent="0.3">
      <c r="A1712" s="11">
        <v>10304</v>
      </c>
      <c r="B1712" s="10">
        <v>38271</v>
      </c>
      <c r="C1712" s="10" t="s">
        <v>346</v>
      </c>
      <c r="D1712" s="11" t="s">
        <v>202</v>
      </c>
      <c r="E1712" s="11" t="s">
        <v>203</v>
      </c>
      <c r="F1712" s="11" t="s">
        <v>92</v>
      </c>
      <c r="G1712" s="11" t="s">
        <v>25</v>
      </c>
      <c r="H1712" s="11" t="s">
        <v>35</v>
      </c>
      <c r="I1712" s="11" t="s">
        <v>38</v>
      </c>
      <c r="J1712" s="11" t="s">
        <v>249</v>
      </c>
      <c r="K1712" s="11">
        <v>39</v>
      </c>
      <c r="L1712" s="12">
        <v>20</v>
      </c>
      <c r="M1712" s="13">
        <v>780</v>
      </c>
      <c r="N1712" s="11" t="s">
        <v>367</v>
      </c>
      <c r="O1712" s="11" t="s">
        <v>19</v>
      </c>
      <c r="Q1712"/>
    </row>
    <row r="1713" spans="1:17" ht="15.6" x14ac:dyDescent="0.3">
      <c r="A1713" s="15">
        <v>10304</v>
      </c>
      <c r="B1713" s="14">
        <v>38271</v>
      </c>
      <c r="C1713" s="14" t="s">
        <v>346</v>
      </c>
      <c r="D1713" s="15" t="s">
        <v>202</v>
      </c>
      <c r="E1713" s="15" t="s">
        <v>203</v>
      </c>
      <c r="F1713" s="15" t="s">
        <v>92</v>
      </c>
      <c r="G1713" s="15" t="s">
        <v>25</v>
      </c>
      <c r="H1713" s="15" t="s">
        <v>35</v>
      </c>
      <c r="I1713" s="15" t="s">
        <v>38</v>
      </c>
      <c r="J1713" s="15" t="s">
        <v>249</v>
      </c>
      <c r="K1713" s="15">
        <v>46</v>
      </c>
      <c r="L1713" s="16">
        <v>20</v>
      </c>
      <c r="M1713" s="17">
        <v>920</v>
      </c>
      <c r="N1713" s="15" t="s">
        <v>367</v>
      </c>
      <c r="O1713" s="15" t="s">
        <v>19</v>
      </c>
      <c r="Q1713"/>
    </row>
    <row r="1714" spans="1:17" ht="15.6" x14ac:dyDescent="0.3">
      <c r="A1714" s="11">
        <v>10304</v>
      </c>
      <c r="B1714" s="10">
        <v>38271</v>
      </c>
      <c r="C1714" s="10" t="s">
        <v>346</v>
      </c>
      <c r="D1714" s="11" t="s">
        <v>202</v>
      </c>
      <c r="E1714" s="11" t="s">
        <v>203</v>
      </c>
      <c r="F1714" s="11" t="s">
        <v>92</v>
      </c>
      <c r="G1714" s="11" t="s">
        <v>25</v>
      </c>
      <c r="H1714" s="11" t="s">
        <v>17</v>
      </c>
      <c r="I1714" s="11" t="s">
        <v>20</v>
      </c>
      <c r="J1714" s="11" t="s">
        <v>242</v>
      </c>
      <c r="K1714" s="11">
        <v>37</v>
      </c>
      <c r="L1714" s="12">
        <v>48</v>
      </c>
      <c r="M1714" s="13">
        <v>1776</v>
      </c>
      <c r="N1714" s="11" t="s">
        <v>367</v>
      </c>
      <c r="O1714" s="11" t="s">
        <v>19</v>
      </c>
      <c r="Q1714"/>
    </row>
    <row r="1715" spans="1:17" ht="15.6" x14ac:dyDescent="0.3">
      <c r="A1715" s="15">
        <v>10304</v>
      </c>
      <c r="B1715" s="14">
        <v>38271</v>
      </c>
      <c r="C1715" s="14" t="s">
        <v>346</v>
      </c>
      <c r="D1715" s="15" t="s">
        <v>202</v>
      </c>
      <c r="E1715" s="15" t="s">
        <v>203</v>
      </c>
      <c r="F1715" s="15" t="s">
        <v>92</v>
      </c>
      <c r="G1715" s="15" t="s">
        <v>25</v>
      </c>
      <c r="H1715" s="15" t="s">
        <v>17</v>
      </c>
      <c r="I1715" s="15" t="s">
        <v>52</v>
      </c>
      <c r="J1715" s="15" t="s">
        <v>256</v>
      </c>
      <c r="K1715" s="15">
        <v>37</v>
      </c>
      <c r="L1715" s="16">
        <v>45</v>
      </c>
      <c r="M1715" s="17">
        <v>1665</v>
      </c>
      <c r="N1715" s="15" t="s">
        <v>367</v>
      </c>
      <c r="O1715" s="15" t="s">
        <v>19</v>
      </c>
      <c r="Q1715"/>
    </row>
    <row r="1716" spans="1:17" ht="15.6" x14ac:dyDescent="0.3">
      <c r="A1716" s="11">
        <v>10304</v>
      </c>
      <c r="B1716" s="10">
        <v>38271</v>
      </c>
      <c r="C1716" s="10" t="s">
        <v>346</v>
      </c>
      <c r="D1716" s="11" t="s">
        <v>202</v>
      </c>
      <c r="E1716" s="11" t="s">
        <v>203</v>
      </c>
      <c r="F1716" s="11" t="s">
        <v>92</v>
      </c>
      <c r="G1716" s="11" t="s">
        <v>25</v>
      </c>
      <c r="H1716" s="11" t="s">
        <v>17</v>
      </c>
      <c r="I1716" s="11" t="s">
        <v>20</v>
      </c>
      <c r="J1716" s="11" t="s">
        <v>242</v>
      </c>
      <c r="K1716" s="11">
        <v>24</v>
      </c>
      <c r="L1716" s="12">
        <v>48</v>
      </c>
      <c r="M1716" s="13">
        <v>1152</v>
      </c>
      <c r="N1716" s="11" t="s">
        <v>367</v>
      </c>
      <c r="O1716" s="11" t="s">
        <v>19</v>
      </c>
      <c r="Q1716"/>
    </row>
    <row r="1717" spans="1:17" ht="15.6" x14ac:dyDescent="0.3">
      <c r="A1717" s="15">
        <v>10304</v>
      </c>
      <c r="B1717" s="14">
        <v>38271</v>
      </c>
      <c r="C1717" s="14" t="s">
        <v>346</v>
      </c>
      <c r="D1717" s="15" t="s">
        <v>202</v>
      </c>
      <c r="E1717" s="15" t="s">
        <v>203</v>
      </c>
      <c r="F1717" s="15" t="s">
        <v>92</v>
      </c>
      <c r="G1717" s="15" t="s">
        <v>25</v>
      </c>
      <c r="H1717" s="15" t="s">
        <v>17</v>
      </c>
      <c r="I1717" s="15" t="s">
        <v>20</v>
      </c>
      <c r="J1717" s="15" t="s">
        <v>242</v>
      </c>
      <c r="K1717" s="15">
        <v>20</v>
      </c>
      <c r="L1717" s="16">
        <v>48</v>
      </c>
      <c r="M1717" s="17">
        <v>960</v>
      </c>
      <c r="N1717" s="15" t="s">
        <v>367</v>
      </c>
      <c r="O1717" s="15" t="s">
        <v>19</v>
      </c>
      <c r="Q1717"/>
    </row>
    <row r="1718" spans="1:17" ht="15.6" x14ac:dyDescent="0.3">
      <c r="A1718" s="11">
        <v>10304</v>
      </c>
      <c r="B1718" s="10">
        <v>38271</v>
      </c>
      <c r="C1718" s="10" t="s">
        <v>346</v>
      </c>
      <c r="D1718" s="11" t="s">
        <v>202</v>
      </c>
      <c r="E1718" s="11" t="s">
        <v>203</v>
      </c>
      <c r="F1718" s="11" t="s">
        <v>92</v>
      </c>
      <c r="G1718" s="11" t="s">
        <v>25</v>
      </c>
      <c r="H1718" s="11" t="s">
        <v>17</v>
      </c>
      <c r="I1718" s="11" t="s">
        <v>82</v>
      </c>
      <c r="J1718" s="11" t="s">
        <v>270</v>
      </c>
      <c r="K1718" s="11">
        <v>46</v>
      </c>
      <c r="L1718" s="12">
        <v>75</v>
      </c>
      <c r="M1718" s="13">
        <v>3450</v>
      </c>
      <c r="N1718" s="11" t="s">
        <v>367</v>
      </c>
      <c r="O1718" s="11" t="s">
        <v>19</v>
      </c>
      <c r="Q1718"/>
    </row>
    <row r="1719" spans="1:17" ht="15.6" x14ac:dyDescent="0.3">
      <c r="A1719" s="15">
        <v>10304</v>
      </c>
      <c r="B1719" s="14">
        <v>38271</v>
      </c>
      <c r="C1719" s="14" t="s">
        <v>346</v>
      </c>
      <c r="D1719" s="15" t="s">
        <v>202</v>
      </c>
      <c r="E1719" s="15" t="s">
        <v>203</v>
      </c>
      <c r="F1719" s="15" t="s">
        <v>92</v>
      </c>
      <c r="G1719" s="15" t="s">
        <v>25</v>
      </c>
      <c r="H1719" s="15" t="s">
        <v>17</v>
      </c>
      <c r="I1719" s="15" t="s">
        <v>20</v>
      </c>
      <c r="J1719" s="15" t="s">
        <v>242</v>
      </c>
      <c r="K1719" s="15">
        <v>24</v>
      </c>
      <c r="L1719" s="16">
        <v>48</v>
      </c>
      <c r="M1719" s="17">
        <v>1152</v>
      </c>
      <c r="N1719" s="15" t="s">
        <v>367</v>
      </c>
      <c r="O1719" s="15" t="s">
        <v>19</v>
      </c>
      <c r="Q1719"/>
    </row>
    <row r="1720" spans="1:17" ht="15.6" x14ac:dyDescent="0.3">
      <c r="A1720" s="11">
        <v>10304</v>
      </c>
      <c r="B1720" s="10">
        <v>38271</v>
      </c>
      <c r="C1720" s="10" t="s">
        <v>346</v>
      </c>
      <c r="D1720" s="11" t="s">
        <v>202</v>
      </c>
      <c r="E1720" s="11" t="s">
        <v>203</v>
      </c>
      <c r="F1720" s="11" t="s">
        <v>92</v>
      </c>
      <c r="G1720" s="11" t="s">
        <v>25</v>
      </c>
      <c r="H1720" s="11" t="s">
        <v>17</v>
      </c>
      <c r="I1720" s="11" t="s">
        <v>82</v>
      </c>
      <c r="J1720" s="11" t="s">
        <v>270</v>
      </c>
      <c r="K1720" s="11">
        <v>26</v>
      </c>
      <c r="L1720" s="12">
        <v>75</v>
      </c>
      <c r="M1720" s="13">
        <v>1950</v>
      </c>
      <c r="N1720" s="11" t="s">
        <v>367</v>
      </c>
      <c r="O1720" s="11" t="s">
        <v>19</v>
      </c>
      <c r="Q1720"/>
    </row>
    <row r="1721" spans="1:17" ht="15.6" x14ac:dyDescent="0.3">
      <c r="A1721" s="15">
        <v>10304</v>
      </c>
      <c r="B1721" s="14">
        <v>38271</v>
      </c>
      <c r="C1721" s="14" t="s">
        <v>346</v>
      </c>
      <c r="D1721" s="15" t="s">
        <v>202</v>
      </c>
      <c r="E1721" s="15" t="s">
        <v>203</v>
      </c>
      <c r="F1721" s="15" t="s">
        <v>92</v>
      </c>
      <c r="G1721" s="15" t="s">
        <v>25</v>
      </c>
      <c r="H1721" s="15" t="s">
        <v>17</v>
      </c>
      <c r="I1721" s="15" t="s">
        <v>52</v>
      </c>
      <c r="J1721" s="15" t="s">
        <v>256</v>
      </c>
      <c r="K1721" s="15">
        <v>38</v>
      </c>
      <c r="L1721" s="16">
        <v>45</v>
      </c>
      <c r="M1721" s="17">
        <v>1710</v>
      </c>
      <c r="N1721" s="15" t="s">
        <v>367</v>
      </c>
      <c r="O1721" s="15" t="s">
        <v>19</v>
      </c>
      <c r="Q1721"/>
    </row>
    <row r="1722" spans="1:17" ht="15.6" x14ac:dyDescent="0.3">
      <c r="A1722" s="11">
        <v>10304</v>
      </c>
      <c r="B1722" s="10">
        <v>38271</v>
      </c>
      <c r="C1722" s="10" t="s">
        <v>346</v>
      </c>
      <c r="D1722" s="11" t="s">
        <v>202</v>
      </c>
      <c r="E1722" s="11" t="s">
        <v>203</v>
      </c>
      <c r="F1722" s="11" t="s">
        <v>92</v>
      </c>
      <c r="G1722" s="11" t="s">
        <v>25</v>
      </c>
      <c r="H1722" s="11" t="s">
        <v>17</v>
      </c>
      <c r="I1722" s="11" t="s">
        <v>82</v>
      </c>
      <c r="J1722" s="11" t="s">
        <v>270</v>
      </c>
      <c r="K1722" s="11">
        <v>34</v>
      </c>
      <c r="L1722" s="12">
        <v>75</v>
      </c>
      <c r="M1722" s="13">
        <v>2550</v>
      </c>
      <c r="N1722" s="11" t="s">
        <v>367</v>
      </c>
      <c r="O1722" s="11" t="s">
        <v>19</v>
      </c>
      <c r="Q1722"/>
    </row>
    <row r="1723" spans="1:17" ht="15.6" x14ac:dyDescent="0.3">
      <c r="A1723" s="15">
        <v>10304</v>
      </c>
      <c r="B1723" s="14">
        <v>38271</v>
      </c>
      <c r="C1723" s="14" t="s">
        <v>346</v>
      </c>
      <c r="D1723" s="15" t="s">
        <v>202</v>
      </c>
      <c r="E1723" s="15" t="s">
        <v>203</v>
      </c>
      <c r="F1723" s="15" t="s">
        <v>92</v>
      </c>
      <c r="G1723" s="15" t="s">
        <v>25</v>
      </c>
      <c r="H1723" s="15" t="s">
        <v>17</v>
      </c>
      <c r="I1723" s="15" t="s">
        <v>20</v>
      </c>
      <c r="J1723" s="15" t="s">
        <v>242</v>
      </c>
      <c r="K1723" s="15">
        <v>23</v>
      </c>
      <c r="L1723" s="16">
        <v>48</v>
      </c>
      <c r="M1723" s="17">
        <v>1104</v>
      </c>
      <c r="N1723" s="15" t="s">
        <v>367</v>
      </c>
      <c r="O1723" s="15" t="s">
        <v>19</v>
      </c>
      <c r="Q1723"/>
    </row>
    <row r="1724" spans="1:17" ht="15.6" x14ac:dyDescent="0.3">
      <c r="A1724" s="11">
        <v>10304</v>
      </c>
      <c r="B1724" s="10">
        <v>38271</v>
      </c>
      <c r="C1724" s="10" t="s">
        <v>346</v>
      </c>
      <c r="D1724" s="11" t="s">
        <v>202</v>
      </c>
      <c r="E1724" s="11" t="s">
        <v>203</v>
      </c>
      <c r="F1724" s="11" t="s">
        <v>92</v>
      </c>
      <c r="G1724" s="11" t="s">
        <v>25</v>
      </c>
      <c r="H1724" s="11" t="s">
        <v>17</v>
      </c>
      <c r="I1724" s="11" t="s">
        <v>20</v>
      </c>
      <c r="J1724" s="11" t="s">
        <v>242</v>
      </c>
      <c r="K1724" s="11">
        <v>44</v>
      </c>
      <c r="L1724" s="12">
        <v>48</v>
      </c>
      <c r="M1724" s="13">
        <v>2112</v>
      </c>
      <c r="N1724" s="11" t="s">
        <v>367</v>
      </c>
      <c r="O1724" s="11" t="s">
        <v>19</v>
      </c>
      <c r="Q1724"/>
    </row>
    <row r="1725" spans="1:17" ht="15.6" x14ac:dyDescent="0.3">
      <c r="A1725" s="15">
        <v>10304</v>
      </c>
      <c r="B1725" s="14">
        <v>38271</v>
      </c>
      <c r="C1725" s="14" t="s">
        <v>346</v>
      </c>
      <c r="D1725" s="15" t="s">
        <v>202</v>
      </c>
      <c r="E1725" s="15" t="s">
        <v>203</v>
      </c>
      <c r="F1725" s="15" t="s">
        <v>92</v>
      </c>
      <c r="G1725" s="15" t="s">
        <v>25</v>
      </c>
      <c r="H1725" s="15" t="s">
        <v>17</v>
      </c>
      <c r="I1725" s="15" t="s">
        <v>20</v>
      </c>
      <c r="J1725" s="15" t="s">
        <v>242</v>
      </c>
      <c r="K1725" s="15">
        <v>33</v>
      </c>
      <c r="L1725" s="16">
        <v>48</v>
      </c>
      <c r="M1725" s="17">
        <v>1584</v>
      </c>
      <c r="N1725" s="15" t="s">
        <v>367</v>
      </c>
      <c r="O1725" s="15" t="s">
        <v>19</v>
      </c>
      <c r="Q1725"/>
    </row>
    <row r="1726" spans="1:17" ht="15.6" x14ac:dyDescent="0.3">
      <c r="A1726" s="11">
        <v>10304</v>
      </c>
      <c r="B1726" s="10">
        <v>38271</v>
      </c>
      <c r="C1726" s="10" t="s">
        <v>346</v>
      </c>
      <c r="D1726" s="11" t="s">
        <v>202</v>
      </c>
      <c r="E1726" s="11" t="s">
        <v>203</v>
      </c>
      <c r="F1726" s="11" t="s">
        <v>92</v>
      </c>
      <c r="G1726" s="11" t="s">
        <v>25</v>
      </c>
      <c r="H1726" s="11" t="s">
        <v>35</v>
      </c>
      <c r="I1726" s="11" t="s">
        <v>38</v>
      </c>
      <c r="J1726" s="11" t="s">
        <v>249</v>
      </c>
      <c r="K1726" s="11">
        <v>36</v>
      </c>
      <c r="L1726" s="12">
        <v>20</v>
      </c>
      <c r="M1726" s="13">
        <v>720</v>
      </c>
      <c r="N1726" s="11" t="s">
        <v>367</v>
      </c>
      <c r="O1726" s="11" t="s">
        <v>19</v>
      </c>
      <c r="Q1726"/>
    </row>
    <row r="1727" spans="1:17" ht="15.6" x14ac:dyDescent="0.3">
      <c r="A1727" s="15">
        <v>10304</v>
      </c>
      <c r="B1727" s="14">
        <v>38271</v>
      </c>
      <c r="C1727" s="14" t="s">
        <v>346</v>
      </c>
      <c r="D1727" s="15" t="s">
        <v>202</v>
      </c>
      <c r="E1727" s="15" t="s">
        <v>203</v>
      </c>
      <c r="F1727" s="15" t="s">
        <v>92</v>
      </c>
      <c r="G1727" s="15" t="s">
        <v>25</v>
      </c>
      <c r="H1727" s="15" t="s">
        <v>32</v>
      </c>
      <c r="I1727" s="15" t="s">
        <v>34</v>
      </c>
      <c r="J1727" s="15" t="s">
        <v>246</v>
      </c>
      <c r="K1727" s="15">
        <v>40</v>
      </c>
      <c r="L1727" s="16">
        <v>80</v>
      </c>
      <c r="M1727" s="17">
        <v>3200</v>
      </c>
      <c r="N1727" s="15" t="s">
        <v>367</v>
      </c>
      <c r="O1727" s="15" t="s">
        <v>19</v>
      </c>
      <c r="Q1727"/>
    </row>
    <row r="1728" spans="1:17" ht="15.6" x14ac:dyDescent="0.3">
      <c r="A1728" s="11">
        <v>10305</v>
      </c>
      <c r="B1728" s="10">
        <v>38273</v>
      </c>
      <c r="C1728" s="10" t="s">
        <v>365</v>
      </c>
      <c r="D1728" s="11" t="s">
        <v>237</v>
      </c>
      <c r="E1728" s="11" t="s">
        <v>216</v>
      </c>
      <c r="F1728" s="11" t="s">
        <v>15</v>
      </c>
      <c r="G1728" s="11" t="s">
        <v>16</v>
      </c>
      <c r="H1728" s="11" t="s">
        <v>32</v>
      </c>
      <c r="I1728" s="11" t="s">
        <v>34</v>
      </c>
      <c r="J1728" s="11" t="s">
        <v>246</v>
      </c>
      <c r="K1728" s="11">
        <v>38</v>
      </c>
      <c r="L1728" s="12">
        <v>80</v>
      </c>
      <c r="M1728" s="13">
        <v>3040</v>
      </c>
      <c r="N1728" s="11" t="s">
        <v>367</v>
      </c>
      <c r="O1728" s="11" t="s">
        <v>19</v>
      </c>
      <c r="Q1728"/>
    </row>
    <row r="1729" spans="1:17" ht="15.6" x14ac:dyDescent="0.3">
      <c r="A1729" s="15">
        <v>10305</v>
      </c>
      <c r="B1729" s="14">
        <v>38273</v>
      </c>
      <c r="C1729" s="14" t="s">
        <v>365</v>
      </c>
      <c r="D1729" s="15" t="s">
        <v>237</v>
      </c>
      <c r="E1729" s="15" t="s">
        <v>216</v>
      </c>
      <c r="F1729" s="15" t="s">
        <v>15</v>
      </c>
      <c r="G1729" s="15" t="s">
        <v>16</v>
      </c>
      <c r="H1729" s="15" t="s">
        <v>35</v>
      </c>
      <c r="I1729" s="15" t="s">
        <v>40</v>
      </c>
      <c r="J1729" s="15" t="s">
        <v>251</v>
      </c>
      <c r="K1729" s="15">
        <v>38</v>
      </c>
      <c r="L1729" s="16">
        <v>25</v>
      </c>
      <c r="M1729" s="17">
        <v>950</v>
      </c>
      <c r="N1729" s="15" t="s">
        <v>367</v>
      </c>
      <c r="O1729" s="15" t="s">
        <v>19</v>
      </c>
      <c r="Q1729"/>
    </row>
    <row r="1730" spans="1:17" ht="15.6" x14ac:dyDescent="0.3">
      <c r="A1730" s="11">
        <v>10305</v>
      </c>
      <c r="B1730" s="10">
        <v>38273</v>
      </c>
      <c r="C1730" s="10" t="s">
        <v>365</v>
      </c>
      <c r="D1730" s="11" t="s">
        <v>237</v>
      </c>
      <c r="E1730" s="11" t="s">
        <v>216</v>
      </c>
      <c r="F1730" s="11" t="s">
        <v>15</v>
      </c>
      <c r="G1730" s="11" t="s">
        <v>16</v>
      </c>
      <c r="H1730" s="11" t="s">
        <v>32</v>
      </c>
      <c r="I1730" s="11" t="s">
        <v>44</v>
      </c>
      <c r="J1730" s="11" t="s">
        <v>252</v>
      </c>
      <c r="K1730" s="11">
        <v>27</v>
      </c>
      <c r="L1730" s="12">
        <v>55</v>
      </c>
      <c r="M1730" s="13">
        <v>1485</v>
      </c>
      <c r="N1730" s="11" t="s">
        <v>367</v>
      </c>
      <c r="O1730" s="11" t="s">
        <v>19</v>
      </c>
      <c r="Q1730"/>
    </row>
    <row r="1731" spans="1:17" ht="15.6" x14ac:dyDescent="0.3">
      <c r="A1731" s="15">
        <v>10305</v>
      </c>
      <c r="B1731" s="14">
        <v>38273</v>
      </c>
      <c r="C1731" s="14" t="s">
        <v>365</v>
      </c>
      <c r="D1731" s="15" t="s">
        <v>237</v>
      </c>
      <c r="E1731" s="15" t="s">
        <v>216</v>
      </c>
      <c r="F1731" s="15" t="s">
        <v>15</v>
      </c>
      <c r="G1731" s="15" t="s">
        <v>16</v>
      </c>
      <c r="H1731" s="15" t="s">
        <v>35</v>
      </c>
      <c r="I1731" s="15" t="s">
        <v>40</v>
      </c>
      <c r="J1731" s="15" t="s">
        <v>251</v>
      </c>
      <c r="K1731" s="15">
        <v>36</v>
      </c>
      <c r="L1731" s="16">
        <v>25</v>
      </c>
      <c r="M1731" s="17">
        <v>900</v>
      </c>
      <c r="N1731" s="15" t="s">
        <v>367</v>
      </c>
      <c r="O1731" s="15" t="s">
        <v>19</v>
      </c>
      <c r="Q1731"/>
    </row>
    <row r="1732" spans="1:17" ht="15.6" x14ac:dyDescent="0.3">
      <c r="A1732" s="11">
        <v>10305</v>
      </c>
      <c r="B1732" s="10">
        <v>38273</v>
      </c>
      <c r="C1732" s="10" t="s">
        <v>365</v>
      </c>
      <c r="D1732" s="11" t="s">
        <v>237</v>
      </c>
      <c r="E1732" s="11" t="s">
        <v>216</v>
      </c>
      <c r="F1732" s="11" t="s">
        <v>15</v>
      </c>
      <c r="G1732" s="11" t="s">
        <v>16</v>
      </c>
      <c r="H1732" s="11" t="s">
        <v>35</v>
      </c>
      <c r="I1732" s="11" t="s">
        <v>38</v>
      </c>
      <c r="J1732" s="11" t="s">
        <v>249</v>
      </c>
      <c r="K1732" s="11">
        <v>41</v>
      </c>
      <c r="L1732" s="12">
        <v>20</v>
      </c>
      <c r="M1732" s="13">
        <v>820</v>
      </c>
      <c r="N1732" s="11" t="s">
        <v>367</v>
      </c>
      <c r="O1732" s="11" t="s">
        <v>19</v>
      </c>
      <c r="Q1732"/>
    </row>
    <row r="1733" spans="1:17" ht="15.6" x14ac:dyDescent="0.3">
      <c r="A1733" s="15">
        <v>10305</v>
      </c>
      <c r="B1733" s="14">
        <v>38273</v>
      </c>
      <c r="C1733" s="14" t="s">
        <v>365</v>
      </c>
      <c r="D1733" s="15" t="s">
        <v>237</v>
      </c>
      <c r="E1733" s="15" t="s">
        <v>216</v>
      </c>
      <c r="F1733" s="15" t="s">
        <v>15</v>
      </c>
      <c r="G1733" s="15" t="s">
        <v>16</v>
      </c>
      <c r="H1733" s="15" t="s">
        <v>32</v>
      </c>
      <c r="I1733" s="15" t="s">
        <v>46</v>
      </c>
      <c r="J1733" s="15" t="s">
        <v>254</v>
      </c>
      <c r="K1733" s="15">
        <v>37</v>
      </c>
      <c r="L1733" s="16">
        <v>90</v>
      </c>
      <c r="M1733" s="17">
        <v>3330</v>
      </c>
      <c r="N1733" s="15" t="s">
        <v>367</v>
      </c>
      <c r="O1733" s="15" t="s">
        <v>19</v>
      </c>
      <c r="Q1733"/>
    </row>
    <row r="1734" spans="1:17" ht="15.6" x14ac:dyDescent="0.3">
      <c r="A1734" s="11">
        <v>10305</v>
      </c>
      <c r="B1734" s="10">
        <v>38273</v>
      </c>
      <c r="C1734" s="10" t="s">
        <v>365</v>
      </c>
      <c r="D1734" s="11" t="s">
        <v>237</v>
      </c>
      <c r="E1734" s="11" t="s">
        <v>216</v>
      </c>
      <c r="F1734" s="11" t="s">
        <v>15</v>
      </c>
      <c r="G1734" s="11" t="s">
        <v>16</v>
      </c>
      <c r="H1734" s="11" t="s">
        <v>35</v>
      </c>
      <c r="I1734" s="11" t="s">
        <v>36</v>
      </c>
      <c r="J1734" s="11" t="s">
        <v>247</v>
      </c>
      <c r="K1734" s="11">
        <v>22</v>
      </c>
      <c r="L1734" s="12">
        <v>30</v>
      </c>
      <c r="M1734" s="13">
        <v>660</v>
      </c>
      <c r="N1734" s="11" t="s">
        <v>367</v>
      </c>
      <c r="O1734" s="11" t="s">
        <v>19</v>
      </c>
      <c r="Q1734"/>
    </row>
    <row r="1735" spans="1:17" ht="15.6" x14ac:dyDescent="0.3">
      <c r="A1735" s="15">
        <v>10305</v>
      </c>
      <c r="B1735" s="14">
        <v>38273</v>
      </c>
      <c r="C1735" s="14" t="s">
        <v>365</v>
      </c>
      <c r="D1735" s="15" t="s">
        <v>237</v>
      </c>
      <c r="E1735" s="15" t="s">
        <v>216</v>
      </c>
      <c r="F1735" s="15" t="s">
        <v>15</v>
      </c>
      <c r="G1735" s="15" t="s">
        <v>16</v>
      </c>
      <c r="H1735" s="15" t="s">
        <v>32</v>
      </c>
      <c r="I1735" s="15" t="s">
        <v>34</v>
      </c>
      <c r="J1735" s="15" t="s">
        <v>246</v>
      </c>
      <c r="K1735" s="15">
        <v>45</v>
      </c>
      <c r="L1735" s="16">
        <v>80</v>
      </c>
      <c r="M1735" s="17">
        <v>3600</v>
      </c>
      <c r="N1735" s="15" t="s">
        <v>367</v>
      </c>
      <c r="O1735" s="15" t="s">
        <v>19</v>
      </c>
      <c r="Q1735"/>
    </row>
    <row r="1736" spans="1:17" ht="15.6" x14ac:dyDescent="0.3">
      <c r="A1736" s="11">
        <v>10305</v>
      </c>
      <c r="B1736" s="10">
        <v>38273</v>
      </c>
      <c r="C1736" s="10" t="s">
        <v>365</v>
      </c>
      <c r="D1736" s="11" t="s">
        <v>237</v>
      </c>
      <c r="E1736" s="11" t="s">
        <v>216</v>
      </c>
      <c r="F1736" s="11" t="s">
        <v>15</v>
      </c>
      <c r="G1736" s="11" t="s">
        <v>16</v>
      </c>
      <c r="H1736" s="11" t="s">
        <v>35</v>
      </c>
      <c r="I1736" s="11" t="s">
        <v>39</v>
      </c>
      <c r="J1736" s="11" t="s">
        <v>250</v>
      </c>
      <c r="K1736" s="11">
        <v>24</v>
      </c>
      <c r="L1736" s="12">
        <v>20</v>
      </c>
      <c r="M1736" s="13">
        <v>480</v>
      </c>
      <c r="N1736" s="11" t="s">
        <v>367</v>
      </c>
      <c r="O1736" s="11" t="s">
        <v>19</v>
      </c>
      <c r="Q1736"/>
    </row>
    <row r="1737" spans="1:17" ht="15.6" x14ac:dyDescent="0.3">
      <c r="A1737" s="15">
        <v>10305</v>
      </c>
      <c r="B1737" s="14">
        <v>38273</v>
      </c>
      <c r="C1737" s="14" t="s">
        <v>365</v>
      </c>
      <c r="D1737" s="15" t="s">
        <v>237</v>
      </c>
      <c r="E1737" s="15" t="s">
        <v>216</v>
      </c>
      <c r="F1737" s="15" t="s">
        <v>15</v>
      </c>
      <c r="G1737" s="15" t="s">
        <v>16</v>
      </c>
      <c r="H1737" s="15" t="s">
        <v>32</v>
      </c>
      <c r="I1737" s="15" t="s">
        <v>45</v>
      </c>
      <c r="J1737" s="15" t="s">
        <v>253</v>
      </c>
      <c r="K1737" s="15">
        <v>48</v>
      </c>
      <c r="L1737" s="16">
        <v>35</v>
      </c>
      <c r="M1737" s="17">
        <v>1680</v>
      </c>
      <c r="N1737" s="15" t="s">
        <v>367</v>
      </c>
      <c r="O1737" s="15" t="s">
        <v>19</v>
      </c>
      <c r="Q1737"/>
    </row>
    <row r="1738" spans="1:17" ht="15.6" x14ac:dyDescent="0.3">
      <c r="A1738" s="11">
        <v>10305</v>
      </c>
      <c r="B1738" s="10">
        <v>38273</v>
      </c>
      <c r="C1738" s="10" t="s">
        <v>365</v>
      </c>
      <c r="D1738" s="11" t="s">
        <v>237</v>
      </c>
      <c r="E1738" s="11" t="s">
        <v>216</v>
      </c>
      <c r="F1738" s="11" t="s">
        <v>15</v>
      </c>
      <c r="G1738" s="11" t="s">
        <v>16</v>
      </c>
      <c r="H1738" s="11" t="s">
        <v>32</v>
      </c>
      <c r="I1738" s="11" t="s">
        <v>46</v>
      </c>
      <c r="J1738" s="11" t="s">
        <v>254</v>
      </c>
      <c r="K1738" s="11">
        <v>36</v>
      </c>
      <c r="L1738" s="12">
        <v>90</v>
      </c>
      <c r="M1738" s="13">
        <v>3240</v>
      </c>
      <c r="N1738" s="11" t="s">
        <v>367</v>
      </c>
      <c r="O1738" s="11" t="s">
        <v>19</v>
      </c>
      <c r="Q1738"/>
    </row>
    <row r="1739" spans="1:17" ht="15.6" x14ac:dyDescent="0.3">
      <c r="A1739" s="15">
        <v>10305</v>
      </c>
      <c r="B1739" s="14">
        <v>38273</v>
      </c>
      <c r="C1739" s="14" t="s">
        <v>365</v>
      </c>
      <c r="D1739" s="15" t="s">
        <v>237</v>
      </c>
      <c r="E1739" s="15" t="s">
        <v>216</v>
      </c>
      <c r="F1739" s="15" t="s">
        <v>15</v>
      </c>
      <c r="G1739" s="15" t="s">
        <v>16</v>
      </c>
      <c r="H1739" s="15" t="s">
        <v>35</v>
      </c>
      <c r="I1739" s="15" t="s">
        <v>39</v>
      </c>
      <c r="J1739" s="15" t="s">
        <v>250</v>
      </c>
      <c r="K1739" s="15">
        <v>28</v>
      </c>
      <c r="L1739" s="16">
        <v>20</v>
      </c>
      <c r="M1739" s="17">
        <v>560</v>
      </c>
      <c r="N1739" s="15" t="s">
        <v>367</v>
      </c>
      <c r="O1739" s="15" t="s">
        <v>19</v>
      </c>
      <c r="Q1739"/>
    </row>
    <row r="1740" spans="1:17" ht="15.6" x14ac:dyDescent="0.3">
      <c r="A1740" s="11">
        <v>10305</v>
      </c>
      <c r="B1740" s="10">
        <v>38273</v>
      </c>
      <c r="C1740" s="10" t="s">
        <v>365</v>
      </c>
      <c r="D1740" s="11" t="s">
        <v>237</v>
      </c>
      <c r="E1740" s="11" t="s">
        <v>216</v>
      </c>
      <c r="F1740" s="11" t="s">
        <v>15</v>
      </c>
      <c r="G1740" s="11" t="s">
        <v>16</v>
      </c>
      <c r="H1740" s="11" t="s">
        <v>35</v>
      </c>
      <c r="I1740" s="11" t="s">
        <v>40</v>
      </c>
      <c r="J1740" s="11" t="s">
        <v>251</v>
      </c>
      <c r="K1740" s="11">
        <v>40</v>
      </c>
      <c r="L1740" s="12">
        <v>25</v>
      </c>
      <c r="M1740" s="13">
        <v>1000</v>
      </c>
      <c r="N1740" s="11" t="s">
        <v>367</v>
      </c>
      <c r="O1740" s="11" t="s">
        <v>19</v>
      </c>
      <c r="Q1740"/>
    </row>
    <row r="1741" spans="1:17" ht="15.6" x14ac:dyDescent="0.3">
      <c r="A1741" s="15">
        <v>10305</v>
      </c>
      <c r="B1741" s="14">
        <v>38273</v>
      </c>
      <c r="C1741" s="14" t="s">
        <v>365</v>
      </c>
      <c r="D1741" s="15" t="s">
        <v>237</v>
      </c>
      <c r="E1741" s="15" t="s">
        <v>216</v>
      </c>
      <c r="F1741" s="15" t="s">
        <v>15</v>
      </c>
      <c r="G1741" s="15" t="s">
        <v>16</v>
      </c>
      <c r="H1741" s="15" t="s">
        <v>35</v>
      </c>
      <c r="I1741" s="15" t="s">
        <v>38</v>
      </c>
      <c r="J1741" s="15" t="s">
        <v>249</v>
      </c>
      <c r="K1741" s="15">
        <v>42</v>
      </c>
      <c r="L1741" s="16">
        <v>20</v>
      </c>
      <c r="M1741" s="17">
        <v>840</v>
      </c>
      <c r="N1741" s="15" t="s">
        <v>367</v>
      </c>
      <c r="O1741" s="15" t="s">
        <v>19</v>
      </c>
      <c r="Q1741"/>
    </row>
    <row r="1742" spans="1:17" ht="15.6" x14ac:dyDescent="0.3">
      <c r="A1742" s="11">
        <v>10307</v>
      </c>
      <c r="B1742" s="10">
        <v>38274</v>
      </c>
      <c r="C1742" s="10" t="s">
        <v>333</v>
      </c>
      <c r="D1742" s="11" t="s">
        <v>179</v>
      </c>
      <c r="E1742" s="11" t="s">
        <v>78</v>
      </c>
      <c r="F1742" s="11" t="s">
        <v>15</v>
      </c>
      <c r="G1742" s="11" t="s">
        <v>16</v>
      </c>
      <c r="H1742" s="11" t="s">
        <v>32</v>
      </c>
      <c r="I1742" s="11" t="s">
        <v>34</v>
      </c>
      <c r="J1742" s="11" t="s">
        <v>246</v>
      </c>
      <c r="K1742" s="11">
        <v>22</v>
      </c>
      <c r="L1742" s="12">
        <v>80</v>
      </c>
      <c r="M1742" s="13">
        <v>1760</v>
      </c>
      <c r="N1742" s="11" t="s">
        <v>367</v>
      </c>
      <c r="O1742" s="11" t="s">
        <v>19</v>
      </c>
      <c r="Q1742"/>
    </row>
    <row r="1743" spans="1:17" ht="15.6" x14ac:dyDescent="0.3">
      <c r="A1743" s="15">
        <v>10306</v>
      </c>
      <c r="B1743" s="14">
        <v>38274</v>
      </c>
      <c r="C1743" s="14" t="s">
        <v>285</v>
      </c>
      <c r="D1743" s="15" t="s">
        <v>79</v>
      </c>
      <c r="E1743" s="15" t="s">
        <v>80</v>
      </c>
      <c r="F1743" s="15" t="s">
        <v>81</v>
      </c>
      <c r="G1743" s="15" t="s">
        <v>25</v>
      </c>
      <c r="H1743" s="15" t="s">
        <v>32</v>
      </c>
      <c r="I1743" s="15" t="s">
        <v>45</v>
      </c>
      <c r="J1743" s="15" t="s">
        <v>253</v>
      </c>
      <c r="K1743" s="15">
        <v>31</v>
      </c>
      <c r="L1743" s="16">
        <v>35</v>
      </c>
      <c r="M1743" s="17">
        <v>1085</v>
      </c>
      <c r="N1743" s="15" t="s">
        <v>367</v>
      </c>
      <c r="O1743" s="15" t="s">
        <v>19</v>
      </c>
      <c r="Q1743"/>
    </row>
    <row r="1744" spans="1:17" ht="15.6" x14ac:dyDescent="0.3">
      <c r="A1744" s="11">
        <v>10306</v>
      </c>
      <c r="B1744" s="10">
        <v>38274</v>
      </c>
      <c r="C1744" s="10" t="s">
        <v>285</v>
      </c>
      <c r="D1744" s="11" t="s">
        <v>79</v>
      </c>
      <c r="E1744" s="11" t="s">
        <v>80</v>
      </c>
      <c r="F1744" s="11" t="s">
        <v>81</v>
      </c>
      <c r="G1744" s="11" t="s">
        <v>25</v>
      </c>
      <c r="H1744" s="11" t="s">
        <v>32</v>
      </c>
      <c r="I1744" s="11" t="s">
        <v>33</v>
      </c>
      <c r="J1744" s="11" t="s">
        <v>245</v>
      </c>
      <c r="K1744" s="11">
        <v>34</v>
      </c>
      <c r="L1744" s="12">
        <v>85</v>
      </c>
      <c r="M1744" s="13">
        <v>2890</v>
      </c>
      <c r="N1744" s="11" t="s">
        <v>367</v>
      </c>
      <c r="O1744" s="11" t="s">
        <v>19</v>
      </c>
      <c r="Q1744"/>
    </row>
    <row r="1745" spans="1:17" ht="15.6" x14ac:dyDescent="0.3">
      <c r="A1745" s="15">
        <v>10306</v>
      </c>
      <c r="B1745" s="14">
        <v>38274</v>
      </c>
      <c r="C1745" s="14" t="s">
        <v>285</v>
      </c>
      <c r="D1745" s="15" t="s">
        <v>79</v>
      </c>
      <c r="E1745" s="15" t="s">
        <v>80</v>
      </c>
      <c r="F1745" s="15" t="s">
        <v>81</v>
      </c>
      <c r="G1745" s="15" t="s">
        <v>25</v>
      </c>
      <c r="H1745" s="15" t="s">
        <v>32</v>
      </c>
      <c r="I1745" s="15" t="s">
        <v>33</v>
      </c>
      <c r="J1745" s="15" t="s">
        <v>245</v>
      </c>
      <c r="K1745" s="15">
        <v>20</v>
      </c>
      <c r="L1745" s="16">
        <v>85</v>
      </c>
      <c r="M1745" s="17">
        <v>1700</v>
      </c>
      <c r="N1745" s="15" t="s">
        <v>367</v>
      </c>
      <c r="O1745" s="15" t="s">
        <v>19</v>
      </c>
      <c r="Q1745"/>
    </row>
    <row r="1746" spans="1:17" ht="15.6" x14ac:dyDescent="0.3">
      <c r="A1746" s="11">
        <v>10307</v>
      </c>
      <c r="B1746" s="10">
        <v>38274</v>
      </c>
      <c r="C1746" s="10" t="s">
        <v>333</v>
      </c>
      <c r="D1746" s="11" t="s">
        <v>179</v>
      </c>
      <c r="E1746" s="11" t="s">
        <v>78</v>
      </c>
      <c r="F1746" s="11" t="s">
        <v>15</v>
      </c>
      <c r="G1746" s="11" t="s">
        <v>16</v>
      </c>
      <c r="H1746" s="11" t="s">
        <v>61</v>
      </c>
      <c r="I1746" s="11" t="s">
        <v>65</v>
      </c>
      <c r="J1746" s="11" t="s">
        <v>264</v>
      </c>
      <c r="K1746" s="11">
        <v>39</v>
      </c>
      <c r="L1746" s="12">
        <v>30</v>
      </c>
      <c r="M1746" s="13">
        <v>1170</v>
      </c>
      <c r="N1746" s="11" t="s">
        <v>367</v>
      </c>
      <c r="O1746" s="11" t="s">
        <v>19</v>
      </c>
      <c r="Q1746"/>
    </row>
    <row r="1747" spans="1:17" ht="15.6" x14ac:dyDescent="0.3">
      <c r="A1747" s="15">
        <v>10307</v>
      </c>
      <c r="B1747" s="14">
        <v>38274</v>
      </c>
      <c r="C1747" s="14" t="s">
        <v>333</v>
      </c>
      <c r="D1747" s="15" t="s">
        <v>179</v>
      </c>
      <c r="E1747" s="15" t="s">
        <v>78</v>
      </c>
      <c r="F1747" s="15" t="s">
        <v>15</v>
      </c>
      <c r="G1747" s="15" t="s">
        <v>16</v>
      </c>
      <c r="H1747" s="15" t="s">
        <v>54</v>
      </c>
      <c r="I1747" s="15" t="s">
        <v>55</v>
      </c>
      <c r="J1747" s="15" t="s">
        <v>258</v>
      </c>
      <c r="K1747" s="15">
        <v>31</v>
      </c>
      <c r="L1747" s="16">
        <v>180</v>
      </c>
      <c r="M1747" s="17">
        <v>5580</v>
      </c>
      <c r="N1747" s="15" t="s">
        <v>367</v>
      </c>
      <c r="O1747" s="15" t="s">
        <v>19</v>
      </c>
      <c r="Q1747"/>
    </row>
    <row r="1748" spans="1:17" ht="15.6" x14ac:dyDescent="0.3">
      <c r="A1748" s="11">
        <v>10306</v>
      </c>
      <c r="B1748" s="10">
        <v>38274</v>
      </c>
      <c r="C1748" s="10" t="s">
        <v>285</v>
      </c>
      <c r="D1748" s="11" t="s">
        <v>79</v>
      </c>
      <c r="E1748" s="11" t="s">
        <v>80</v>
      </c>
      <c r="F1748" s="11" t="s">
        <v>81</v>
      </c>
      <c r="G1748" s="11" t="s">
        <v>25</v>
      </c>
      <c r="H1748" s="11" t="s">
        <v>17</v>
      </c>
      <c r="I1748" s="11" t="s">
        <v>20</v>
      </c>
      <c r="J1748" s="11" t="s">
        <v>242</v>
      </c>
      <c r="K1748" s="11">
        <v>32</v>
      </c>
      <c r="L1748" s="12">
        <v>48</v>
      </c>
      <c r="M1748" s="13">
        <v>1536</v>
      </c>
      <c r="N1748" s="11" t="s">
        <v>367</v>
      </c>
      <c r="O1748" s="11" t="s">
        <v>19</v>
      </c>
      <c r="Q1748"/>
    </row>
    <row r="1749" spans="1:17" ht="15.6" x14ac:dyDescent="0.3">
      <c r="A1749" s="15">
        <v>10306</v>
      </c>
      <c r="B1749" s="14">
        <v>38274</v>
      </c>
      <c r="C1749" s="14" t="s">
        <v>285</v>
      </c>
      <c r="D1749" s="15" t="s">
        <v>79</v>
      </c>
      <c r="E1749" s="15" t="s">
        <v>80</v>
      </c>
      <c r="F1749" s="15" t="s">
        <v>81</v>
      </c>
      <c r="G1749" s="15" t="s">
        <v>25</v>
      </c>
      <c r="H1749" s="15" t="s">
        <v>47</v>
      </c>
      <c r="I1749" s="15" t="s">
        <v>48</v>
      </c>
      <c r="J1749" s="15" t="s">
        <v>255</v>
      </c>
      <c r="K1749" s="15">
        <v>40</v>
      </c>
      <c r="L1749" s="16">
        <v>70</v>
      </c>
      <c r="M1749" s="17">
        <v>2800</v>
      </c>
      <c r="N1749" s="15" t="s">
        <v>367</v>
      </c>
      <c r="O1749" s="15" t="s">
        <v>19</v>
      </c>
      <c r="Q1749"/>
    </row>
    <row r="1750" spans="1:17" ht="15.6" x14ac:dyDescent="0.3">
      <c r="A1750" s="11">
        <v>10307</v>
      </c>
      <c r="B1750" s="10">
        <v>38274</v>
      </c>
      <c r="C1750" s="10" t="s">
        <v>333</v>
      </c>
      <c r="D1750" s="11" t="s">
        <v>179</v>
      </c>
      <c r="E1750" s="11" t="s">
        <v>78</v>
      </c>
      <c r="F1750" s="11" t="s">
        <v>15</v>
      </c>
      <c r="G1750" s="11" t="s">
        <v>16</v>
      </c>
      <c r="H1750" s="11" t="s">
        <v>17</v>
      </c>
      <c r="I1750" s="11" t="s">
        <v>20</v>
      </c>
      <c r="J1750" s="11" t="s">
        <v>242</v>
      </c>
      <c r="K1750" s="11">
        <v>48</v>
      </c>
      <c r="L1750" s="12">
        <v>48</v>
      </c>
      <c r="M1750" s="13">
        <v>2304</v>
      </c>
      <c r="N1750" s="11" t="s">
        <v>367</v>
      </c>
      <c r="O1750" s="11" t="s">
        <v>19</v>
      </c>
      <c r="Q1750"/>
    </row>
    <row r="1751" spans="1:17" ht="15.6" x14ac:dyDescent="0.3">
      <c r="A1751" s="15">
        <v>10306</v>
      </c>
      <c r="B1751" s="14">
        <v>38274</v>
      </c>
      <c r="C1751" s="14" t="s">
        <v>285</v>
      </c>
      <c r="D1751" s="15" t="s">
        <v>79</v>
      </c>
      <c r="E1751" s="15" t="s">
        <v>80</v>
      </c>
      <c r="F1751" s="15" t="s">
        <v>81</v>
      </c>
      <c r="G1751" s="15" t="s">
        <v>25</v>
      </c>
      <c r="H1751" s="15" t="s">
        <v>32</v>
      </c>
      <c r="I1751" s="15" t="s">
        <v>33</v>
      </c>
      <c r="J1751" s="15" t="s">
        <v>245</v>
      </c>
      <c r="K1751" s="15">
        <v>23</v>
      </c>
      <c r="L1751" s="16">
        <v>85</v>
      </c>
      <c r="M1751" s="17">
        <v>1955</v>
      </c>
      <c r="N1751" s="15" t="s">
        <v>367</v>
      </c>
      <c r="O1751" s="15" t="s">
        <v>19</v>
      </c>
      <c r="Q1751"/>
    </row>
    <row r="1752" spans="1:17" ht="15.6" x14ac:dyDescent="0.3">
      <c r="A1752" s="11">
        <v>10306</v>
      </c>
      <c r="B1752" s="10">
        <v>38274</v>
      </c>
      <c r="C1752" s="10" t="s">
        <v>285</v>
      </c>
      <c r="D1752" s="11" t="s">
        <v>79</v>
      </c>
      <c r="E1752" s="11" t="s">
        <v>80</v>
      </c>
      <c r="F1752" s="11" t="s">
        <v>81</v>
      </c>
      <c r="G1752" s="11" t="s">
        <v>25</v>
      </c>
      <c r="H1752" s="11" t="s">
        <v>17</v>
      </c>
      <c r="I1752" s="11" t="s">
        <v>20</v>
      </c>
      <c r="J1752" s="11" t="s">
        <v>242</v>
      </c>
      <c r="K1752" s="11">
        <v>39</v>
      </c>
      <c r="L1752" s="12">
        <v>48</v>
      </c>
      <c r="M1752" s="13">
        <v>1872</v>
      </c>
      <c r="N1752" s="11" t="s">
        <v>367</v>
      </c>
      <c r="O1752" s="11" t="s">
        <v>19</v>
      </c>
      <c r="Q1752"/>
    </row>
    <row r="1753" spans="1:17" ht="15.6" x14ac:dyDescent="0.3">
      <c r="A1753" s="15">
        <v>10306</v>
      </c>
      <c r="B1753" s="14">
        <v>38274</v>
      </c>
      <c r="C1753" s="14" t="s">
        <v>285</v>
      </c>
      <c r="D1753" s="15" t="s">
        <v>79</v>
      </c>
      <c r="E1753" s="15" t="s">
        <v>80</v>
      </c>
      <c r="F1753" s="15" t="s">
        <v>81</v>
      </c>
      <c r="G1753" s="15" t="s">
        <v>25</v>
      </c>
      <c r="H1753" s="15" t="s">
        <v>54</v>
      </c>
      <c r="I1753" s="15" t="s">
        <v>57</v>
      </c>
      <c r="J1753" s="15" t="s">
        <v>260</v>
      </c>
      <c r="K1753" s="15">
        <v>29</v>
      </c>
      <c r="L1753" s="16">
        <v>220</v>
      </c>
      <c r="M1753" s="17">
        <v>6380</v>
      </c>
      <c r="N1753" s="15" t="s">
        <v>367</v>
      </c>
      <c r="O1753" s="15" t="s">
        <v>19</v>
      </c>
      <c r="Q1753"/>
    </row>
    <row r="1754" spans="1:17" ht="15.6" x14ac:dyDescent="0.3">
      <c r="A1754" s="11">
        <v>10307</v>
      </c>
      <c r="B1754" s="10">
        <v>38274</v>
      </c>
      <c r="C1754" s="10" t="s">
        <v>333</v>
      </c>
      <c r="D1754" s="11" t="s">
        <v>179</v>
      </c>
      <c r="E1754" s="11" t="s">
        <v>78</v>
      </c>
      <c r="F1754" s="11" t="s">
        <v>15</v>
      </c>
      <c r="G1754" s="11" t="s">
        <v>16</v>
      </c>
      <c r="H1754" s="11" t="s">
        <v>61</v>
      </c>
      <c r="I1754" s="11" t="s">
        <v>62</v>
      </c>
      <c r="J1754" s="11" t="s">
        <v>261</v>
      </c>
      <c r="K1754" s="11">
        <v>25</v>
      </c>
      <c r="L1754" s="12">
        <v>15</v>
      </c>
      <c r="M1754" s="13">
        <v>375</v>
      </c>
      <c r="N1754" s="11" t="s">
        <v>367</v>
      </c>
      <c r="O1754" s="11" t="s">
        <v>19</v>
      </c>
      <c r="Q1754"/>
    </row>
    <row r="1755" spans="1:17" ht="15.6" x14ac:dyDescent="0.3">
      <c r="A1755" s="15">
        <v>10306</v>
      </c>
      <c r="B1755" s="14">
        <v>38274</v>
      </c>
      <c r="C1755" s="14" t="s">
        <v>285</v>
      </c>
      <c r="D1755" s="15" t="s">
        <v>79</v>
      </c>
      <c r="E1755" s="15" t="s">
        <v>80</v>
      </c>
      <c r="F1755" s="15" t="s">
        <v>81</v>
      </c>
      <c r="G1755" s="15" t="s">
        <v>25</v>
      </c>
      <c r="H1755" s="15" t="s">
        <v>17</v>
      </c>
      <c r="I1755" s="15" t="s">
        <v>21</v>
      </c>
      <c r="J1755" s="15" t="s">
        <v>243</v>
      </c>
      <c r="K1755" s="15">
        <v>31</v>
      </c>
      <c r="L1755" s="16">
        <v>110</v>
      </c>
      <c r="M1755" s="17">
        <v>3410</v>
      </c>
      <c r="N1755" s="15" t="s">
        <v>367</v>
      </c>
      <c r="O1755" s="15" t="s">
        <v>19</v>
      </c>
      <c r="Q1755"/>
    </row>
    <row r="1756" spans="1:17" ht="15.6" x14ac:dyDescent="0.3">
      <c r="A1756" s="11">
        <v>10307</v>
      </c>
      <c r="B1756" s="10">
        <v>38274</v>
      </c>
      <c r="C1756" s="10" t="s">
        <v>333</v>
      </c>
      <c r="D1756" s="11" t="s">
        <v>179</v>
      </c>
      <c r="E1756" s="11" t="s">
        <v>78</v>
      </c>
      <c r="F1756" s="11" t="s">
        <v>15</v>
      </c>
      <c r="G1756" s="11" t="s">
        <v>16</v>
      </c>
      <c r="H1756" s="11" t="s">
        <v>17</v>
      </c>
      <c r="I1756" s="11" t="s">
        <v>20</v>
      </c>
      <c r="J1756" s="11" t="s">
        <v>242</v>
      </c>
      <c r="K1756" s="11">
        <v>22</v>
      </c>
      <c r="L1756" s="12">
        <v>48</v>
      </c>
      <c r="M1756" s="13">
        <v>1056</v>
      </c>
      <c r="N1756" s="11" t="s">
        <v>367</v>
      </c>
      <c r="O1756" s="11" t="s">
        <v>19</v>
      </c>
      <c r="Q1756"/>
    </row>
    <row r="1757" spans="1:17" ht="15.6" x14ac:dyDescent="0.3">
      <c r="A1757" s="15">
        <v>10307</v>
      </c>
      <c r="B1757" s="14">
        <v>38274</v>
      </c>
      <c r="C1757" s="14" t="s">
        <v>333</v>
      </c>
      <c r="D1757" s="15" t="s">
        <v>179</v>
      </c>
      <c r="E1757" s="15" t="s">
        <v>78</v>
      </c>
      <c r="F1757" s="15" t="s">
        <v>15</v>
      </c>
      <c r="G1757" s="15" t="s">
        <v>16</v>
      </c>
      <c r="H1757" s="15" t="s">
        <v>17</v>
      </c>
      <c r="I1757" s="15" t="s">
        <v>20</v>
      </c>
      <c r="J1757" s="15" t="s">
        <v>242</v>
      </c>
      <c r="K1757" s="15">
        <v>22</v>
      </c>
      <c r="L1757" s="16">
        <v>48</v>
      </c>
      <c r="M1757" s="17">
        <v>1056</v>
      </c>
      <c r="N1757" s="15" t="s">
        <v>367</v>
      </c>
      <c r="O1757" s="15" t="s">
        <v>19</v>
      </c>
      <c r="Q1757"/>
    </row>
    <row r="1758" spans="1:17" ht="15.6" x14ac:dyDescent="0.3">
      <c r="A1758" s="11">
        <v>10306</v>
      </c>
      <c r="B1758" s="10">
        <v>38274</v>
      </c>
      <c r="C1758" s="10" t="s">
        <v>285</v>
      </c>
      <c r="D1758" s="11" t="s">
        <v>79</v>
      </c>
      <c r="E1758" s="11" t="s">
        <v>80</v>
      </c>
      <c r="F1758" s="11" t="s">
        <v>81</v>
      </c>
      <c r="G1758" s="11" t="s">
        <v>25</v>
      </c>
      <c r="H1758" s="11" t="s">
        <v>47</v>
      </c>
      <c r="I1758" s="11" t="s">
        <v>119</v>
      </c>
      <c r="J1758" s="11" t="s">
        <v>272</v>
      </c>
      <c r="K1758" s="11">
        <v>46</v>
      </c>
      <c r="L1758" s="12">
        <v>60</v>
      </c>
      <c r="M1758" s="13">
        <v>2760</v>
      </c>
      <c r="N1758" s="11" t="s">
        <v>367</v>
      </c>
      <c r="O1758" s="11" t="s">
        <v>19</v>
      </c>
      <c r="Q1758"/>
    </row>
    <row r="1759" spans="1:17" ht="15.6" x14ac:dyDescent="0.3">
      <c r="A1759" s="15">
        <v>10306</v>
      </c>
      <c r="B1759" s="14">
        <v>38274</v>
      </c>
      <c r="C1759" s="14" t="s">
        <v>285</v>
      </c>
      <c r="D1759" s="15" t="s">
        <v>79</v>
      </c>
      <c r="E1759" s="15" t="s">
        <v>80</v>
      </c>
      <c r="F1759" s="15" t="s">
        <v>81</v>
      </c>
      <c r="G1759" s="15" t="s">
        <v>25</v>
      </c>
      <c r="H1759" s="15" t="s">
        <v>47</v>
      </c>
      <c r="I1759" s="15" t="s">
        <v>53</v>
      </c>
      <c r="J1759" s="15" t="s">
        <v>257</v>
      </c>
      <c r="K1759" s="15">
        <v>34</v>
      </c>
      <c r="L1759" s="16">
        <v>90</v>
      </c>
      <c r="M1759" s="17">
        <v>3060</v>
      </c>
      <c r="N1759" s="15" t="s">
        <v>367</v>
      </c>
      <c r="O1759" s="15" t="s">
        <v>19</v>
      </c>
      <c r="Q1759"/>
    </row>
    <row r="1760" spans="1:17" ht="15.6" x14ac:dyDescent="0.3">
      <c r="A1760" s="11">
        <v>10306</v>
      </c>
      <c r="B1760" s="10">
        <v>38274</v>
      </c>
      <c r="C1760" s="10" t="s">
        <v>285</v>
      </c>
      <c r="D1760" s="11" t="s">
        <v>79</v>
      </c>
      <c r="E1760" s="11" t="s">
        <v>80</v>
      </c>
      <c r="F1760" s="11" t="s">
        <v>81</v>
      </c>
      <c r="G1760" s="11" t="s">
        <v>25</v>
      </c>
      <c r="H1760" s="11" t="s">
        <v>54</v>
      </c>
      <c r="I1760" s="11" t="s">
        <v>57</v>
      </c>
      <c r="J1760" s="11" t="s">
        <v>260</v>
      </c>
      <c r="K1760" s="11">
        <v>50</v>
      </c>
      <c r="L1760" s="12">
        <v>220</v>
      </c>
      <c r="M1760" s="13">
        <v>11000</v>
      </c>
      <c r="N1760" s="11" t="s">
        <v>368</v>
      </c>
      <c r="O1760" s="11" t="s">
        <v>19</v>
      </c>
      <c r="Q1760"/>
    </row>
    <row r="1761" spans="1:17" ht="15.6" x14ac:dyDescent="0.3">
      <c r="A1761" s="15">
        <v>10306</v>
      </c>
      <c r="B1761" s="14">
        <v>38274</v>
      </c>
      <c r="C1761" s="14" t="s">
        <v>285</v>
      </c>
      <c r="D1761" s="15" t="s">
        <v>79</v>
      </c>
      <c r="E1761" s="15" t="s">
        <v>80</v>
      </c>
      <c r="F1761" s="15" t="s">
        <v>81</v>
      </c>
      <c r="G1761" s="15" t="s">
        <v>25</v>
      </c>
      <c r="H1761" s="15" t="s">
        <v>54</v>
      </c>
      <c r="I1761" s="15" t="s">
        <v>55</v>
      </c>
      <c r="J1761" s="15" t="s">
        <v>258</v>
      </c>
      <c r="K1761" s="15">
        <v>38</v>
      </c>
      <c r="L1761" s="16">
        <v>180</v>
      </c>
      <c r="M1761" s="17">
        <v>6840</v>
      </c>
      <c r="N1761" s="15" t="s">
        <v>367</v>
      </c>
      <c r="O1761" s="15" t="s">
        <v>19</v>
      </c>
      <c r="Q1761"/>
    </row>
    <row r="1762" spans="1:17" ht="15.6" x14ac:dyDescent="0.3">
      <c r="A1762" s="11">
        <v>10307</v>
      </c>
      <c r="B1762" s="10">
        <v>38274</v>
      </c>
      <c r="C1762" s="10" t="s">
        <v>333</v>
      </c>
      <c r="D1762" s="11" t="s">
        <v>179</v>
      </c>
      <c r="E1762" s="11" t="s">
        <v>78</v>
      </c>
      <c r="F1762" s="11" t="s">
        <v>15</v>
      </c>
      <c r="G1762" s="11" t="s">
        <v>16</v>
      </c>
      <c r="H1762" s="11" t="s">
        <v>54</v>
      </c>
      <c r="I1762" s="11" t="s">
        <v>55</v>
      </c>
      <c r="J1762" s="11" t="s">
        <v>258</v>
      </c>
      <c r="K1762" s="11">
        <v>34</v>
      </c>
      <c r="L1762" s="12">
        <v>180</v>
      </c>
      <c r="M1762" s="13">
        <v>6120</v>
      </c>
      <c r="N1762" s="11" t="s">
        <v>367</v>
      </c>
      <c r="O1762" s="11" t="s">
        <v>19</v>
      </c>
      <c r="Q1762"/>
    </row>
    <row r="1763" spans="1:17" ht="15.6" x14ac:dyDescent="0.3">
      <c r="A1763" s="15">
        <v>10306</v>
      </c>
      <c r="B1763" s="14">
        <v>38274</v>
      </c>
      <c r="C1763" s="14" t="s">
        <v>285</v>
      </c>
      <c r="D1763" s="15" t="s">
        <v>79</v>
      </c>
      <c r="E1763" s="15" t="s">
        <v>80</v>
      </c>
      <c r="F1763" s="15" t="s">
        <v>81</v>
      </c>
      <c r="G1763" s="15" t="s">
        <v>25</v>
      </c>
      <c r="H1763" s="15" t="s">
        <v>54</v>
      </c>
      <c r="I1763" s="15" t="s">
        <v>166</v>
      </c>
      <c r="J1763" s="15" t="s">
        <v>273</v>
      </c>
      <c r="K1763" s="15">
        <v>43</v>
      </c>
      <c r="L1763" s="16">
        <v>160</v>
      </c>
      <c r="M1763" s="17">
        <v>6880</v>
      </c>
      <c r="N1763" s="15" t="s">
        <v>367</v>
      </c>
      <c r="O1763" s="15" t="s">
        <v>19</v>
      </c>
      <c r="Q1763"/>
    </row>
    <row r="1764" spans="1:17" ht="15.6" x14ac:dyDescent="0.3">
      <c r="A1764" s="11">
        <v>10306</v>
      </c>
      <c r="B1764" s="10">
        <v>38274</v>
      </c>
      <c r="C1764" s="10" t="s">
        <v>285</v>
      </c>
      <c r="D1764" s="11" t="s">
        <v>79</v>
      </c>
      <c r="E1764" s="11" t="s">
        <v>80</v>
      </c>
      <c r="F1764" s="11" t="s">
        <v>81</v>
      </c>
      <c r="G1764" s="11" t="s">
        <v>25</v>
      </c>
      <c r="H1764" s="11" t="s">
        <v>54</v>
      </c>
      <c r="I1764" s="11" t="s">
        <v>55</v>
      </c>
      <c r="J1764" s="11" t="s">
        <v>258</v>
      </c>
      <c r="K1764" s="11">
        <v>32</v>
      </c>
      <c r="L1764" s="12">
        <v>180</v>
      </c>
      <c r="M1764" s="13">
        <v>5760</v>
      </c>
      <c r="N1764" s="11" t="s">
        <v>367</v>
      </c>
      <c r="O1764" s="11" t="s">
        <v>19</v>
      </c>
      <c r="Q1764"/>
    </row>
    <row r="1765" spans="1:17" ht="15.6" x14ac:dyDescent="0.3">
      <c r="A1765" s="15">
        <v>10306</v>
      </c>
      <c r="B1765" s="14">
        <v>38274</v>
      </c>
      <c r="C1765" s="14" t="s">
        <v>285</v>
      </c>
      <c r="D1765" s="15" t="s">
        <v>79</v>
      </c>
      <c r="E1765" s="15" t="s">
        <v>80</v>
      </c>
      <c r="F1765" s="15" t="s">
        <v>81</v>
      </c>
      <c r="G1765" s="15" t="s">
        <v>25</v>
      </c>
      <c r="H1765" s="15" t="s">
        <v>54</v>
      </c>
      <c r="I1765" s="15" t="s">
        <v>57</v>
      </c>
      <c r="J1765" s="15" t="s">
        <v>260</v>
      </c>
      <c r="K1765" s="15">
        <v>30</v>
      </c>
      <c r="L1765" s="16">
        <v>220</v>
      </c>
      <c r="M1765" s="17">
        <v>6600</v>
      </c>
      <c r="N1765" s="15" t="s">
        <v>367</v>
      </c>
      <c r="O1765" s="15" t="s">
        <v>19</v>
      </c>
      <c r="Q1765"/>
    </row>
    <row r="1766" spans="1:17" ht="15.6" x14ac:dyDescent="0.3">
      <c r="A1766" s="11">
        <v>10307</v>
      </c>
      <c r="B1766" s="10">
        <v>38274</v>
      </c>
      <c r="C1766" s="10" t="s">
        <v>333</v>
      </c>
      <c r="D1766" s="11" t="s">
        <v>179</v>
      </c>
      <c r="E1766" s="11" t="s">
        <v>78</v>
      </c>
      <c r="F1766" s="11" t="s">
        <v>15</v>
      </c>
      <c r="G1766" s="11" t="s">
        <v>16</v>
      </c>
      <c r="H1766" s="11" t="s">
        <v>61</v>
      </c>
      <c r="I1766" s="11" t="s">
        <v>65</v>
      </c>
      <c r="J1766" s="11" t="s">
        <v>264</v>
      </c>
      <c r="K1766" s="11">
        <v>34</v>
      </c>
      <c r="L1766" s="12">
        <v>30</v>
      </c>
      <c r="M1766" s="13">
        <v>1020</v>
      </c>
      <c r="N1766" s="11" t="s">
        <v>367</v>
      </c>
      <c r="O1766" s="11" t="s">
        <v>19</v>
      </c>
      <c r="Q1766"/>
    </row>
    <row r="1767" spans="1:17" ht="15.6" x14ac:dyDescent="0.3">
      <c r="A1767" s="15">
        <v>10306</v>
      </c>
      <c r="B1767" s="14">
        <v>38274</v>
      </c>
      <c r="C1767" s="14" t="s">
        <v>285</v>
      </c>
      <c r="D1767" s="15" t="s">
        <v>79</v>
      </c>
      <c r="E1767" s="15" t="s">
        <v>80</v>
      </c>
      <c r="F1767" s="15" t="s">
        <v>81</v>
      </c>
      <c r="G1767" s="15" t="s">
        <v>25</v>
      </c>
      <c r="H1767" s="15" t="s">
        <v>54</v>
      </c>
      <c r="I1767" s="15" t="s">
        <v>166</v>
      </c>
      <c r="J1767" s="15" t="s">
        <v>273</v>
      </c>
      <c r="K1767" s="15">
        <v>35</v>
      </c>
      <c r="L1767" s="16">
        <v>160</v>
      </c>
      <c r="M1767" s="17">
        <v>5600</v>
      </c>
      <c r="N1767" s="15" t="s">
        <v>367</v>
      </c>
      <c r="O1767" s="15" t="s">
        <v>19</v>
      </c>
      <c r="Q1767"/>
    </row>
    <row r="1768" spans="1:17" ht="15.6" x14ac:dyDescent="0.3">
      <c r="A1768" s="11">
        <v>10309</v>
      </c>
      <c r="B1768" s="10">
        <v>38275</v>
      </c>
      <c r="C1768" s="10" t="s">
        <v>278</v>
      </c>
      <c r="D1768" s="11" t="s">
        <v>29</v>
      </c>
      <c r="E1768" s="11" t="s">
        <v>30</v>
      </c>
      <c r="F1768" s="11" t="s">
        <v>31</v>
      </c>
      <c r="G1768" s="11" t="s">
        <v>25</v>
      </c>
      <c r="H1768" s="11" t="s">
        <v>68</v>
      </c>
      <c r="I1768" s="11" t="s">
        <v>69</v>
      </c>
      <c r="J1768" s="11" t="s">
        <v>266</v>
      </c>
      <c r="K1768" s="11">
        <v>41</v>
      </c>
      <c r="L1768" s="12">
        <v>25</v>
      </c>
      <c r="M1768" s="13">
        <v>1025</v>
      </c>
      <c r="N1768" s="11" t="s">
        <v>367</v>
      </c>
      <c r="O1768" s="11" t="s">
        <v>19</v>
      </c>
      <c r="Q1768"/>
    </row>
    <row r="1769" spans="1:17" ht="15.6" x14ac:dyDescent="0.3">
      <c r="A1769" s="15">
        <v>10308</v>
      </c>
      <c r="B1769" s="14">
        <v>38275</v>
      </c>
      <c r="C1769" s="14" t="s">
        <v>339</v>
      </c>
      <c r="D1769" s="15" t="s">
        <v>189</v>
      </c>
      <c r="E1769" s="15" t="s">
        <v>190</v>
      </c>
      <c r="F1769" s="15" t="s">
        <v>15</v>
      </c>
      <c r="G1769" s="15" t="s">
        <v>16</v>
      </c>
      <c r="H1769" s="15" t="s">
        <v>68</v>
      </c>
      <c r="I1769" s="15" t="s">
        <v>69</v>
      </c>
      <c r="J1769" s="15" t="s">
        <v>266</v>
      </c>
      <c r="K1769" s="15">
        <v>34</v>
      </c>
      <c r="L1769" s="16">
        <v>25</v>
      </c>
      <c r="M1769" s="17">
        <v>850</v>
      </c>
      <c r="N1769" s="15" t="s">
        <v>367</v>
      </c>
      <c r="O1769" s="15" t="s">
        <v>19</v>
      </c>
      <c r="Q1769"/>
    </row>
    <row r="1770" spans="1:17" ht="15.6" x14ac:dyDescent="0.3">
      <c r="A1770" s="11">
        <v>10308</v>
      </c>
      <c r="B1770" s="10">
        <v>38275</v>
      </c>
      <c r="C1770" s="10" t="s">
        <v>339</v>
      </c>
      <c r="D1770" s="11" t="s">
        <v>189</v>
      </c>
      <c r="E1770" s="11" t="s">
        <v>190</v>
      </c>
      <c r="F1770" s="11" t="s">
        <v>15</v>
      </c>
      <c r="G1770" s="11" t="s">
        <v>16</v>
      </c>
      <c r="H1770" s="11" t="s">
        <v>68</v>
      </c>
      <c r="I1770" s="11" t="s">
        <v>69</v>
      </c>
      <c r="J1770" s="11" t="s">
        <v>266</v>
      </c>
      <c r="K1770" s="11">
        <v>20</v>
      </c>
      <c r="L1770" s="12">
        <v>25</v>
      </c>
      <c r="M1770" s="13">
        <v>500</v>
      </c>
      <c r="N1770" s="11" t="s">
        <v>367</v>
      </c>
      <c r="O1770" s="11" t="s">
        <v>19</v>
      </c>
      <c r="Q1770"/>
    </row>
    <row r="1771" spans="1:17" ht="15.6" x14ac:dyDescent="0.3">
      <c r="A1771" s="15">
        <v>10309</v>
      </c>
      <c r="B1771" s="14">
        <v>38275</v>
      </c>
      <c r="C1771" s="14" t="s">
        <v>278</v>
      </c>
      <c r="D1771" s="15" t="s">
        <v>29</v>
      </c>
      <c r="E1771" s="15" t="s">
        <v>30</v>
      </c>
      <c r="F1771" s="15" t="s">
        <v>31</v>
      </c>
      <c r="G1771" s="15" t="s">
        <v>25</v>
      </c>
      <c r="H1771" s="15" t="s">
        <v>68</v>
      </c>
      <c r="I1771" s="15" t="s">
        <v>70</v>
      </c>
      <c r="J1771" s="15" t="s">
        <v>267</v>
      </c>
      <c r="K1771" s="15">
        <v>26</v>
      </c>
      <c r="L1771" s="16">
        <v>50</v>
      </c>
      <c r="M1771" s="17">
        <v>1300</v>
      </c>
      <c r="N1771" s="15" t="s">
        <v>367</v>
      </c>
      <c r="O1771" s="15" t="s">
        <v>19</v>
      </c>
      <c r="Q1771"/>
    </row>
    <row r="1772" spans="1:17" ht="15.6" x14ac:dyDescent="0.3">
      <c r="A1772" s="11">
        <v>10308</v>
      </c>
      <c r="B1772" s="10">
        <v>38275</v>
      </c>
      <c r="C1772" s="10" t="s">
        <v>339</v>
      </c>
      <c r="D1772" s="11" t="s">
        <v>189</v>
      </c>
      <c r="E1772" s="11" t="s">
        <v>190</v>
      </c>
      <c r="F1772" s="11" t="s">
        <v>15</v>
      </c>
      <c r="G1772" s="11" t="s">
        <v>16</v>
      </c>
      <c r="H1772" s="11" t="s">
        <v>61</v>
      </c>
      <c r="I1772" s="11" t="s">
        <v>62</v>
      </c>
      <c r="J1772" s="11" t="s">
        <v>261</v>
      </c>
      <c r="K1772" s="11">
        <v>27</v>
      </c>
      <c r="L1772" s="12">
        <v>15</v>
      </c>
      <c r="M1772" s="13">
        <v>405</v>
      </c>
      <c r="N1772" s="11" t="s">
        <v>367</v>
      </c>
      <c r="O1772" s="11" t="s">
        <v>19</v>
      </c>
      <c r="Q1772"/>
    </row>
    <row r="1773" spans="1:17" ht="15.6" x14ac:dyDescent="0.3">
      <c r="A1773" s="15">
        <v>10308</v>
      </c>
      <c r="B1773" s="14">
        <v>38275</v>
      </c>
      <c r="C1773" s="14" t="s">
        <v>339</v>
      </c>
      <c r="D1773" s="15" t="s">
        <v>189</v>
      </c>
      <c r="E1773" s="15" t="s">
        <v>190</v>
      </c>
      <c r="F1773" s="15" t="s">
        <v>15</v>
      </c>
      <c r="G1773" s="15" t="s">
        <v>16</v>
      </c>
      <c r="H1773" s="15" t="s">
        <v>68</v>
      </c>
      <c r="I1773" s="15" t="s">
        <v>76</v>
      </c>
      <c r="J1773" s="15" t="s">
        <v>269</v>
      </c>
      <c r="K1773" s="15">
        <v>34</v>
      </c>
      <c r="L1773" s="16">
        <v>30</v>
      </c>
      <c r="M1773" s="17">
        <v>1020</v>
      </c>
      <c r="N1773" s="15" t="s">
        <v>367</v>
      </c>
      <c r="O1773" s="15" t="s">
        <v>19</v>
      </c>
      <c r="Q1773"/>
    </row>
    <row r="1774" spans="1:17" ht="15.6" x14ac:dyDescent="0.3">
      <c r="A1774" s="11">
        <v>10309</v>
      </c>
      <c r="B1774" s="10">
        <v>38275</v>
      </c>
      <c r="C1774" s="10" t="s">
        <v>278</v>
      </c>
      <c r="D1774" s="11" t="s">
        <v>29</v>
      </c>
      <c r="E1774" s="11" t="s">
        <v>30</v>
      </c>
      <c r="F1774" s="11" t="s">
        <v>31</v>
      </c>
      <c r="G1774" s="11" t="s">
        <v>25</v>
      </c>
      <c r="H1774" s="11" t="s">
        <v>68</v>
      </c>
      <c r="I1774" s="11" t="s">
        <v>70</v>
      </c>
      <c r="J1774" s="11" t="s">
        <v>267</v>
      </c>
      <c r="K1774" s="11">
        <v>21</v>
      </c>
      <c r="L1774" s="12">
        <v>50</v>
      </c>
      <c r="M1774" s="13">
        <v>1050</v>
      </c>
      <c r="N1774" s="11" t="s">
        <v>367</v>
      </c>
      <c r="O1774" s="11" t="s">
        <v>19</v>
      </c>
      <c r="Q1774"/>
    </row>
    <row r="1775" spans="1:17" ht="15.6" x14ac:dyDescent="0.3">
      <c r="A1775" s="15">
        <v>10308</v>
      </c>
      <c r="B1775" s="14">
        <v>38275</v>
      </c>
      <c r="C1775" s="14" t="s">
        <v>339</v>
      </c>
      <c r="D1775" s="15" t="s">
        <v>189</v>
      </c>
      <c r="E1775" s="15" t="s">
        <v>190</v>
      </c>
      <c r="F1775" s="15" t="s">
        <v>15</v>
      </c>
      <c r="G1775" s="15" t="s">
        <v>16</v>
      </c>
      <c r="H1775" s="15" t="s">
        <v>61</v>
      </c>
      <c r="I1775" s="15" t="s">
        <v>62</v>
      </c>
      <c r="J1775" s="15" t="s">
        <v>261</v>
      </c>
      <c r="K1775" s="15">
        <v>31</v>
      </c>
      <c r="L1775" s="16">
        <v>15</v>
      </c>
      <c r="M1775" s="17">
        <v>465</v>
      </c>
      <c r="N1775" s="15" t="s">
        <v>367</v>
      </c>
      <c r="O1775" s="15" t="s">
        <v>19</v>
      </c>
      <c r="Q1775"/>
    </row>
    <row r="1776" spans="1:17" ht="15.6" x14ac:dyDescent="0.3">
      <c r="A1776" s="11">
        <v>10308</v>
      </c>
      <c r="B1776" s="10">
        <v>38275</v>
      </c>
      <c r="C1776" s="10" t="s">
        <v>339</v>
      </c>
      <c r="D1776" s="11" t="s">
        <v>189</v>
      </c>
      <c r="E1776" s="11" t="s">
        <v>190</v>
      </c>
      <c r="F1776" s="11" t="s">
        <v>15</v>
      </c>
      <c r="G1776" s="11" t="s">
        <v>16</v>
      </c>
      <c r="H1776" s="11" t="s">
        <v>68</v>
      </c>
      <c r="I1776" s="11" t="s">
        <v>108</v>
      </c>
      <c r="J1776" s="11" t="s">
        <v>271</v>
      </c>
      <c r="K1776" s="11">
        <v>47</v>
      </c>
      <c r="L1776" s="12">
        <v>45</v>
      </c>
      <c r="M1776" s="13">
        <v>2115</v>
      </c>
      <c r="N1776" s="11" t="s">
        <v>367</v>
      </c>
      <c r="O1776" s="11" t="s">
        <v>19</v>
      </c>
      <c r="Q1776"/>
    </row>
    <row r="1777" spans="1:17" ht="15.6" x14ac:dyDescent="0.3">
      <c r="A1777" s="15">
        <v>10309</v>
      </c>
      <c r="B1777" s="14">
        <v>38275</v>
      </c>
      <c r="C1777" s="14" t="s">
        <v>278</v>
      </c>
      <c r="D1777" s="15" t="s">
        <v>29</v>
      </c>
      <c r="E1777" s="15" t="s">
        <v>30</v>
      </c>
      <c r="F1777" s="15" t="s">
        <v>31</v>
      </c>
      <c r="G1777" s="15" t="s">
        <v>25</v>
      </c>
      <c r="H1777" s="15" t="s">
        <v>68</v>
      </c>
      <c r="I1777" s="15" t="s">
        <v>76</v>
      </c>
      <c r="J1777" s="15" t="s">
        <v>269</v>
      </c>
      <c r="K1777" s="15">
        <v>24</v>
      </c>
      <c r="L1777" s="16">
        <v>30</v>
      </c>
      <c r="M1777" s="17">
        <v>720</v>
      </c>
      <c r="N1777" s="15" t="s">
        <v>367</v>
      </c>
      <c r="O1777" s="15" t="s">
        <v>19</v>
      </c>
      <c r="Q1777"/>
    </row>
    <row r="1778" spans="1:17" ht="15.6" x14ac:dyDescent="0.3">
      <c r="A1778" s="11">
        <v>10308</v>
      </c>
      <c r="B1778" s="10">
        <v>38275</v>
      </c>
      <c r="C1778" s="10" t="s">
        <v>339</v>
      </c>
      <c r="D1778" s="11" t="s">
        <v>189</v>
      </c>
      <c r="E1778" s="11" t="s">
        <v>190</v>
      </c>
      <c r="F1778" s="11" t="s">
        <v>15</v>
      </c>
      <c r="G1778" s="11" t="s">
        <v>16</v>
      </c>
      <c r="H1778" s="11" t="s">
        <v>61</v>
      </c>
      <c r="I1778" s="11" t="s">
        <v>62</v>
      </c>
      <c r="J1778" s="11" t="s">
        <v>261</v>
      </c>
      <c r="K1778" s="11">
        <v>43</v>
      </c>
      <c r="L1778" s="12">
        <v>15</v>
      </c>
      <c r="M1778" s="13">
        <v>645</v>
      </c>
      <c r="N1778" s="11" t="s">
        <v>367</v>
      </c>
      <c r="O1778" s="11" t="s">
        <v>19</v>
      </c>
      <c r="Q1778"/>
    </row>
    <row r="1779" spans="1:17" ht="15.6" x14ac:dyDescent="0.3">
      <c r="A1779" s="15">
        <v>10308</v>
      </c>
      <c r="B1779" s="14">
        <v>38275</v>
      </c>
      <c r="C1779" s="14" t="s">
        <v>339</v>
      </c>
      <c r="D1779" s="15" t="s">
        <v>189</v>
      </c>
      <c r="E1779" s="15" t="s">
        <v>190</v>
      </c>
      <c r="F1779" s="15" t="s">
        <v>15</v>
      </c>
      <c r="G1779" s="15" t="s">
        <v>16</v>
      </c>
      <c r="H1779" s="15" t="s">
        <v>61</v>
      </c>
      <c r="I1779" s="15" t="s">
        <v>66</v>
      </c>
      <c r="J1779" s="15" t="s">
        <v>265</v>
      </c>
      <c r="K1779" s="15">
        <v>44</v>
      </c>
      <c r="L1779" s="16">
        <v>35</v>
      </c>
      <c r="M1779" s="17">
        <v>1540</v>
      </c>
      <c r="N1779" s="15" t="s">
        <v>367</v>
      </c>
      <c r="O1779" s="15" t="s">
        <v>19</v>
      </c>
      <c r="Q1779"/>
    </row>
    <row r="1780" spans="1:17" ht="15.6" x14ac:dyDescent="0.3">
      <c r="A1780" s="11">
        <v>10308</v>
      </c>
      <c r="B1780" s="10">
        <v>38275</v>
      </c>
      <c r="C1780" s="10" t="s">
        <v>339</v>
      </c>
      <c r="D1780" s="11" t="s">
        <v>189</v>
      </c>
      <c r="E1780" s="11" t="s">
        <v>190</v>
      </c>
      <c r="F1780" s="11" t="s">
        <v>15</v>
      </c>
      <c r="G1780" s="11" t="s">
        <v>16</v>
      </c>
      <c r="H1780" s="11" t="s">
        <v>68</v>
      </c>
      <c r="I1780" s="11" t="s">
        <v>70</v>
      </c>
      <c r="J1780" s="11" t="s">
        <v>267</v>
      </c>
      <c r="K1780" s="11">
        <v>24</v>
      </c>
      <c r="L1780" s="12">
        <v>50</v>
      </c>
      <c r="M1780" s="13">
        <v>1200</v>
      </c>
      <c r="N1780" s="11" t="s">
        <v>367</v>
      </c>
      <c r="O1780" s="11" t="s">
        <v>19</v>
      </c>
      <c r="Q1780"/>
    </row>
    <row r="1781" spans="1:17" ht="15.6" x14ac:dyDescent="0.3">
      <c r="A1781" s="15">
        <v>10308</v>
      </c>
      <c r="B1781" s="14">
        <v>38275</v>
      </c>
      <c r="C1781" s="14" t="s">
        <v>339</v>
      </c>
      <c r="D1781" s="15" t="s">
        <v>189</v>
      </c>
      <c r="E1781" s="15" t="s">
        <v>190</v>
      </c>
      <c r="F1781" s="15" t="s">
        <v>15</v>
      </c>
      <c r="G1781" s="15" t="s">
        <v>16</v>
      </c>
      <c r="H1781" s="15" t="s">
        <v>17</v>
      </c>
      <c r="I1781" s="15" t="s">
        <v>20</v>
      </c>
      <c r="J1781" s="15" t="s">
        <v>242</v>
      </c>
      <c r="K1781" s="15">
        <v>46</v>
      </c>
      <c r="L1781" s="16">
        <v>48</v>
      </c>
      <c r="M1781" s="17">
        <v>2208</v>
      </c>
      <c r="N1781" s="15" t="s">
        <v>367</v>
      </c>
      <c r="O1781" s="15" t="s">
        <v>19</v>
      </c>
      <c r="Q1781"/>
    </row>
    <row r="1782" spans="1:17" ht="15.6" x14ac:dyDescent="0.3">
      <c r="A1782" s="11">
        <v>10309</v>
      </c>
      <c r="B1782" s="10">
        <v>38275</v>
      </c>
      <c r="C1782" s="10" t="s">
        <v>278</v>
      </c>
      <c r="D1782" s="11" t="s">
        <v>29</v>
      </c>
      <c r="E1782" s="11" t="s">
        <v>30</v>
      </c>
      <c r="F1782" s="11" t="s">
        <v>31</v>
      </c>
      <c r="G1782" s="11" t="s">
        <v>25</v>
      </c>
      <c r="H1782" s="11" t="s">
        <v>68</v>
      </c>
      <c r="I1782" s="11" t="s">
        <v>76</v>
      </c>
      <c r="J1782" s="11" t="s">
        <v>269</v>
      </c>
      <c r="K1782" s="11">
        <v>50</v>
      </c>
      <c r="L1782" s="12">
        <v>30</v>
      </c>
      <c r="M1782" s="13">
        <v>1500</v>
      </c>
      <c r="N1782" s="11" t="s">
        <v>368</v>
      </c>
      <c r="O1782" s="11" t="s">
        <v>19</v>
      </c>
      <c r="Q1782"/>
    </row>
    <row r="1783" spans="1:17" ht="15.6" x14ac:dyDescent="0.3">
      <c r="A1783" s="15">
        <v>10308</v>
      </c>
      <c r="B1783" s="14">
        <v>38275</v>
      </c>
      <c r="C1783" s="14" t="s">
        <v>339</v>
      </c>
      <c r="D1783" s="15" t="s">
        <v>189</v>
      </c>
      <c r="E1783" s="15" t="s">
        <v>190</v>
      </c>
      <c r="F1783" s="15" t="s">
        <v>15</v>
      </c>
      <c r="G1783" s="15" t="s">
        <v>16</v>
      </c>
      <c r="H1783" s="15" t="s">
        <v>17</v>
      </c>
      <c r="I1783" s="15" t="s">
        <v>26</v>
      </c>
      <c r="J1783" s="15" t="s">
        <v>244</v>
      </c>
      <c r="K1783" s="15">
        <v>47</v>
      </c>
      <c r="L1783" s="16">
        <v>60</v>
      </c>
      <c r="M1783" s="17">
        <v>2820</v>
      </c>
      <c r="N1783" s="15" t="s">
        <v>367</v>
      </c>
      <c r="O1783" s="15" t="s">
        <v>19</v>
      </c>
      <c r="Q1783"/>
    </row>
    <row r="1784" spans="1:17" ht="15.6" x14ac:dyDescent="0.3">
      <c r="A1784" s="11">
        <v>10309</v>
      </c>
      <c r="B1784" s="10">
        <v>38275</v>
      </c>
      <c r="C1784" s="10" t="s">
        <v>278</v>
      </c>
      <c r="D1784" s="11" t="s">
        <v>29</v>
      </c>
      <c r="E1784" s="11" t="s">
        <v>30</v>
      </c>
      <c r="F1784" s="11" t="s">
        <v>31</v>
      </c>
      <c r="G1784" s="11" t="s">
        <v>25</v>
      </c>
      <c r="H1784" s="11" t="s">
        <v>68</v>
      </c>
      <c r="I1784" s="11" t="s">
        <v>108</v>
      </c>
      <c r="J1784" s="11" t="s">
        <v>271</v>
      </c>
      <c r="K1784" s="11">
        <v>28</v>
      </c>
      <c r="L1784" s="12">
        <v>45</v>
      </c>
      <c r="M1784" s="13">
        <v>1260</v>
      </c>
      <c r="N1784" s="11" t="s">
        <v>367</v>
      </c>
      <c r="O1784" s="11" t="s">
        <v>19</v>
      </c>
      <c r="Q1784"/>
    </row>
    <row r="1785" spans="1:17" ht="15.6" x14ac:dyDescent="0.3">
      <c r="A1785" s="15">
        <v>10308</v>
      </c>
      <c r="B1785" s="14">
        <v>38275</v>
      </c>
      <c r="C1785" s="14" t="s">
        <v>339</v>
      </c>
      <c r="D1785" s="15" t="s">
        <v>189</v>
      </c>
      <c r="E1785" s="15" t="s">
        <v>190</v>
      </c>
      <c r="F1785" s="15" t="s">
        <v>15</v>
      </c>
      <c r="G1785" s="15" t="s">
        <v>16</v>
      </c>
      <c r="H1785" s="15" t="s">
        <v>61</v>
      </c>
      <c r="I1785" s="15" t="s">
        <v>62</v>
      </c>
      <c r="J1785" s="15" t="s">
        <v>261</v>
      </c>
      <c r="K1785" s="15">
        <v>21</v>
      </c>
      <c r="L1785" s="16">
        <v>15</v>
      </c>
      <c r="M1785" s="17">
        <v>315</v>
      </c>
      <c r="N1785" s="15" t="s">
        <v>367</v>
      </c>
      <c r="O1785" s="15" t="s">
        <v>19</v>
      </c>
      <c r="Q1785"/>
    </row>
    <row r="1786" spans="1:17" ht="15.6" x14ac:dyDescent="0.3">
      <c r="A1786" s="11">
        <v>10308</v>
      </c>
      <c r="B1786" s="10">
        <v>38275</v>
      </c>
      <c r="C1786" s="10" t="s">
        <v>339</v>
      </c>
      <c r="D1786" s="11" t="s">
        <v>189</v>
      </c>
      <c r="E1786" s="11" t="s">
        <v>190</v>
      </c>
      <c r="F1786" s="11" t="s">
        <v>15</v>
      </c>
      <c r="G1786" s="11" t="s">
        <v>16</v>
      </c>
      <c r="H1786" s="11" t="s">
        <v>61</v>
      </c>
      <c r="I1786" s="11" t="s">
        <v>66</v>
      </c>
      <c r="J1786" s="11" t="s">
        <v>265</v>
      </c>
      <c r="K1786" s="11">
        <v>35</v>
      </c>
      <c r="L1786" s="12">
        <v>35</v>
      </c>
      <c r="M1786" s="13">
        <v>1225</v>
      </c>
      <c r="N1786" s="11" t="s">
        <v>367</v>
      </c>
      <c r="O1786" s="11" t="s">
        <v>19</v>
      </c>
      <c r="Q1786"/>
    </row>
    <row r="1787" spans="1:17" ht="15.6" x14ac:dyDescent="0.3">
      <c r="A1787" s="15">
        <v>10308</v>
      </c>
      <c r="B1787" s="14">
        <v>38275</v>
      </c>
      <c r="C1787" s="14" t="s">
        <v>339</v>
      </c>
      <c r="D1787" s="15" t="s">
        <v>189</v>
      </c>
      <c r="E1787" s="15" t="s">
        <v>190</v>
      </c>
      <c r="F1787" s="15" t="s">
        <v>15</v>
      </c>
      <c r="G1787" s="15" t="s">
        <v>16</v>
      </c>
      <c r="H1787" s="15" t="s">
        <v>61</v>
      </c>
      <c r="I1787" s="15" t="s">
        <v>62</v>
      </c>
      <c r="J1787" s="15" t="s">
        <v>261</v>
      </c>
      <c r="K1787" s="15">
        <v>31</v>
      </c>
      <c r="L1787" s="16">
        <v>15</v>
      </c>
      <c r="M1787" s="17">
        <v>465</v>
      </c>
      <c r="N1787" s="15" t="s">
        <v>367</v>
      </c>
      <c r="O1787" s="15" t="s">
        <v>19</v>
      </c>
      <c r="Q1787"/>
    </row>
    <row r="1788" spans="1:17" ht="15.6" x14ac:dyDescent="0.3">
      <c r="A1788" s="11">
        <v>10308</v>
      </c>
      <c r="B1788" s="10">
        <v>38275</v>
      </c>
      <c r="C1788" s="10" t="s">
        <v>339</v>
      </c>
      <c r="D1788" s="11" t="s">
        <v>189</v>
      </c>
      <c r="E1788" s="11" t="s">
        <v>190</v>
      </c>
      <c r="F1788" s="11" t="s">
        <v>15</v>
      </c>
      <c r="G1788" s="11" t="s">
        <v>16</v>
      </c>
      <c r="H1788" s="11" t="s">
        <v>61</v>
      </c>
      <c r="I1788" s="11" t="s">
        <v>62</v>
      </c>
      <c r="J1788" s="11" t="s">
        <v>261</v>
      </c>
      <c r="K1788" s="11">
        <v>21</v>
      </c>
      <c r="L1788" s="12">
        <v>15</v>
      </c>
      <c r="M1788" s="13">
        <v>315</v>
      </c>
      <c r="N1788" s="11" t="s">
        <v>367</v>
      </c>
      <c r="O1788" s="11" t="s">
        <v>19</v>
      </c>
      <c r="Q1788"/>
    </row>
    <row r="1789" spans="1:17" ht="15.6" x14ac:dyDescent="0.3">
      <c r="A1789" s="15">
        <v>10308</v>
      </c>
      <c r="B1789" s="14">
        <v>38275</v>
      </c>
      <c r="C1789" s="14" t="s">
        <v>339</v>
      </c>
      <c r="D1789" s="15" t="s">
        <v>189</v>
      </c>
      <c r="E1789" s="15" t="s">
        <v>190</v>
      </c>
      <c r="F1789" s="15" t="s">
        <v>15</v>
      </c>
      <c r="G1789" s="15" t="s">
        <v>16</v>
      </c>
      <c r="H1789" s="15" t="s">
        <v>61</v>
      </c>
      <c r="I1789" s="15" t="s">
        <v>66</v>
      </c>
      <c r="J1789" s="15" t="s">
        <v>265</v>
      </c>
      <c r="K1789" s="15">
        <v>39</v>
      </c>
      <c r="L1789" s="16">
        <v>35</v>
      </c>
      <c r="M1789" s="17">
        <v>1365</v>
      </c>
      <c r="N1789" s="15" t="s">
        <v>367</v>
      </c>
      <c r="O1789" s="15" t="s">
        <v>19</v>
      </c>
      <c r="Q1789"/>
    </row>
    <row r="1790" spans="1:17" ht="15.6" x14ac:dyDescent="0.3">
      <c r="A1790" s="11">
        <v>10310</v>
      </c>
      <c r="B1790" s="10">
        <v>38276</v>
      </c>
      <c r="C1790" s="10" t="s">
        <v>336</v>
      </c>
      <c r="D1790" s="11" t="s">
        <v>183</v>
      </c>
      <c r="E1790" s="11" t="s">
        <v>184</v>
      </c>
      <c r="F1790" s="11" t="s">
        <v>24</v>
      </c>
      <c r="G1790" s="11" t="s">
        <v>25</v>
      </c>
      <c r="H1790" s="11" t="s">
        <v>32</v>
      </c>
      <c r="I1790" s="11" t="s">
        <v>44</v>
      </c>
      <c r="J1790" s="11" t="s">
        <v>252</v>
      </c>
      <c r="K1790" s="11">
        <v>33</v>
      </c>
      <c r="L1790" s="12">
        <v>55</v>
      </c>
      <c r="M1790" s="13">
        <v>1815</v>
      </c>
      <c r="N1790" s="11" t="s">
        <v>367</v>
      </c>
      <c r="O1790" s="11" t="s">
        <v>19</v>
      </c>
      <c r="Q1790"/>
    </row>
    <row r="1791" spans="1:17" ht="15.6" x14ac:dyDescent="0.3">
      <c r="A1791" s="15">
        <v>10310</v>
      </c>
      <c r="B1791" s="14">
        <v>38276</v>
      </c>
      <c r="C1791" s="14" t="s">
        <v>336</v>
      </c>
      <c r="D1791" s="15" t="s">
        <v>183</v>
      </c>
      <c r="E1791" s="15" t="s">
        <v>184</v>
      </c>
      <c r="F1791" s="15" t="s">
        <v>24</v>
      </c>
      <c r="G1791" s="15" t="s">
        <v>25</v>
      </c>
      <c r="H1791" s="15" t="s">
        <v>32</v>
      </c>
      <c r="I1791" s="15" t="s">
        <v>44</v>
      </c>
      <c r="J1791" s="15" t="s">
        <v>252</v>
      </c>
      <c r="K1791" s="15">
        <v>24</v>
      </c>
      <c r="L1791" s="16">
        <v>55</v>
      </c>
      <c r="M1791" s="17">
        <v>1320</v>
      </c>
      <c r="N1791" s="15" t="s">
        <v>367</v>
      </c>
      <c r="O1791" s="15" t="s">
        <v>19</v>
      </c>
      <c r="Q1791"/>
    </row>
    <row r="1792" spans="1:17" ht="15.6" x14ac:dyDescent="0.3">
      <c r="A1792" s="11">
        <v>10310</v>
      </c>
      <c r="B1792" s="10">
        <v>38276</v>
      </c>
      <c r="C1792" s="10" t="s">
        <v>336</v>
      </c>
      <c r="D1792" s="11" t="s">
        <v>183</v>
      </c>
      <c r="E1792" s="11" t="s">
        <v>184</v>
      </c>
      <c r="F1792" s="11" t="s">
        <v>24</v>
      </c>
      <c r="G1792" s="11" t="s">
        <v>25</v>
      </c>
      <c r="H1792" s="11" t="s">
        <v>32</v>
      </c>
      <c r="I1792" s="11" t="s">
        <v>44</v>
      </c>
      <c r="J1792" s="11" t="s">
        <v>252</v>
      </c>
      <c r="K1792" s="11">
        <v>49</v>
      </c>
      <c r="L1792" s="12">
        <v>55</v>
      </c>
      <c r="M1792" s="13">
        <v>2695</v>
      </c>
      <c r="N1792" s="11" t="s">
        <v>367</v>
      </c>
      <c r="O1792" s="11" t="s">
        <v>19</v>
      </c>
      <c r="Q1792"/>
    </row>
    <row r="1793" spans="1:17" ht="15.6" x14ac:dyDescent="0.3">
      <c r="A1793" s="15">
        <v>10310</v>
      </c>
      <c r="B1793" s="14">
        <v>38276</v>
      </c>
      <c r="C1793" s="14" t="s">
        <v>336</v>
      </c>
      <c r="D1793" s="15" t="s">
        <v>183</v>
      </c>
      <c r="E1793" s="15" t="s">
        <v>184</v>
      </c>
      <c r="F1793" s="15" t="s">
        <v>24</v>
      </c>
      <c r="G1793" s="15" t="s">
        <v>25</v>
      </c>
      <c r="H1793" s="15" t="s">
        <v>32</v>
      </c>
      <c r="I1793" s="15" t="s">
        <v>33</v>
      </c>
      <c r="J1793" s="15" t="s">
        <v>245</v>
      </c>
      <c r="K1793" s="15">
        <v>25</v>
      </c>
      <c r="L1793" s="16">
        <v>85</v>
      </c>
      <c r="M1793" s="17">
        <v>2125</v>
      </c>
      <c r="N1793" s="15" t="s">
        <v>367</v>
      </c>
      <c r="O1793" s="15" t="s">
        <v>19</v>
      </c>
      <c r="Q1793"/>
    </row>
    <row r="1794" spans="1:17" ht="15.6" x14ac:dyDescent="0.3">
      <c r="A1794" s="11">
        <v>10310</v>
      </c>
      <c r="B1794" s="10">
        <v>38276</v>
      </c>
      <c r="C1794" s="10" t="s">
        <v>336</v>
      </c>
      <c r="D1794" s="11" t="s">
        <v>183</v>
      </c>
      <c r="E1794" s="11" t="s">
        <v>184</v>
      </c>
      <c r="F1794" s="11" t="s">
        <v>24</v>
      </c>
      <c r="G1794" s="11" t="s">
        <v>25</v>
      </c>
      <c r="H1794" s="11" t="s">
        <v>32</v>
      </c>
      <c r="I1794" s="11" t="s">
        <v>33</v>
      </c>
      <c r="J1794" s="11" t="s">
        <v>245</v>
      </c>
      <c r="K1794" s="11">
        <v>37</v>
      </c>
      <c r="L1794" s="12">
        <v>85</v>
      </c>
      <c r="M1794" s="13">
        <v>3145</v>
      </c>
      <c r="N1794" s="11" t="s">
        <v>367</v>
      </c>
      <c r="O1794" s="11" t="s">
        <v>19</v>
      </c>
      <c r="Q1794"/>
    </row>
    <row r="1795" spans="1:17" ht="15.6" x14ac:dyDescent="0.3">
      <c r="A1795" s="15">
        <v>10311</v>
      </c>
      <c r="B1795" s="14">
        <v>38276</v>
      </c>
      <c r="C1795" s="14" t="s">
        <v>279</v>
      </c>
      <c r="D1795" s="15" t="s">
        <v>41</v>
      </c>
      <c r="E1795" s="15" t="s">
        <v>42</v>
      </c>
      <c r="F1795" s="15" t="s">
        <v>43</v>
      </c>
      <c r="G1795" s="15" t="s">
        <v>25</v>
      </c>
      <c r="H1795" s="15" t="s">
        <v>32</v>
      </c>
      <c r="I1795" s="15" t="s">
        <v>44</v>
      </c>
      <c r="J1795" s="15" t="s">
        <v>252</v>
      </c>
      <c r="K1795" s="15">
        <v>29</v>
      </c>
      <c r="L1795" s="16">
        <v>55</v>
      </c>
      <c r="M1795" s="17">
        <v>1595</v>
      </c>
      <c r="N1795" s="15" t="s">
        <v>367</v>
      </c>
      <c r="O1795" s="15" t="s">
        <v>19</v>
      </c>
      <c r="Q1795"/>
    </row>
    <row r="1796" spans="1:17" ht="15.6" x14ac:dyDescent="0.3">
      <c r="A1796" s="11">
        <v>10310</v>
      </c>
      <c r="B1796" s="10">
        <v>38276</v>
      </c>
      <c r="C1796" s="10" t="s">
        <v>336</v>
      </c>
      <c r="D1796" s="11" t="s">
        <v>183</v>
      </c>
      <c r="E1796" s="11" t="s">
        <v>184</v>
      </c>
      <c r="F1796" s="11" t="s">
        <v>24</v>
      </c>
      <c r="G1796" s="11" t="s">
        <v>25</v>
      </c>
      <c r="H1796" s="11" t="s">
        <v>32</v>
      </c>
      <c r="I1796" s="11" t="s">
        <v>33</v>
      </c>
      <c r="J1796" s="11" t="s">
        <v>245</v>
      </c>
      <c r="K1796" s="11">
        <v>20</v>
      </c>
      <c r="L1796" s="12">
        <v>85</v>
      </c>
      <c r="M1796" s="13">
        <v>1700</v>
      </c>
      <c r="N1796" s="11" t="s">
        <v>367</v>
      </c>
      <c r="O1796" s="11" t="s">
        <v>19</v>
      </c>
      <c r="Q1796"/>
    </row>
    <row r="1797" spans="1:17" ht="15.6" x14ac:dyDescent="0.3">
      <c r="A1797" s="15">
        <v>10310</v>
      </c>
      <c r="B1797" s="14">
        <v>38276</v>
      </c>
      <c r="C1797" s="14" t="s">
        <v>336</v>
      </c>
      <c r="D1797" s="15" t="s">
        <v>183</v>
      </c>
      <c r="E1797" s="15" t="s">
        <v>184</v>
      </c>
      <c r="F1797" s="15" t="s">
        <v>24</v>
      </c>
      <c r="G1797" s="15" t="s">
        <v>25</v>
      </c>
      <c r="H1797" s="15" t="s">
        <v>32</v>
      </c>
      <c r="I1797" s="15" t="s">
        <v>44</v>
      </c>
      <c r="J1797" s="15" t="s">
        <v>252</v>
      </c>
      <c r="K1797" s="15">
        <v>24</v>
      </c>
      <c r="L1797" s="16">
        <v>55</v>
      </c>
      <c r="M1797" s="17">
        <v>1320</v>
      </c>
      <c r="N1797" s="15" t="s">
        <v>367</v>
      </c>
      <c r="O1797" s="15" t="s">
        <v>19</v>
      </c>
      <c r="Q1797"/>
    </row>
    <row r="1798" spans="1:17" ht="15.6" x14ac:dyDescent="0.3">
      <c r="A1798" s="11">
        <v>10311</v>
      </c>
      <c r="B1798" s="10">
        <v>38276</v>
      </c>
      <c r="C1798" s="10" t="s">
        <v>279</v>
      </c>
      <c r="D1798" s="11" t="s">
        <v>41</v>
      </c>
      <c r="E1798" s="11" t="s">
        <v>42</v>
      </c>
      <c r="F1798" s="11" t="s">
        <v>43</v>
      </c>
      <c r="G1798" s="11" t="s">
        <v>25</v>
      </c>
      <c r="H1798" s="11" t="s">
        <v>32</v>
      </c>
      <c r="I1798" s="11" t="s">
        <v>46</v>
      </c>
      <c r="J1798" s="11" t="s">
        <v>254</v>
      </c>
      <c r="K1798" s="11">
        <v>43</v>
      </c>
      <c r="L1798" s="12">
        <v>90</v>
      </c>
      <c r="M1798" s="13">
        <v>3870</v>
      </c>
      <c r="N1798" s="11" t="s">
        <v>367</v>
      </c>
      <c r="O1798" s="11" t="s">
        <v>19</v>
      </c>
      <c r="Q1798"/>
    </row>
    <row r="1799" spans="1:17" ht="15.6" x14ac:dyDescent="0.3">
      <c r="A1799" s="15">
        <v>10310</v>
      </c>
      <c r="B1799" s="14">
        <v>38276</v>
      </c>
      <c r="C1799" s="14" t="s">
        <v>336</v>
      </c>
      <c r="D1799" s="15" t="s">
        <v>183</v>
      </c>
      <c r="E1799" s="15" t="s">
        <v>184</v>
      </c>
      <c r="F1799" s="15" t="s">
        <v>24</v>
      </c>
      <c r="G1799" s="15" t="s">
        <v>25</v>
      </c>
      <c r="H1799" s="15" t="s">
        <v>32</v>
      </c>
      <c r="I1799" s="15" t="s">
        <v>45</v>
      </c>
      <c r="J1799" s="15" t="s">
        <v>253</v>
      </c>
      <c r="K1799" s="15">
        <v>48</v>
      </c>
      <c r="L1799" s="16">
        <v>35</v>
      </c>
      <c r="M1799" s="17">
        <v>1680</v>
      </c>
      <c r="N1799" s="15" t="s">
        <v>367</v>
      </c>
      <c r="O1799" s="15" t="s">
        <v>19</v>
      </c>
      <c r="Q1799"/>
    </row>
    <row r="1800" spans="1:17" ht="15.6" x14ac:dyDescent="0.3">
      <c r="A1800" s="11">
        <v>10310</v>
      </c>
      <c r="B1800" s="10">
        <v>38276</v>
      </c>
      <c r="C1800" s="10" t="s">
        <v>336</v>
      </c>
      <c r="D1800" s="11" t="s">
        <v>183</v>
      </c>
      <c r="E1800" s="11" t="s">
        <v>184</v>
      </c>
      <c r="F1800" s="11" t="s">
        <v>24</v>
      </c>
      <c r="G1800" s="11" t="s">
        <v>25</v>
      </c>
      <c r="H1800" s="11" t="s">
        <v>32</v>
      </c>
      <c r="I1800" s="11" t="s">
        <v>46</v>
      </c>
      <c r="J1800" s="11" t="s">
        <v>254</v>
      </c>
      <c r="K1800" s="11">
        <v>27</v>
      </c>
      <c r="L1800" s="12">
        <v>90</v>
      </c>
      <c r="M1800" s="13">
        <v>2430</v>
      </c>
      <c r="N1800" s="11" t="s">
        <v>367</v>
      </c>
      <c r="O1800" s="11" t="s">
        <v>19</v>
      </c>
      <c r="Q1800"/>
    </row>
    <row r="1801" spans="1:17" ht="15.6" x14ac:dyDescent="0.3">
      <c r="A1801" s="15">
        <v>10310</v>
      </c>
      <c r="B1801" s="14">
        <v>38276</v>
      </c>
      <c r="C1801" s="14" t="s">
        <v>336</v>
      </c>
      <c r="D1801" s="15" t="s">
        <v>183</v>
      </c>
      <c r="E1801" s="15" t="s">
        <v>184</v>
      </c>
      <c r="F1801" s="15" t="s">
        <v>24</v>
      </c>
      <c r="G1801" s="15" t="s">
        <v>25</v>
      </c>
      <c r="H1801" s="15" t="s">
        <v>32</v>
      </c>
      <c r="I1801" s="15" t="s">
        <v>46</v>
      </c>
      <c r="J1801" s="15" t="s">
        <v>254</v>
      </c>
      <c r="K1801" s="15">
        <v>49</v>
      </c>
      <c r="L1801" s="16">
        <v>90</v>
      </c>
      <c r="M1801" s="17">
        <v>4410</v>
      </c>
      <c r="N1801" s="15" t="s">
        <v>367</v>
      </c>
      <c r="O1801" s="15" t="s">
        <v>19</v>
      </c>
      <c r="Q1801"/>
    </row>
    <row r="1802" spans="1:17" ht="15.6" x14ac:dyDescent="0.3">
      <c r="A1802" s="11">
        <v>10311</v>
      </c>
      <c r="B1802" s="10">
        <v>38276</v>
      </c>
      <c r="C1802" s="10" t="s">
        <v>279</v>
      </c>
      <c r="D1802" s="11" t="s">
        <v>41</v>
      </c>
      <c r="E1802" s="11" t="s">
        <v>42</v>
      </c>
      <c r="F1802" s="11" t="s">
        <v>43</v>
      </c>
      <c r="G1802" s="11" t="s">
        <v>25</v>
      </c>
      <c r="H1802" s="11" t="s">
        <v>32</v>
      </c>
      <c r="I1802" s="11" t="s">
        <v>46</v>
      </c>
      <c r="J1802" s="11" t="s">
        <v>254</v>
      </c>
      <c r="K1802" s="11">
        <v>32</v>
      </c>
      <c r="L1802" s="12">
        <v>90</v>
      </c>
      <c r="M1802" s="13">
        <v>2880</v>
      </c>
      <c r="N1802" s="11" t="s">
        <v>367</v>
      </c>
      <c r="O1802" s="11" t="s">
        <v>19</v>
      </c>
      <c r="Q1802"/>
    </row>
    <row r="1803" spans="1:17" ht="15.6" x14ac:dyDescent="0.3">
      <c r="A1803" s="15">
        <v>10310</v>
      </c>
      <c r="B1803" s="14">
        <v>38276</v>
      </c>
      <c r="C1803" s="14" t="s">
        <v>336</v>
      </c>
      <c r="D1803" s="15" t="s">
        <v>183</v>
      </c>
      <c r="E1803" s="15" t="s">
        <v>184</v>
      </c>
      <c r="F1803" s="15" t="s">
        <v>24</v>
      </c>
      <c r="G1803" s="15" t="s">
        <v>25</v>
      </c>
      <c r="H1803" s="15" t="s">
        <v>68</v>
      </c>
      <c r="I1803" s="15" t="s">
        <v>76</v>
      </c>
      <c r="J1803" s="15" t="s">
        <v>269</v>
      </c>
      <c r="K1803" s="15">
        <v>42</v>
      </c>
      <c r="L1803" s="16">
        <v>30</v>
      </c>
      <c r="M1803" s="17">
        <v>1260</v>
      </c>
      <c r="N1803" s="15" t="s">
        <v>367</v>
      </c>
      <c r="O1803" s="15" t="s">
        <v>19</v>
      </c>
      <c r="Q1803"/>
    </row>
    <row r="1804" spans="1:17" ht="15.6" x14ac:dyDescent="0.3">
      <c r="A1804" s="11">
        <v>10311</v>
      </c>
      <c r="B1804" s="10">
        <v>38276</v>
      </c>
      <c r="C1804" s="10" t="s">
        <v>279</v>
      </c>
      <c r="D1804" s="11" t="s">
        <v>41</v>
      </c>
      <c r="E1804" s="11" t="s">
        <v>42</v>
      </c>
      <c r="F1804" s="11" t="s">
        <v>43</v>
      </c>
      <c r="G1804" s="11" t="s">
        <v>25</v>
      </c>
      <c r="H1804" s="11" t="s">
        <v>17</v>
      </c>
      <c r="I1804" s="11" t="s">
        <v>82</v>
      </c>
      <c r="J1804" s="11" t="s">
        <v>270</v>
      </c>
      <c r="K1804" s="11">
        <v>41</v>
      </c>
      <c r="L1804" s="12">
        <v>75</v>
      </c>
      <c r="M1804" s="13">
        <v>3075</v>
      </c>
      <c r="N1804" s="11" t="s">
        <v>367</v>
      </c>
      <c r="O1804" s="11" t="s">
        <v>19</v>
      </c>
      <c r="Q1804"/>
    </row>
    <row r="1805" spans="1:17" ht="15.6" x14ac:dyDescent="0.3">
      <c r="A1805" s="15">
        <v>10310</v>
      </c>
      <c r="B1805" s="14">
        <v>38276</v>
      </c>
      <c r="C1805" s="14" t="s">
        <v>336</v>
      </c>
      <c r="D1805" s="15" t="s">
        <v>183</v>
      </c>
      <c r="E1805" s="15" t="s">
        <v>184</v>
      </c>
      <c r="F1805" s="15" t="s">
        <v>24</v>
      </c>
      <c r="G1805" s="15" t="s">
        <v>25</v>
      </c>
      <c r="H1805" s="15" t="s">
        <v>32</v>
      </c>
      <c r="I1805" s="15" t="s">
        <v>46</v>
      </c>
      <c r="J1805" s="15" t="s">
        <v>254</v>
      </c>
      <c r="K1805" s="15">
        <v>40</v>
      </c>
      <c r="L1805" s="16">
        <v>90</v>
      </c>
      <c r="M1805" s="17">
        <v>3600</v>
      </c>
      <c r="N1805" s="15" t="s">
        <v>367</v>
      </c>
      <c r="O1805" s="15" t="s">
        <v>19</v>
      </c>
      <c r="Q1805"/>
    </row>
    <row r="1806" spans="1:17" ht="15.6" x14ac:dyDescent="0.3">
      <c r="A1806" s="11">
        <v>10311</v>
      </c>
      <c r="B1806" s="10">
        <v>38276</v>
      </c>
      <c r="C1806" s="10" t="s">
        <v>279</v>
      </c>
      <c r="D1806" s="11" t="s">
        <v>41</v>
      </c>
      <c r="E1806" s="11" t="s">
        <v>42</v>
      </c>
      <c r="F1806" s="11" t="s">
        <v>43</v>
      </c>
      <c r="G1806" s="11" t="s">
        <v>25</v>
      </c>
      <c r="H1806" s="11" t="s">
        <v>32</v>
      </c>
      <c r="I1806" s="11" t="s">
        <v>44</v>
      </c>
      <c r="J1806" s="11" t="s">
        <v>252</v>
      </c>
      <c r="K1806" s="11">
        <v>25</v>
      </c>
      <c r="L1806" s="12">
        <v>55</v>
      </c>
      <c r="M1806" s="13">
        <v>1375</v>
      </c>
      <c r="N1806" s="11" t="s">
        <v>367</v>
      </c>
      <c r="O1806" s="11" t="s">
        <v>19</v>
      </c>
      <c r="Q1806"/>
    </row>
    <row r="1807" spans="1:17" ht="15.6" x14ac:dyDescent="0.3">
      <c r="A1807" s="15">
        <v>10311</v>
      </c>
      <c r="B1807" s="14">
        <v>38276</v>
      </c>
      <c r="C1807" s="14" t="s">
        <v>279</v>
      </c>
      <c r="D1807" s="15" t="s">
        <v>41</v>
      </c>
      <c r="E1807" s="15" t="s">
        <v>42</v>
      </c>
      <c r="F1807" s="15" t="s">
        <v>43</v>
      </c>
      <c r="G1807" s="15" t="s">
        <v>25</v>
      </c>
      <c r="H1807" s="15" t="s">
        <v>32</v>
      </c>
      <c r="I1807" s="15" t="s">
        <v>34</v>
      </c>
      <c r="J1807" s="15" t="s">
        <v>246</v>
      </c>
      <c r="K1807" s="15">
        <v>26</v>
      </c>
      <c r="L1807" s="16">
        <v>80</v>
      </c>
      <c r="M1807" s="17">
        <v>2080</v>
      </c>
      <c r="N1807" s="15" t="s">
        <v>367</v>
      </c>
      <c r="O1807" s="15" t="s">
        <v>19</v>
      </c>
      <c r="Q1807"/>
    </row>
    <row r="1808" spans="1:17" ht="15.6" x14ac:dyDescent="0.3">
      <c r="A1808" s="11">
        <v>10311</v>
      </c>
      <c r="B1808" s="10">
        <v>38276</v>
      </c>
      <c r="C1808" s="10" t="s">
        <v>279</v>
      </c>
      <c r="D1808" s="11" t="s">
        <v>41</v>
      </c>
      <c r="E1808" s="11" t="s">
        <v>42</v>
      </c>
      <c r="F1808" s="11" t="s">
        <v>43</v>
      </c>
      <c r="G1808" s="11" t="s">
        <v>25</v>
      </c>
      <c r="H1808" s="11" t="s">
        <v>32</v>
      </c>
      <c r="I1808" s="11" t="s">
        <v>33</v>
      </c>
      <c r="J1808" s="11" t="s">
        <v>245</v>
      </c>
      <c r="K1808" s="11">
        <v>45</v>
      </c>
      <c r="L1808" s="12">
        <v>85</v>
      </c>
      <c r="M1808" s="13">
        <v>3825</v>
      </c>
      <c r="N1808" s="11" t="s">
        <v>367</v>
      </c>
      <c r="O1808" s="11" t="s">
        <v>19</v>
      </c>
      <c r="Q1808"/>
    </row>
    <row r="1809" spans="1:17" ht="15.6" x14ac:dyDescent="0.3">
      <c r="A1809" s="15">
        <v>10311</v>
      </c>
      <c r="B1809" s="14">
        <v>38276</v>
      </c>
      <c r="C1809" s="14" t="s">
        <v>279</v>
      </c>
      <c r="D1809" s="15" t="s">
        <v>41</v>
      </c>
      <c r="E1809" s="15" t="s">
        <v>42</v>
      </c>
      <c r="F1809" s="15" t="s">
        <v>43</v>
      </c>
      <c r="G1809" s="15" t="s">
        <v>25</v>
      </c>
      <c r="H1809" s="15" t="s">
        <v>32</v>
      </c>
      <c r="I1809" s="15" t="s">
        <v>34</v>
      </c>
      <c r="J1809" s="15" t="s">
        <v>246</v>
      </c>
      <c r="K1809" s="15">
        <v>28</v>
      </c>
      <c r="L1809" s="16">
        <v>80</v>
      </c>
      <c r="M1809" s="17">
        <v>2240</v>
      </c>
      <c r="N1809" s="15" t="s">
        <v>367</v>
      </c>
      <c r="O1809" s="15" t="s">
        <v>19</v>
      </c>
      <c r="Q1809"/>
    </row>
    <row r="1810" spans="1:17" ht="15.6" x14ac:dyDescent="0.3">
      <c r="A1810" s="11">
        <v>10311</v>
      </c>
      <c r="B1810" s="10">
        <v>38276</v>
      </c>
      <c r="C1810" s="10" t="s">
        <v>279</v>
      </c>
      <c r="D1810" s="11" t="s">
        <v>41</v>
      </c>
      <c r="E1810" s="11" t="s">
        <v>42</v>
      </c>
      <c r="F1810" s="11" t="s">
        <v>43</v>
      </c>
      <c r="G1810" s="11" t="s">
        <v>25</v>
      </c>
      <c r="H1810" s="11" t="s">
        <v>32</v>
      </c>
      <c r="I1810" s="11" t="s">
        <v>45</v>
      </c>
      <c r="J1810" s="11" t="s">
        <v>253</v>
      </c>
      <c r="K1810" s="11">
        <v>43</v>
      </c>
      <c r="L1810" s="12">
        <v>35</v>
      </c>
      <c r="M1810" s="13">
        <v>1505</v>
      </c>
      <c r="N1810" s="11" t="s">
        <v>367</v>
      </c>
      <c r="O1810" s="11" t="s">
        <v>19</v>
      </c>
      <c r="Q1810"/>
    </row>
    <row r="1811" spans="1:17" ht="15.6" x14ac:dyDescent="0.3">
      <c r="A1811" s="15">
        <v>10310</v>
      </c>
      <c r="B1811" s="14">
        <v>38276</v>
      </c>
      <c r="C1811" s="14" t="s">
        <v>336</v>
      </c>
      <c r="D1811" s="15" t="s">
        <v>183</v>
      </c>
      <c r="E1811" s="15" t="s">
        <v>184</v>
      </c>
      <c r="F1811" s="15" t="s">
        <v>24</v>
      </c>
      <c r="G1811" s="15" t="s">
        <v>25</v>
      </c>
      <c r="H1811" s="15" t="s">
        <v>32</v>
      </c>
      <c r="I1811" s="15" t="s">
        <v>46</v>
      </c>
      <c r="J1811" s="15" t="s">
        <v>254</v>
      </c>
      <c r="K1811" s="15">
        <v>33</v>
      </c>
      <c r="L1811" s="16">
        <v>90</v>
      </c>
      <c r="M1811" s="17">
        <v>2970</v>
      </c>
      <c r="N1811" s="15" t="s">
        <v>367</v>
      </c>
      <c r="O1811" s="15" t="s">
        <v>19</v>
      </c>
      <c r="Q1811"/>
    </row>
    <row r="1812" spans="1:17" ht="15.6" x14ac:dyDescent="0.3">
      <c r="A1812" s="11">
        <v>10311</v>
      </c>
      <c r="B1812" s="10">
        <v>38276</v>
      </c>
      <c r="C1812" s="10" t="s">
        <v>279</v>
      </c>
      <c r="D1812" s="11" t="s">
        <v>41</v>
      </c>
      <c r="E1812" s="11" t="s">
        <v>42</v>
      </c>
      <c r="F1812" s="11" t="s">
        <v>43</v>
      </c>
      <c r="G1812" s="11" t="s">
        <v>25</v>
      </c>
      <c r="H1812" s="11" t="s">
        <v>32</v>
      </c>
      <c r="I1812" s="11" t="s">
        <v>46</v>
      </c>
      <c r="J1812" s="11" t="s">
        <v>254</v>
      </c>
      <c r="K1812" s="11">
        <v>25</v>
      </c>
      <c r="L1812" s="12">
        <v>90</v>
      </c>
      <c r="M1812" s="13">
        <v>2250</v>
      </c>
      <c r="N1812" s="11" t="s">
        <v>367</v>
      </c>
      <c r="O1812" s="11" t="s">
        <v>19</v>
      </c>
      <c r="Q1812"/>
    </row>
    <row r="1813" spans="1:17" ht="15.6" x14ac:dyDescent="0.3">
      <c r="A1813" s="15">
        <v>10310</v>
      </c>
      <c r="B1813" s="14">
        <v>38276</v>
      </c>
      <c r="C1813" s="14" t="s">
        <v>336</v>
      </c>
      <c r="D1813" s="15" t="s">
        <v>183</v>
      </c>
      <c r="E1813" s="15" t="s">
        <v>184</v>
      </c>
      <c r="F1813" s="15" t="s">
        <v>24</v>
      </c>
      <c r="G1813" s="15" t="s">
        <v>25</v>
      </c>
      <c r="H1813" s="15" t="s">
        <v>32</v>
      </c>
      <c r="I1813" s="15" t="s">
        <v>46</v>
      </c>
      <c r="J1813" s="15" t="s">
        <v>254</v>
      </c>
      <c r="K1813" s="15">
        <v>38</v>
      </c>
      <c r="L1813" s="16">
        <v>90</v>
      </c>
      <c r="M1813" s="17">
        <v>3420</v>
      </c>
      <c r="N1813" s="15" t="s">
        <v>367</v>
      </c>
      <c r="O1813" s="15" t="s">
        <v>19</v>
      </c>
      <c r="Q1813"/>
    </row>
    <row r="1814" spans="1:17" ht="15.6" x14ac:dyDescent="0.3">
      <c r="A1814" s="11">
        <v>10311</v>
      </c>
      <c r="B1814" s="10">
        <v>38276</v>
      </c>
      <c r="C1814" s="10" t="s">
        <v>279</v>
      </c>
      <c r="D1814" s="11" t="s">
        <v>41</v>
      </c>
      <c r="E1814" s="11" t="s">
        <v>42</v>
      </c>
      <c r="F1814" s="11" t="s">
        <v>43</v>
      </c>
      <c r="G1814" s="11" t="s">
        <v>25</v>
      </c>
      <c r="H1814" s="11" t="s">
        <v>32</v>
      </c>
      <c r="I1814" s="11" t="s">
        <v>34</v>
      </c>
      <c r="J1814" s="11" t="s">
        <v>246</v>
      </c>
      <c r="K1814" s="11">
        <v>46</v>
      </c>
      <c r="L1814" s="12">
        <v>80</v>
      </c>
      <c r="M1814" s="13">
        <v>3680</v>
      </c>
      <c r="N1814" s="11" t="s">
        <v>367</v>
      </c>
      <c r="O1814" s="11" t="s">
        <v>19</v>
      </c>
      <c r="Q1814"/>
    </row>
    <row r="1815" spans="1:17" ht="15.6" x14ac:dyDescent="0.3">
      <c r="A1815" s="15">
        <v>10310</v>
      </c>
      <c r="B1815" s="14">
        <v>38276</v>
      </c>
      <c r="C1815" s="14" t="s">
        <v>336</v>
      </c>
      <c r="D1815" s="15" t="s">
        <v>183</v>
      </c>
      <c r="E1815" s="15" t="s">
        <v>184</v>
      </c>
      <c r="F1815" s="15" t="s">
        <v>24</v>
      </c>
      <c r="G1815" s="15" t="s">
        <v>25</v>
      </c>
      <c r="H1815" s="15" t="s">
        <v>32</v>
      </c>
      <c r="I1815" s="15" t="s">
        <v>33</v>
      </c>
      <c r="J1815" s="15" t="s">
        <v>245</v>
      </c>
      <c r="K1815" s="15">
        <v>45</v>
      </c>
      <c r="L1815" s="16">
        <v>85</v>
      </c>
      <c r="M1815" s="17">
        <v>3825</v>
      </c>
      <c r="N1815" s="15" t="s">
        <v>367</v>
      </c>
      <c r="O1815" s="15" t="s">
        <v>19</v>
      </c>
      <c r="Q1815"/>
    </row>
    <row r="1816" spans="1:17" ht="15.6" x14ac:dyDescent="0.3">
      <c r="A1816" s="11">
        <v>10310</v>
      </c>
      <c r="B1816" s="10">
        <v>38276</v>
      </c>
      <c r="C1816" s="10" t="s">
        <v>336</v>
      </c>
      <c r="D1816" s="11" t="s">
        <v>183</v>
      </c>
      <c r="E1816" s="11" t="s">
        <v>184</v>
      </c>
      <c r="F1816" s="11" t="s">
        <v>24</v>
      </c>
      <c r="G1816" s="11" t="s">
        <v>25</v>
      </c>
      <c r="H1816" s="11" t="s">
        <v>32</v>
      </c>
      <c r="I1816" s="11" t="s">
        <v>44</v>
      </c>
      <c r="J1816" s="11" t="s">
        <v>252</v>
      </c>
      <c r="K1816" s="11">
        <v>49</v>
      </c>
      <c r="L1816" s="12">
        <v>55</v>
      </c>
      <c r="M1816" s="13">
        <v>2695</v>
      </c>
      <c r="N1816" s="11" t="s">
        <v>367</v>
      </c>
      <c r="O1816" s="11" t="s">
        <v>19</v>
      </c>
      <c r="Q1816"/>
    </row>
    <row r="1817" spans="1:17" ht="15.6" x14ac:dyDescent="0.3">
      <c r="A1817" s="15">
        <v>10310</v>
      </c>
      <c r="B1817" s="14">
        <v>38276</v>
      </c>
      <c r="C1817" s="14" t="s">
        <v>336</v>
      </c>
      <c r="D1817" s="15" t="s">
        <v>183</v>
      </c>
      <c r="E1817" s="15" t="s">
        <v>184</v>
      </c>
      <c r="F1817" s="15" t="s">
        <v>24</v>
      </c>
      <c r="G1817" s="15" t="s">
        <v>25</v>
      </c>
      <c r="H1817" s="15" t="s">
        <v>68</v>
      </c>
      <c r="I1817" s="15" t="s">
        <v>69</v>
      </c>
      <c r="J1817" s="15" t="s">
        <v>266</v>
      </c>
      <c r="K1817" s="15">
        <v>36</v>
      </c>
      <c r="L1817" s="16">
        <v>25</v>
      </c>
      <c r="M1817" s="17">
        <v>900</v>
      </c>
      <c r="N1817" s="15" t="s">
        <v>367</v>
      </c>
      <c r="O1817" s="15" t="s">
        <v>19</v>
      </c>
      <c r="Q1817"/>
    </row>
    <row r="1818" spans="1:17" ht="15.6" x14ac:dyDescent="0.3">
      <c r="A1818" s="11">
        <v>10312</v>
      </c>
      <c r="B1818" s="10">
        <v>38281</v>
      </c>
      <c r="C1818" s="10" t="s">
        <v>288</v>
      </c>
      <c r="D1818" s="11" t="s">
        <v>88</v>
      </c>
      <c r="E1818" s="11" t="s">
        <v>89</v>
      </c>
      <c r="F1818" s="11" t="s">
        <v>15</v>
      </c>
      <c r="G1818" s="11" t="s">
        <v>16</v>
      </c>
      <c r="H1818" s="11" t="s">
        <v>32</v>
      </c>
      <c r="I1818" s="11" t="s">
        <v>33</v>
      </c>
      <c r="J1818" s="11" t="s">
        <v>245</v>
      </c>
      <c r="K1818" s="11">
        <v>48</v>
      </c>
      <c r="L1818" s="12">
        <v>85</v>
      </c>
      <c r="M1818" s="13">
        <v>4080</v>
      </c>
      <c r="N1818" s="11" t="s">
        <v>367</v>
      </c>
      <c r="O1818" s="11" t="s">
        <v>19</v>
      </c>
      <c r="Q1818"/>
    </row>
    <row r="1819" spans="1:17" ht="15.6" x14ac:dyDescent="0.3">
      <c r="A1819" s="15">
        <v>10312</v>
      </c>
      <c r="B1819" s="14">
        <v>38281</v>
      </c>
      <c r="C1819" s="14" t="s">
        <v>288</v>
      </c>
      <c r="D1819" s="15" t="s">
        <v>88</v>
      </c>
      <c r="E1819" s="15" t="s">
        <v>89</v>
      </c>
      <c r="F1819" s="15" t="s">
        <v>15</v>
      </c>
      <c r="G1819" s="15" t="s">
        <v>16</v>
      </c>
      <c r="H1819" s="15" t="s">
        <v>35</v>
      </c>
      <c r="I1819" s="15" t="s">
        <v>38</v>
      </c>
      <c r="J1819" s="15" t="s">
        <v>249</v>
      </c>
      <c r="K1819" s="15">
        <v>32</v>
      </c>
      <c r="L1819" s="16">
        <v>20</v>
      </c>
      <c r="M1819" s="17">
        <v>640</v>
      </c>
      <c r="N1819" s="15" t="s">
        <v>367</v>
      </c>
      <c r="O1819" s="15" t="s">
        <v>19</v>
      </c>
      <c r="Q1819"/>
    </row>
    <row r="1820" spans="1:17" ht="15.6" x14ac:dyDescent="0.3">
      <c r="A1820" s="11">
        <v>10312</v>
      </c>
      <c r="B1820" s="10">
        <v>38281</v>
      </c>
      <c r="C1820" s="10" t="s">
        <v>288</v>
      </c>
      <c r="D1820" s="11" t="s">
        <v>88</v>
      </c>
      <c r="E1820" s="11" t="s">
        <v>89</v>
      </c>
      <c r="F1820" s="11" t="s">
        <v>15</v>
      </c>
      <c r="G1820" s="11" t="s">
        <v>16</v>
      </c>
      <c r="H1820" s="11" t="s">
        <v>17</v>
      </c>
      <c r="I1820" s="11" t="s">
        <v>20</v>
      </c>
      <c r="J1820" s="11" t="s">
        <v>242</v>
      </c>
      <c r="K1820" s="11">
        <v>43</v>
      </c>
      <c r="L1820" s="12">
        <v>48</v>
      </c>
      <c r="M1820" s="13">
        <v>2064</v>
      </c>
      <c r="N1820" s="11" t="s">
        <v>367</v>
      </c>
      <c r="O1820" s="11" t="s">
        <v>19</v>
      </c>
      <c r="Q1820"/>
    </row>
    <row r="1821" spans="1:17" ht="15.6" x14ac:dyDescent="0.3">
      <c r="A1821" s="15">
        <v>10312</v>
      </c>
      <c r="B1821" s="14">
        <v>38281</v>
      </c>
      <c r="C1821" s="14" t="s">
        <v>288</v>
      </c>
      <c r="D1821" s="15" t="s">
        <v>88</v>
      </c>
      <c r="E1821" s="15" t="s">
        <v>89</v>
      </c>
      <c r="F1821" s="15" t="s">
        <v>15</v>
      </c>
      <c r="G1821" s="15" t="s">
        <v>16</v>
      </c>
      <c r="H1821" s="15" t="s">
        <v>17</v>
      </c>
      <c r="I1821" s="15" t="s">
        <v>21</v>
      </c>
      <c r="J1821" s="15" t="s">
        <v>243</v>
      </c>
      <c r="K1821" s="15">
        <v>25</v>
      </c>
      <c r="L1821" s="16">
        <v>110</v>
      </c>
      <c r="M1821" s="17">
        <v>2750</v>
      </c>
      <c r="N1821" s="15" t="s">
        <v>367</v>
      </c>
      <c r="O1821" s="15" t="s">
        <v>19</v>
      </c>
      <c r="Q1821"/>
    </row>
    <row r="1822" spans="1:17" ht="15.6" x14ac:dyDescent="0.3">
      <c r="A1822" s="11">
        <v>10312</v>
      </c>
      <c r="B1822" s="10">
        <v>38281</v>
      </c>
      <c r="C1822" s="10" t="s">
        <v>288</v>
      </c>
      <c r="D1822" s="11" t="s">
        <v>88</v>
      </c>
      <c r="E1822" s="11" t="s">
        <v>89</v>
      </c>
      <c r="F1822" s="11" t="s">
        <v>15</v>
      </c>
      <c r="G1822" s="11" t="s">
        <v>16</v>
      </c>
      <c r="H1822" s="11" t="s">
        <v>17</v>
      </c>
      <c r="I1822" s="11" t="s">
        <v>20</v>
      </c>
      <c r="J1822" s="11" t="s">
        <v>242</v>
      </c>
      <c r="K1822" s="11">
        <v>48</v>
      </c>
      <c r="L1822" s="12">
        <v>48</v>
      </c>
      <c r="M1822" s="13">
        <v>2304</v>
      </c>
      <c r="N1822" s="11" t="s">
        <v>367</v>
      </c>
      <c r="O1822" s="11" t="s">
        <v>19</v>
      </c>
      <c r="Q1822"/>
    </row>
    <row r="1823" spans="1:17" ht="15.6" x14ac:dyDescent="0.3">
      <c r="A1823" s="15">
        <v>10312</v>
      </c>
      <c r="B1823" s="14">
        <v>38281</v>
      </c>
      <c r="C1823" s="14" t="s">
        <v>288</v>
      </c>
      <c r="D1823" s="15" t="s">
        <v>88</v>
      </c>
      <c r="E1823" s="15" t="s">
        <v>89</v>
      </c>
      <c r="F1823" s="15" t="s">
        <v>15</v>
      </c>
      <c r="G1823" s="15" t="s">
        <v>16</v>
      </c>
      <c r="H1823" s="15" t="s">
        <v>17</v>
      </c>
      <c r="I1823" s="15" t="s">
        <v>20</v>
      </c>
      <c r="J1823" s="15" t="s">
        <v>242</v>
      </c>
      <c r="K1823" s="15">
        <v>30</v>
      </c>
      <c r="L1823" s="16">
        <v>48</v>
      </c>
      <c r="M1823" s="17">
        <v>1440</v>
      </c>
      <c r="N1823" s="15" t="s">
        <v>367</v>
      </c>
      <c r="O1823" s="15" t="s">
        <v>19</v>
      </c>
      <c r="Q1823"/>
    </row>
    <row r="1824" spans="1:17" ht="15.6" x14ac:dyDescent="0.3">
      <c r="A1824" s="11">
        <v>10312</v>
      </c>
      <c r="B1824" s="10">
        <v>38281</v>
      </c>
      <c r="C1824" s="10" t="s">
        <v>288</v>
      </c>
      <c r="D1824" s="11" t="s">
        <v>88</v>
      </c>
      <c r="E1824" s="11" t="s">
        <v>89</v>
      </c>
      <c r="F1824" s="11" t="s">
        <v>15</v>
      </c>
      <c r="G1824" s="11" t="s">
        <v>16</v>
      </c>
      <c r="H1824" s="11" t="s">
        <v>17</v>
      </c>
      <c r="I1824" s="11" t="s">
        <v>82</v>
      </c>
      <c r="J1824" s="11" t="s">
        <v>270</v>
      </c>
      <c r="K1824" s="11">
        <v>31</v>
      </c>
      <c r="L1824" s="12">
        <v>75</v>
      </c>
      <c r="M1824" s="13">
        <v>2325</v>
      </c>
      <c r="N1824" s="11" t="s">
        <v>367</v>
      </c>
      <c r="O1824" s="11" t="s">
        <v>19</v>
      </c>
      <c r="Q1824"/>
    </row>
    <row r="1825" spans="1:17" ht="15.6" x14ac:dyDescent="0.3">
      <c r="A1825" s="15">
        <v>10312</v>
      </c>
      <c r="B1825" s="14">
        <v>38281</v>
      </c>
      <c r="C1825" s="14" t="s">
        <v>288</v>
      </c>
      <c r="D1825" s="15" t="s">
        <v>88</v>
      </c>
      <c r="E1825" s="15" t="s">
        <v>89</v>
      </c>
      <c r="F1825" s="15" t="s">
        <v>15</v>
      </c>
      <c r="G1825" s="15" t="s">
        <v>16</v>
      </c>
      <c r="H1825" s="15" t="s">
        <v>17</v>
      </c>
      <c r="I1825" s="15" t="s">
        <v>21</v>
      </c>
      <c r="J1825" s="15" t="s">
        <v>243</v>
      </c>
      <c r="K1825" s="15">
        <v>25</v>
      </c>
      <c r="L1825" s="16">
        <v>110</v>
      </c>
      <c r="M1825" s="17">
        <v>2750</v>
      </c>
      <c r="N1825" s="15" t="s">
        <v>367</v>
      </c>
      <c r="O1825" s="15" t="s">
        <v>19</v>
      </c>
      <c r="Q1825"/>
    </row>
    <row r="1826" spans="1:17" ht="15.6" x14ac:dyDescent="0.3">
      <c r="A1826" s="11">
        <v>10312</v>
      </c>
      <c r="B1826" s="10">
        <v>38281</v>
      </c>
      <c r="C1826" s="10" t="s">
        <v>288</v>
      </c>
      <c r="D1826" s="11" t="s">
        <v>88</v>
      </c>
      <c r="E1826" s="11" t="s">
        <v>89</v>
      </c>
      <c r="F1826" s="11" t="s">
        <v>15</v>
      </c>
      <c r="G1826" s="11" t="s">
        <v>16</v>
      </c>
      <c r="H1826" s="11" t="s">
        <v>17</v>
      </c>
      <c r="I1826" s="11" t="s">
        <v>82</v>
      </c>
      <c r="J1826" s="11" t="s">
        <v>270</v>
      </c>
      <c r="K1826" s="11">
        <v>37</v>
      </c>
      <c r="L1826" s="12">
        <v>75</v>
      </c>
      <c r="M1826" s="13">
        <v>2775</v>
      </c>
      <c r="N1826" s="11" t="s">
        <v>367</v>
      </c>
      <c r="O1826" s="11" t="s">
        <v>19</v>
      </c>
      <c r="Q1826"/>
    </row>
    <row r="1827" spans="1:17" ht="15.6" x14ac:dyDescent="0.3">
      <c r="A1827" s="15">
        <v>10312</v>
      </c>
      <c r="B1827" s="14">
        <v>38281</v>
      </c>
      <c r="C1827" s="14" t="s">
        <v>288</v>
      </c>
      <c r="D1827" s="15" t="s">
        <v>88</v>
      </c>
      <c r="E1827" s="15" t="s">
        <v>89</v>
      </c>
      <c r="F1827" s="15" t="s">
        <v>15</v>
      </c>
      <c r="G1827" s="15" t="s">
        <v>16</v>
      </c>
      <c r="H1827" s="15" t="s">
        <v>17</v>
      </c>
      <c r="I1827" s="15" t="s">
        <v>52</v>
      </c>
      <c r="J1827" s="15" t="s">
        <v>256</v>
      </c>
      <c r="K1827" s="15">
        <v>35</v>
      </c>
      <c r="L1827" s="16">
        <v>45</v>
      </c>
      <c r="M1827" s="17">
        <v>1575</v>
      </c>
      <c r="N1827" s="15" t="s">
        <v>367</v>
      </c>
      <c r="O1827" s="15" t="s">
        <v>19</v>
      </c>
      <c r="Q1827"/>
    </row>
    <row r="1828" spans="1:17" ht="15.6" x14ac:dyDescent="0.3">
      <c r="A1828" s="11">
        <v>10312</v>
      </c>
      <c r="B1828" s="10">
        <v>38281</v>
      </c>
      <c r="C1828" s="10" t="s">
        <v>288</v>
      </c>
      <c r="D1828" s="11" t="s">
        <v>88</v>
      </c>
      <c r="E1828" s="11" t="s">
        <v>89</v>
      </c>
      <c r="F1828" s="11" t="s">
        <v>15</v>
      </c>
      <c r="G1828" s="11" t="s">
        <v>16</v>
      </c>
      <c r="H1828" s="11" t="s">
        <v>17</v>
      </c>
      <c r="I1828" s="11" t="s">
        <v>21</v>
      </c>
      <c r="J1828" s="11" t="s">
        <v>243</v>
      </c>
      <c r="K1828" s="11">
        <v>38</v>
      </c>
      <c r="L1828" s="12">
        <v>110</v>
      </c>
      <c r="M1828" s="13">
        <v>4180</v>
      </c>
      <c r="N1828" s="11" t="s">
        <v>367</v>
      </c>
      <c r="O1828" s="11" t="s">
        <v>19</v>
      </c>
      <c r="Q1828"/>
    </row>
    <row r="1829" spans="1:17" ht="15.6" x14ac:dyDescent="0.3">
      <c r="A1829" s="15">
        <v>10312</v>
      </c>
      <c r="B1829" s="14">
        <v>38281</v>
      </c>
      <c r="C1829" s="14" t="s">
        <v>288</v>
      </c>
      <c r="D1829" s="15" t="s">
        <v>88</v>
      </c>
      <c r="E1829" s="15" t="s">
        <v>89</v>
      </c>
      <c r="F1829" s="15" t="s">
        <v>15</v>
      </c>
      <c r="G1829" s="15" t="s">
        <v>16</v>
      </c>
      <c r="H1829" s="15" t="s">
        <v>17</v>
      </c>
      <c r="I1829" s="15" t="s">
        <v>26</v>
      </c>
      <c r="J1829" s="15" t="s">
        <v>244</v>
      </c>
      <c r="K1829" s="15">
        <v>33</v>
      </c>
      <c r="L1829" s="16">
        <v>60</v>
      </c>
      <c r="M1829" s="17">
        <v>1980</v>
      </c>
      <c r="N1829" s="15" t="s">
        <v>367</v>
      </c>
      <c r="O1829" s="15" t="s">
        <v>19</v>
      </c>
      <c r="Q1829"/>
    </row>
    <row r="1830" spans="1:17" ht="15.6" x14ac:dyDescent="0.3">
      <c r="A1830" s="11">
        <v>10312</v>
      </c>
      <c r="B1830" s="10">
        <v>38281</v>
      </c>
      <c r="C1830" s="10" t="s">
        <v>288</v>
      </c>
      <c r="D1830" s="11" t="s">
        <v>88</v>
      </c>
      <c r="E1830" s="11" t="s">
        <v>89</v>
      </c>
      <c r="F1830" s="11" t="s">
        <v>15</v>
      </c>
      <c r="G1830" s="11" t="s">
        <v>16</v>
      </c>
      <c r="H1830" s="11" t="s">
        <v>17</v>
      </c>
      <c r="I1830" s="11" t="s">
        <v>52</v>
      </c>
      <c r="J1830" s="11" t="s">
        <v>256</v>
      </c>
      <c r="K1830" s="11">
        <v>39</v>
      </c>
      <c r="L1830" s="12">
        <v>45</v>
      </c>
      <c r="M1830" s="13">
        <v>1755</v>
      </c>
      <c r="N1830" s="11" t="s">
        <v>367</v>
      </c>
      <c r="O1830" s="11" t="s">
        <v>19</v>
      </c>
      <c r="Q1830"/>
    </row>
    <row r="1831" spans="1:17" ht="15.6" x14ac:dyDescent="0.3">
      <c r="A1831" s="15">
        <v>10312</v>
      </c>
      <c r="B1831" s="14">
        <v>38281</v>
      </c>
      <c r="C1831" s="14" t="s">
        <v>288</v>
      </c>
      <c r="D1831" s="15" t="s">
        <v>88</v>
      </c>
      <c r="E1831" s="15" t="s">
        <v>89</v>
      </c>
      <c r="F1831" s="15" t="s">
        <v>15</v>
      </c>
      <c r="G1831" s="15" t="s">
        <v>16</v>
      </c>
      <c r="H1831" s="15" t="s">
        <v>17</v>
      </c>
      <c r="I1831" s="15" t="s">
        <v>18</v>
      </c>
      <c r="J1831" s="15" t="s">
        <v>241</v>
      </c>
      <c r="K1831" s="15">
        <v>39</v>
      </c>
      <c r="L1831" s="16">
        <v>30</v>
      </c>
      <c r="M1831" s="17">
        <v>1170</v>
      </c>
      <c r="N1831" s="15" t="s">
        <v>367</v>
      </c>
      <c r="O1831" s="15" t="s">
        <v>19</v>
      </c>
      <c r="Q1831"/>
    </row>
    <row r="1832" spans="1:17" ht="15.6" x14ac:dyDescent="0.3">
      <c r="A1832" s="11">
        <v>10312</v>
      </c>
      <c r="B1832" s="10">
        <v>38281</v>
      </c>
      <c r="C1832" s="10" t="s">
        <v>288</v>
      </c>
      <c r="D1832" s="11" t="s">
        <v>88</v>
      </c>
      <c r="E1832" s="11" t="s">
        <v>89</v>
      </c>
      <c r="F1832" s="11" t="s">
        <v>15</v>
      </c>
      <c r="G1832" s="11" t="s">
        <v>16</v>
      </c>
      <c r="H1832" s="11" t="s">
        <v>17</v>
      </c>
      <c r="I1832" s="11" t="s">
        <v>20</v>
      </c>
      <c r="J1832" s="11" t="s">
        <v>242</v>
      </c>
      <c r="K1832" s="11">
        <v>23</v>
      </c>
      <c r="L1832" s="12">
        <v>48</v>
      </c>
      <c r="M1832" s="13">
        <v>1104</v>
      </c>
      <c r="N1832" s="11" t="s">
        <v>367</v>
      </c>
      <c r="O1832" s="11" t="s">
        <v>19</v>
      </c>
      <c r="Q1832"/>
    </row>
    <row r="1833" spans="1:17" ht="15.6" x14ac:dyDescent="0.3">
      <c r="A1833" s="15">
        <v>10312</v>
      </c>
      <c r="B1833" s="14">
        <v>38281</v>
      </c>
      <c r="C1833" s="14" t="s">
        <v>288</v>
      </c>
      <c r="D1833" s="15" t="s">
        <v>88</v>
      </c>
      <c r="E1833" s="15" t="s">
        <v>89</v>
      </c>
      <c r="F1833" s="15" t="s">
        <v>15</v>
      </c>
      <c r="G1833" s="15" t="s">
        <v>16</v>
      </c>
      <c r="H1833" s="15" t="s">
        <v>17</v>
      </c>
      <c r="I1833" s="15" t="s">
        <v>20</v>
      </c>
      <c r="J1833" s="15" t="s">
        <v>242</v>
      </c>
      <c r="K1833" s="15">
        <v>31</v>
      </c>
      <c r="L1833" s="16">
        <v>48</v>
      </c>
      <c r="M1833" s="17">
        <v>1488</v>
      </c>
      <c r="N1833" s="15" t="s">
        <v>367</v>
      </c>
      <c r="O1833" s="15" t="s">
        <v>19</v>
      </c>
      <c r="Q1833"/>
    </row>
    <row r="1834" spans="1:17" ht="15.6" x14ac:dyDescent="0.3">
      <c r="A1834" s="11">
        <v>10312</v>
      </c>
      <c r="B1834" s="10">
        <v>38281</v>
      </c>
      <c r="C1834" s="10" t="s">
        <v>288</v>
      </c>
      <c r="D1834" s="11" t="s">
        <v>88</v>
      </c>
      <c r="E1834" s="11" t="s">
        <v>89</v>
      </c>
      <c r="F1834" s="11" t="s">
        <v>15</v>
      </c>
      <c r="G1834" s="11" t="s">
        <v>16</v>
      </c>
      <c r="H1834" s="11" t="s">
        <v>17</v>
      </c>
      <c r="I1834" s="11" t="s">
        <v>26</v>
      </c>
      <c r="J1834" s="11" t="s">
        <v>244</v>
      </c>
      <c r="K1834" s="11">
        <v>44</v>
      </c>
      <c r="L1834" s="12">
        <v>60</v>
      </c>
      <c r="M1834" s="13">
        <v>2640</v>
      </c>
      <c r="N1834" s="11" t="s">
        <v>367</v>
      </c>
      <c r="O1834" s="11" t="s">
        <v>19</v>
      </c>
      <c r="Q1834"/>
    </row>
    <row r="1835" spans="1:17" ht="15.6" x14ac:dyDescent="0.3">
      <c r="A1835" s="15">
        <v>10313</v>
      </c>
      <c r="B1835" s="14">
        <v>38282</v>
      </c>
      <c r="C1835" s="14" t="s">
        <v>342</v>
      </c>
      <c r="D1835" s="15" t="s">
        <v>195</v>
      </c>
      <c r="E1835" s="15" t="s">
        <v>196</v>
      </c>
      <c r="F1835" s="15" t="s">
        <v>169</v>
      </c>
      <c r="G1835" s="15" t="s">
        <v>16</v>
      </c>
      <c r="H1835" s="15" t="s">
        <v>32</v>
      </c>
      <c r="I1835" s="15" t="s">
        <v>44</v>
      </c>
      <c r="J1835" s="15" t="s">
        <v>252</v>
      </c>
      <c r="K1835" s="15">
        <v>40</v>
      </c>
      <c r="L1835" s="16">
        <v>55</v>
      </c>
      <c r="M1835" s="17">
        <v>2200</v>
      </c>
      <c r="N1835" s="15" t="s">
        <v>367</v>
      </c>
      <c r="O1835" s="15" t="s">
        <v>19</v>
      </c>
      <c r="Q1835"/>
    </row>
    <row r="1836" spans="1:17" ht="15.6" x14ac:dyDescent="0.3">
      <c r="A1836" s="11">
        <v>10314</v>
      </c>
      <c r="B1836" s="10">
        <v>38282</v>
      </c>
      <c r="C1836" s="10" t="s">
        <v>323</v>
      </c>
      <c r="D1836" s="11" t="s">
        <v>159</v>
      </c>
      <c r="E1836" s="11" t="s">
        <v>160</v>
      </c>
      <c r="F1836" s="11" t="s">
        <v>51</v>
      </c>
      <c r="G1836" s="11" t="s">
        <v>25</v>
      </c>
      <c r="H1836" s="11" t="s">
        <v>32</v>
      </c>
      <c r="I1836" s="11" t="s">
        <v>44</v>
      </c>
      <c r="J1836" s="11" t="s">
        <v>252</v>
      </c>
      <c r="K1836" s="11">
        <v>38</v>
      </c>
      <c r="L1836" s="12">
        <v>55</v>
      </c>
      <c r="M1836" s="13">
        <v>2090</v>
      </c>
      <c r="N1836" s="11" t="s">
        <v>367</v>
      </c>
      <c r="O1836" s="11" t="s">
        <v>19</v>
      </c>
      <c r="Q1836"/>
    </row>
    <row r="1837" spans="1:17" ht="15.6" x14ac:dyDescent="0.3">
      <c r="A1837" s="15">
        <v>10313</v>
      </c>
      <c r="B1837" s="14">
        <v>38282</v>
      </c>
      <c r="C1837" s="14" t="s">
        <v>342</v>
      </c>
      <c r="D1837" s="15" t="s">
        <v>195</v>
      </c>
      <c r="E1837" s="15" t="s">
        <v>196</v>
      </c>
      <c r="F1837" s="15" t="s">
        <v>169</v>
      </c>
      <c r="G1837" s="15" t="s">
        <v>16</v>
      </c>
      <c r="H1837" s="15" t="s">
        <v>35</v>
      </c>
      <c r="I1837" s="15" t="s">
        <v>39</v>
      </c>
      <c r="J1837" s="15" t="s">
        <v>250</v>
      </c>
      <c r="K1837" s="15">
        <v>21</v>
      </c>
      <c r="L1837" s="16">
        <v>20</v>
      </c>
      <c r="M1837" s="17">
        <v>420</v>
      </c>
      <c r="N1837" s="15" t="s">
        <v>367</v>
      </c>
      <c r="O1837" s="15" t="s">
        <v>19</v>
      </c>
      <c r="Q1837"/>
    </row>
    <row r="1838" spans="1:17" ht="15.6" x14ac:dyDescent="0.3">
      <c r="A1838" s="11">
        <v>10314</v>
      </c>
      <c r="B1838" s="10">
        <v>38282</v>
      </c>
      <c r="C1838" s="10" t="s">
        <v>323</v>
      </c>
      <c r="D1838" s="11" t="s">
        <v>159</v>
      </c>
      <c r="E1838" s="11" t="s">
        <v>160</v>
      </c>
      <c r="F1838" s="11" t="s">
        <v>51</v>
      </c>
      <c r="G1838" s="11" t="s">
        <v>25</v>
      </c>
      <c r="H1838" s="11" t="s">
        <v>32</v>
      </c>
      <c r="I1838" s="11" t="s">
        <v>45</v>
      </c>
      <c r="J1838" s="11" t="s">
        <v>253</v>
      </c>
      <c r="K1838" s="11">
        <v>46</v>
      </c>
      <c r="L1838" s="12">
        <v>35</v>
      </c>
      <c r="M1838" s="13">
        <v>1610</v>
      </c>
      <c r="N1838" s="11" t="s">
        <v>367</v>
      </c>
      <c r="O1838" s="11" t="s">
        <v>19</v>
      </c>
      <c r="Q1838"/>
    </row>
    <row r="1839" spans="1:17" ht="15.6" x14ac:dyDescent="0.3">
      <c r="A1839" s="15">
        <v>10314</v>
      </c>
      <c r="B1839" s="14">
        <v>38282</v>
      </c>
      <c r="C1839" s="14" t="s">
        <v>323</v>
      </c>
      <c r="D1839" s="15" t="s">
        <v>159</v>
      </c>
      <c r="E1839" s="15" t="s">
        <v>160</v>
      </c>
      <c r="F1839" s="15" t="s">
        <v>51</v>
      </c>
      <c r="G1839" s="15" t="s">
        <v>25</v>
      </c>
      <c r="H1839" s="15" t="s">
        <v>32</v>
      </c>
      <c r="I1839" s="15" t="s">
        <v>46</v>
      </c>
      <c r="J1839" s="15" t="s">
        <v>254</v>
      </c>
      <c r="K1839" s="15">
        <v>36</v>
      </c>
      <c r="L1839" s="16">
        <v>90</v>
      </c>
      <c r="M1839" s="17">
        <v>3240</v>
      </c>
      <c r="N1839" s="15" t="s">
        <v>367</v>
      </c>
      <c r="O1839" s="15" t="s">
        <v>19</v>
      </c>
      <c r="Q1839"/>
    </row>
    <row r="1840" spans="1:17" ht="15.6" x14ac:dyDescent="0.3">
      <c r="A1840" s="11">
        <v>10314</v>
      </c>
      <c r="B1840" s="10">
        <v>38282</v>
      </c>
      <c r="C1840" s="10" t="s">
        <v>323</v>
      </c>
      <c r="D1840" s="11" t="s">
        <v>159</v>
      </c>
      <c r="E1840" s="11" t="s">
        <v>160</v>
      </c>
      <c r="F1840" s="11" t="s">
        <v>51</v>
      </c>
      <c r="G1840" s="11" t="s">
        <v>25</v>
      </c>
      <c r="H1840" s="11" t="s">
        <v>35</v>
      </c>
      <c r="I1840" s="11" t="s">
        <v>38</v>
      </c>
      <c r="J1840" s="11" t="s">
        <v>249</v>
      </c>
      <c r="K1840" s="11">
        <v>45</v>
      </c>
      <c r="L1840" s="12">
        <v>20</v>
      </c>
      <c r="M1840" s="13">
        <v>900</v>
      </c>
      <c r="N1840" s="11" t="s">
        <v>367</v>
      </c>
      <c r="O1840" s="11" t="s">
        <v>19</v>
      </c>
      <c r="Q1840"/>
    </row>
    <row r="1841" spans="1:17" ht="15.6" x14ac:dyDescent="0.3">
      <c r="A1841" s="15">
        <v>10314</v>
      </c>
      <c r="B1841" s="14">
        <v>38282</v>
      </c>
      <c r="C1841" s="14" t="s">
        <v>323</v>
      </c>
      <c r="D1841" s="15" t="s">
        <v>159</v>
      </c>
      <c r="E1841" s="15" t="s">
        <v>160</v>
      </c>
      <c r="F1841" s="15" t="s">
        <v>51</v>
      </c>
      <c r="G1841" s="15" t="s">
        <v>25</v>
      </c>
      <c r="H1841" s="15" t="s">
        <v>32</v>
      </c>
      <c r="I1841" s="15" t="s">
        <v>34</v>
      </c>
      <c r="J1841" s="15" t="s">
        <v>246</v>
      </c>
      <c r="K1841" s="15">
        <v>42</v>
      </c>
      <c r="L1841" s="16">
        <v>80</v>
      </c>
      <c r="M1841" s="17">
        <v>3360</v>
      </c>
      <c r="N1841" s="15" t="s">
        <v>367</v>
      </c>
      <c r="O1841" s="15" t="s">
        <v>19</v>
      </c>
      <c r="Q1841"/>
    </row>
    <row r="1842" spans="1:17" ht="15.6" x14ac:dyDescent="0.3">
      <c r="A1842" s="11">
        <v>10313</v>
      </c>
      <c r="B1842" s="10">
        <v>38282</v>
      </c>
      <c r="C1842" s="10" t="s">
        <v>342</v>
      </c>
      <c r="D1842" s="11" t="s">
        <v>195</v>
      </c>
      <c r="E1842" s="11" t="s">
        <v>196</v>
      </c>
      <c r="F1842" s="11" t="s">
        <v>169</v>
      </c>
      <c r="G1842" s="11" t="s">
        <v>16</v>
      </c>
      <c r="H1842" s="11" t="s">
        <v>35</v>
      </c>
      <c r="I1842" s="11" t="s">
        <v>39</v>
      </c>
      <c r="J1842" s="11" t="s">
        <v>250</v>
      </c>
      <c r="K1842" s="11">
        <v>29</v>
      </c>
      <c r="L1842" s="12">
        <v>20</v>
      </c>
      <c r="M1842" s="13">
        <v>580</v>
      </c>
      <c r="N1842" s="11" t="s">
        <v>367</v>
      </c>
      <c r="O1842" s="11" t="s">
        <v>19</v>
      </c>
      <c r="Q1842"/>
    </row>
    <row r="1843" spans="1:17" ht="15.6" x14ac:dyDescent="0.3">
      <c r="A1843" s="15">
        <v>10313</v>
      </c>
      <c r="B1843" s="14">
        <v>38282</v>
      </c>
      <c r="C1843" s="14" t="s">
        <v>342</v>
      </c>
      <c r="D1843" s="15" t="s">
        <v>195</v>
      </c>
      <c r="E1843" s="15" t="s">
        <v>196</v>
      </c>
      <c r="F1843" s="15" t="s">
        <v>169</v>
      </c>
      <c r="G1843" s="15" t="s">
        <v>16</v>
      </c>
      <c r="H1843" s="15" t="s">
        <v>35</v>
      </c>
      <c r="I1843" s="15" t="s">
        <v>40</v>
      </c>
      <c r="J1843" s="15" t="s">
        <v>251</v>
      </c>
      <c r="K1843" s="15">
        <v>34</v>
      </c>
      <c r="L1843" s="16">
        <v>25</v>
      </c>
      <c r="M1843" s="17">
        <v>850</v>
      </c>
      <c r="N1843" s="15" t="s">
        <v>367</v>
      </c>
      <c r="O1843" s="15" t="s">
        <v>19</v>
      </c>
      <c r="Q1843"/>
    </row>
    <row r="1844" spans="1:17" ht="15.6" x14ac:dyDescent="0.3">
      <c r="A1844" s="11">
        <v>10314</v>
      </c>
      <c r="B1844" s="10">
        <v>38282</v>
      </c>
      <c r="C1844" s="10" t="s">
        <v>323</v>
      </c>
      <c r="D1844" s="11" t="s">
        <v>159</v>
      </c>
      <c r="E1844" s="11" t="s">
        <v>160</v>
      </c>
      <c r="F1844" s="11" t="s">
        <v>51</v>
      </c>
      <c r="G1844" s="11" t="s">
        <v>25</v>
      </c>
      <c r="H1844" s="11" t="s">
        <v>17</v>
      </c>
      <c r="I1844" s="11" t="s">
        <v>20</v>
      </c>
      <c r="J1844" s="11" t="s">
        <v>242</v>
      </c>
      <c r="K1844" s="11">
        <v>20</v>
      </c>
      <c r="L1844" s="12">
        <v>48</v>
      </c>
      <c r="M1844" s="13">
        <v>960</v>
      </c>
      <c r="N1844" s="11" t="s">
        <v>367</v>
      </c>
      <c r="O1844" s="11" t="s">
        <v>19</v>
      </c>
      <c r="Q1844"/>
    </row>
    <row r="1845" spans="1:17" ht="15.6" x14ac:dyDescent="0.3">
      <c r="A1845" s="15">
        <v>10313</v>
      </c>
      <c r="B1845" s="14">
        <v>38282</v>
      </c>
      <c r="C1845" s="14" t="s">
        <v>342</v>
      </c>
      <c r="D1845" s="15" t="s">
        <v>195</v>
      </c>
      <c r="E1845" s="15" t="s">
        <v>196</v>
      </c>
      <c r="F1845" s="15" t="s">
        <v>169</v>
      </c>
      <c r="G1845" s="15" t="s">
        <v>16</v>
      </c>
      <c r="H1845" s="15" t="s">
        <v>32</v>
      </c>
      <c r="I1845" s="15" t="s">
        <v>33</v>
      </c>
      <c r="J1845" s="15" t="s">
        <v>245</v>
      </c>
      <c r="K1845" s="15">
        <v>25</v>
      </c>
      <c r="L1845" s="16">
        <v>85</v>
      </c>
      <c r="M1845" s="17">
        <v>2125</v>
      </c>
      <c r="N1845" s="15" t="s">
        <v>367</v>
      </c>
      <c r="O1845" s="15" t="s">
        <v>19</v>
      </c>
      <c r="Q1845"/>
    </row>
    <row r="1846" spans="1:17" ht="15.6" x14ac:dyDescent="0.3">
      <c r="A1846" s="11">
        <v>10314</v>
      </c>
      <c r="B1846" s="10">
        <v>38282</v>
      </c>
      <c r="C1846" s="10" t="s">
        <v>323</v>
      </c>
      <c r="D1846" s="11" t="s">
        <v>159</v>
      </c>
      <c r="E1846" s="11" t="s">
        <v>160</v>
      </c>
      <c r="F1846" s="11" t="s">
        <v>51</v>
      </c>
      <c r="G1846" s="11" t="s">
        <v>25</v>
      </c>
      <c r="H1846" s="11" t="s">
        <v>47</v>
      </c>
      <c r="I1846" s="11" t="s">
        <v>48</v>
      </c>
      <c r="J1846" s="11" t="s">
        <v>255</v>
      </c>
      <c r="K1846" s="11">
        <v>23</v>
      </c>
      <c r="L1846" s="12">
        <v>70</v>
      </c>
      <c r="M1846" s="13">
        <v>1610</v>
      </c>
      <c r="N1846" s="11" t="s">
        <v>367</v>
      </c>
      <c r="O1846" s="11" t="s">
        <v>19</v>
      </c>
      <c r="Q1846"/>
    </row>
    <row r="1847" spans="1:17" ht="15.6" x14ac:dyDescent="0.3">
      <c r="A1847" s="15">
        <v>10314</v>
      </c>
      <c r="B1847" s="14">
        <v>38282</v>
      </c>
      <c r="C1847" s="14" t="s">
        <v>323</v>
      </c>
      <c r="D1847" s="15" t="s">
        <v>159</v>
      </c>
      <c r="E1847" s="15" t="s">
        <v>160</v>
      </c>
      <c r="F1847" s="15" t="s">
        <v>51</v>
      </c>
      <c r="G1847" s="15" t="s">
        <v>25</v>
      </c>
      <c r="H1847" s="15" t="s">
        <v>32</v>
      </c>
      <c r="I1847" s="15" t="s">
        <v>46</v>
      </c>
      <c r="J1847" s="15" t="s">
        <v>254</v>
      </c>
      <c r="K1847" s="15">
        <v>29</v>
      </c>
      <c r="L1847" s="16">
        <v>90</v>
      </c>
      <c r="M1847" s="17">
        <v>2610</v>
      </c>
      <c r="N1847" s="15" t="s">
        <v>367</v>
      </c>
      <c r="O1847" s="15" t="s">
        <v>19</v>
      </c>
      <c r="Q1847"/>
    </row>
    <row r="1848" spans="1:17" ht="15.6" x14ac:dyDescent="0.3">
      <c r="A1848" s="11">
        <v>10313</v>
      </c>
      <c r="B1848" s="10">
        <v>38282</v>
      </c>
      <c r="C1848" s="10" t="s">
        <v>342</v>
      </c>
      <c r="D1848" s="11" t="s">
        <v>195</v>
      </c>
      <c r="E1848" s="11" t="s">
        <v>196</v>
      </c>
      <c r="F1848" s="11" t="s">
        <v>169</v>
      </c>
      <c r="G1848" s="11" t="s">
        <v>16</v>
      </c>
      <c r="H1848" s="11" t="s">
        <v>35</v>
      </c>
      <c r="I1848" s="11" t="s">
        <v>37</v>
      </c>
      <c r="J1848" s="11" t="s">
        <v>248</v>
      </c>
      <c r="K1848" s="11">
        <v>28</v>
      </c>
      <c r="L1848" s="12">
        <v>30</v>
      </c>
      <c r="M1848" s="13">
        <v>840</v>
      </c>
      <c r="N1848" s="11" t="s">
        <v>367</v>
      </c>
      <c r="O1848" s="11" t="s">
        <v>19</v>
      </c>
      <c r="Q1848"/>
    </row>
    <row r="1849" spans="1:17" ht="15.6" x14ac:dyDescent="0.3">
      <c r="A1849" s="15">
        <v>10314</v>
      </c>
      <c r="B1849" s="14">
        <v>38282</v>
      </c>
      <c r="C1849" s="14" t="s">
        <v>323</v>
      </c>
      <c r="D1849" s="15" t="s">
        <v>159</v>
      </c>
      <c r="E1849" s="15" t="s">
        <v>160</v>
      </c>
      <c r="F1849" s="15" t="s">
        <v>51</v>
      </c>
      <c r="G1849" s="15" t="s">
        <v>25</v>
      </c>
      <c r="H1849" s="15" t="s">
        <v>32</v>
      </c>
      <c r="I1849" s="15" t="s">
        <v>33</v>
      </c>
      <c r="J1849" s="15" t="s">
        <v>245</v>
      </c>
      <c r="K1849" s="15">
        <v>44</v>
      </c>
      <c r="L1849" s="16">
        <v>85</v>
      </c>
      <c r="M1849" s="17">
        <v>3740</v>
      </c>
      <c r="N1849" s="15" t="s">
        <v>367</v>
      </c>
      <c r="O1849" s="15" t="s">
        <v>19</v>
      </c>
      <c r="Q1849"/>
    </row>
    <row r="1850" spans="1:17" ht="15.6" x14ac:dyDescent="0.3">
      <c r="A1850" s="11">
        <v>10313</v>
      </c>
      <c r="B1850" s="10">
        <v>38282</v>
      </c>
      <c r="C1850" s="10" t="s">
        <v>342</v>
      </c>
      <c r="D1850" s="11" t="s">
        <v>195</v>
      </c>
      <c r="E1850" s="11" t="s">
        <v>196</v>
      </c>
      <c r="F1850" s="11" t="s">
        <v>169</v>
      </c>
      <c r="G1850" s="11" t="s">
        <v>16</v>
      </c>
      <c r="H1850" s="11" t="s">
        <v>35</v>
      </c>
      <c r="I1850" s="11" t="s">
        <v>37</v>
      </c>
      <c r="J1850" s="11" t="s">
        <v>248</v>
      </c>
      <c r="K1850" s="11">
        <v>42</v>
      </c>
      <c r="L1850" s="12">
        <v>30</v>
      </c>
      <c r="M1850" s="13">
        <v>1260</v>
      </c>
      <c r="N1850" s="11" t="s">
        <v>367</v>
      </c>
      <c r="O1850" s="11" t="s">
        <v>19</v>
      </c>
      <c r="Q1850"/>
    </row>
    <row r="1851" spans="1:17" ht="15.6" x14ac:dyDescent="0.3">
      <c r="A1851" s="15">
        <v>10314</v>
      </c>
      <c r="B1851" s="14">
        <v>38282</v>
      </c>
      <c r="C1851" s="14" t="s">
        <v>323</v>
      </c>
      <c r="D1851" s="15" t="s">
        <v>159</v>
      </c>
      <c r="E1851" s="15" t="s">
        <v>160</v>
      </c>
      <c r="F1851" s="15" t="s">
        <v>51</v>
      </c>
      <c r="G1851" s="15" t="s">
        <v>25</v>
      </c>
      <c r="H1851" s="15" t="s">
        <v>32</v>
      </c>
      <c r="I1851" s="15" t="s">
        <v>45</v>
      </c>
      <c r="J1851" s="15" t="s">
        <v>253</v>
      </c>
      <c r="K1851" s="15">
        <v>39</v>
      </c>
      <c r="L1851" s="16">
        <v>35</v>
      </c>
      <c r="M1851" s="17">
        <v>1365</v>
      </c>
      <c r="N1851" s="15" t="s">
        <v>367</v>
      </c>
      <c r="O1851" s="15" t="s">
        <v>19</v>
      </c>
      <c r="Q1851"/>
    </row>
    <row r="1852" spans="1:17" ht="15.6" x14ac:dyDescent="0.3">
      <c r="A1852" s="11">
        <v>10314</v>
      </c>
      <c r="B1852" s="10">
        <v>38282</v>
      </c>
      <c r="C1852" s="10" t="s">
        <v>323</v>
      </c>
      <c r="D1852" s="11" t="s">
        <v>159</v>
      </c>
      <c r="E1852" s="11" t="s">
        <v>160</v>
      </c>
      <c r="F1852" s="11" t="s">
        <v>51</v>
      </c>
      <c r="G1852" s="11" t="s">
        <v>25</v>
      </c>
      <c r="H1852" s="11" t="s">
        <v>32</v>
      </c>
      <c r="I1852" s="11" t="s">
        <v>33</v>
      </c>
      <c r="J1852" s="11" t="s">
        <v>245</v>
      </c>
      <c r="K1852" s="11">
        <v>38</v>
      </c>
      <c r="L1852" s="12">
        <v>85</v>
      </c>
      <c r="M1852" s="13">
        <v>3230</v>
      </c>
      <c r="N1852" s="11" t="s">
        <v>367</v>
      </c>
      <c r="O1852" s="11" t="s">
        <v>19</v>
      </c>
      <c r="Q1852"/>
    </row>
    <row r="1853" spans="1:17" ht="15.6" x14ac:dyDescent="0.3">
      <c r="A1853" s="15">
        <v>10313</v>
      </c>
      <c r="B1853" s="14">
        <v>38282</v>
      </c>
      <c r="C1853" s="14" t="s">
        <v>342</v>
      </c>
      <c r="D1853" s="15" t="s">
        <v>195</v>
      </c>
      <c r="E1853" s="15" t="s">
        <v>196</v>
      </c>
      <c r="F1853" s="15" t="s">
        <v>169</v>
      </c>
      <c r="G1853" s="15" t="s">
        <v>16</v>
      </c>
      <c r="H1853" s="15" t="s">
        <v>35</v>
      </c>
      <c r="I1853" s="15" t="s">
        <v>39</v>
      </c>
      <c r="J1853" s="15" t="s">
        <v>250</v>
      </c>
      <c r="K1853" s="15">
        <v>27</v>
      </c>
      <c r="L1853" s="16">
        <v>20</v>
      </c>
      <c r="M1853" s="17">
        <v>540</v>
      </c>
      <c r="N1853" s="15" t="s">
        <v>367</v>
      </c>
      <c r="O1853" s="15" t="s">
        <v>19</v>
      </c>
      <c r="Q1853"/>
    </row>
    <row r="1854" spans="1:17" ht="15.6" x14ac:dyDescent="0.3">
      <c r="A1854" s="11">
        <v>10313</v>
      </c>
      <c r="B1854" s="10">
        <v>38282</v>
      </c>
      <c r="C1854" s="10" t="s">
        <v>342</v>
      </c>
      <c r="D1854" s="11" t="s">
        <v>195</v>
      </c>
      <c r="E1854" s="11" t="s">
        <v>196</v>
      </c>
      <c r="F1854" s="11" t="s">
        <v>169</v>
      </c>
      <c r="G1854" s="11" t="s">
        <v>16</v>
      </c>
      <c r="H1854" s="11" t="s">
        <v>35</v>
      </c>
      <c r="I1854" s="11" t="s">
        <v>39</v>
      </c>
      <c r="J1854" s="11" t="s">
        <v>250</v>
      </c>
      <c r="K1854" s="11">
        <v>38</v>
      </c>
      <c r="L1854" s="12">
        <v>20</v>
      </c>
      <c r="M1854" s="13">
        <v>760</v>
      </c>
      <c r="N1854" s="11" t="s">
        <v>367</v>
      </c>
      <c r="O1854" s="11" t="s">
        <v>19</v>
      </c>
      <c r="Q1854"/>
    </row>
    <row r="1855" spans="1:17" ht="15.6" x14ac:dyDescent="0.3">
      <c r="A1855" s="15">
        <v>10314</v>
      </c>
      <c r="B1855" s="14">
        <v>38282</v>
      </c>
      <c r="C1855" s="14" t="s">
        <v>323</v>
      </c>
      <c r="D1855" s="15" t="s">
        <v>159</v>
      </c>
      <c r="E1855" s="15" t="s">
        <v>160</v>
      </c>
      <c r="F1855" s="15" t="s">
        <v>51</v>
      </c>
      <c r="G1855" s="15" t="s">
        <v>25</v>
      </c>
      <c r="H1855" s="15" t="s">
        <v>47</v>
      </c>
      <c r="I1855" s="15" t="s">
        <v>53</v>
      </c>
      <c r="J1855" s="15" t="s">
        <v>257</v>
      </c>
      <c r="K1855" s="15">
        <v>35</v>
      </c>
      <c r="L1855" s="16">
        <v>90</v>
      </c>
      <c r="M1855" s="17">
        <v>3150</v>
      </c>
      <c r="N1855" s="15" t="s">
        <v>367</v>
      </c>
      <c r="O1855" s="15" t="s">
        <v>19</v>
      </c>
      <c r="Q1855"/>
    </row>
    <row r="1856" spans="1:17" ht="15.6" x14ac:dyDescent="0.3">
      <c r="A1856" s="11">
        <v>10313</v>
      </c>
      <c r="B1856" s="10">
        <v>38282</v>
      </c>
      <c r="C1856" s="10" t="s">
        <v>342</v>
      </c>
      <c r="D1856" s="11" t="s">
        <v>195</v>
      </c>
      <c r="E1856" s="11" t="s">
        <v>196</v>
      </c>
      <c r="F1856" s="11" t="s">
        <v>169</v>
      </c>
      <c r="G1856" s="11" t="s">
        <v>16</v>
      </c>
      <c r="H1856" s="11" t="s">
        <v>35</v>
      </c>
      <c r="I1856" s="11" t="s">
        <v>38</v>
      </c>
      <c r="J1856" s="11" t="s">
        <v>249</v>
      </c>
      <c r="K1856" s="11">
        <v>34</v>
      </c>
      <c r="L1856" s="12">
        <v>20</v>
      </c>
      <c r="M1856" s="13">
        <v>680</v>
      </c>
      <c r="N1856" s="11" t="s">
        <v>367</v>
      </c>
      <c r="O1856" s="11" t="s">
        <v>19</v>
      </c>
      <c r="Q1856"/>
    </row>
    <row r="1857" spans="1:17" ht="15.6" x14ac:dyDescent="0.3">
      <c r="A1857" s="15">
        <v>10314</v>
      </c>
      <c r="B1857" s="14">
        <v>38282</v>
      </c>
      <c r="C1857" s="14" t="s">
        <v>323</v>
      </c>
      <c r="D1857" s="15" t="s">
        <v>159</v>
      </c>
      <c r="E1857" s="15" t="s">
        <v>160</v>
      </c>
      <c r="F1857" s="15" t="s">
        <v>51</v>
      </c>
      <c r="G1857" s="15" t="s">
        <v>25</v>
      </c>
      <c r="H1857" s="15" t="s">
        <v>35</v>
      </c>
      <c r="I1857" s="15" t="s">
        <v>39</v>
      </c>
      <c r="J1857" s="15" t="s">
        <v>250</v>
      </c>
      <c r="K1857" s="15">
        <v>28</v>
      </c>
      <c r="L1857" s="16">
        <v>20</v>
      </c>
      <c r="M1857" s="17">
        <v>560</v>
      </c>
      <c r="N1857" s="15" t="s">
        <v>367</v>
      </c>
      <c r="O1857" s="15" t="s">
        <v>19</v>
      </c>
      <c r="Q1857"/>
    </row>
    <row r="1858" spans="1:17" ht="15.6" x14ac:dyDescent="0.3">
      <c r="A1858" s="11">
        <v>10314</v>
      </c>
      <c r="B1858" s="10">
        <v>38282</v>
      </c>
      <c r="C1858" s="10" t="s">
        <v>323</v>
      </c>
      <c r="D1858" s="11" t="s">
        <v>159</v>
      </c>
      <c r="E1858" s="11" t="s">
        <v>160</v>
      </c>
      <c r="F1858" s="11" t="s">
        <v>51</v>
      </c>
      <c r="G1858" s="11" t="s">
        <v>25</v>
      </c>
      <c r="H1858" s="11" t="s">
        <v>47</v>
      </c>
      <c r="I1858" s="11" t="s">
        <v>53</v>
      </c>
      <c r="J1858" s="11" t="s">
        <v>257</v>
      </c>
      <c r="K1858" s="11">
        <v>38</v>
      </c>
      <c r="L1858" s="12">
        <v>90</v>
      </c>
      <c r="M1858" s="13">
        <v>3420</v>
      </c>
      <c r="N1858" s="11" t="s">
        <v>367</v>
      </c>
      <c r="O1858" s="11" t="s">
        <v>19</v>
      </c>
      <c r="Q1858"/>
    </row>
    <row r="1859" spans="1:17" ht="15.6" x14ac:dyDescent="0.3">
      <c r="A1859" s="15">
        <v>10314</v>
      </c>
      <c r="B1859" s="14">
        <v>38282</v>
      </c>
      <c r="C1859" s="14" t="s">
        <v>323</v>
      </c>
      <c r="D1859" s="15" t="s">
        <v>159</v>
      </c>
      <c r="E1859" s="15" t="s">
        <v>160</v>
      </c>
      <c r="F1859" s="15" t="s">
        <v>51</v>
      </c>
      <c r="G1859" s="15" t="s">
        <v>25</v>
      </c>
      <c r="H1859" s="15" t="s">
        <v>54</v>
      </c>
      <c r="I1859" s="15" t="s">
        <v>57</v>
      </c>
      <c r="J1859" s="15" t="s">
        <v>260</v>
      </c>
      <c r="K1859" s="15">
        <v>23</v>
      </c>
      <c r="L1859" s="16">
        <v>220</v>
      </c>
      <c r="M1859" s="17">
        <v>5060</v>
      </c>
      <c r="N1859" s="15" t="s">
        <v>367</v>
      </c>
      <c r="O1859" s="15" t="s">
        <v>19</v>
      </c>
      <c r="Q1859"/>
    </row>
    <row r="1860" spans="1:17" ht="15.6" x14ac:dyDescent="0.3">
      <c r="A1860" s="11">
        <v>10313</v>
      </c>
      <c r="B1860" s="10">
        <v>38282</v>
      </c>
      <c r="C1860" s="10" t="s">
        <v>342</v>
      </c>
      <c r="D1860" s="11" t="s">
        <v>195</v>
      </c>
      <c r="E1860" s="11" t="s">
        <v>196</v>
      </c>
      <c r="F1860" s="11" t="s">
        <v>169</v>
      </c>
      <c r="G1860" s="11" t="s">
        <v>16</v>
      </c>
      <c r="H1860" s="11" t="s">
        <v>32</v>
      </c>
      <c r="I1860" s="11" t="s">
        <v>44</v>
      </c>
      <c r="J1860" s="11" t="s">
        <v>252</v>
      </c>
      <c r="K1860" s="11">
        <v>30</v>
      </c>
      <c r="L1860" s="12">
        <v>55</v>
      </c>
      <c r="M1860" s="13">
        <v>1650</v>
      </c>
      <c r="N1860" s="11" t="s">
        <v>367</v>
      </c>
      <c r="O1860" s="11" t="s">
        <v>19</v>
      </c>
      <c r="Q1860"/>
    </row>
    <row r="1861" spans="1:17" ht="15.6" x14ac:dyDescent="0.3">
      <c r="A1861" s="15">
        <v>10315</v>
      </c>
      <c r="B1861" s="14">
        <v>38289</v>
      </c>
      <c r="C1861" s="14" t="s">
        <v>362</v>
      </c>
      <c r="D1861" s="15" t="s">
        <v>233</v>
      </c>
      <c r="E1861" s="15" t="s">
        <v>114</v>
      </c>
      <c r="F1861" s="15" t="s">
        <v>92</v>
      </c>
      <c r="G1861" s="15" t="s">
        <v>25</v>
      </c>
      <c r="H1861" s="15" t="s">
        <v>17</v>
      </c>
      <c r="I1861" s="15" t="s">
        <v>82</v>
      </c>
      <c r="J1861" s="15" t="s">
        <v>270</v>
      </c>
      <c r="K1861" s="15">
        <v>36</v>
      </c>
      <c r="L1861" s="16">
        <v>75</v>
      </c>
      <c r="M1861" s="17">
        <v>2700</v>
      </c>
      <c r="N1861" s="15" t="s">
        <v>367</v>
      </c>
      <c r="O1861" s="15" t="s">
        <v>19</v>
      </c>
      <c r="Q1861"/>
    </row>
    <row r="1862" spans="1:17" ht="15.6" x14ac:dyDescent="0.3">
      <c r="A1862" s="11">
        <v>10315</v>
      </c>
      <c r="B1862" s="10">
        <v>38289</v>
      </c>
      <c r="C1862" s="10" t="s">
        <v>362</v>
      </c>
      <c r="D1862" s="11" t="s">
        <v>233</v>
      </c>
      <c r="E1862" s="11" t="s">
        <v>114</v>
      </c>
      <c r="F1862" s="11" t="s">
        <v>92</v>
      </c>
      <c r="G1862" s="11" t="s">
        <v>25</v>
      </c>
      <c r="H1862" s="11" t="s">
        <v>54</v>
      </c>
      <c r="I1862" s="11" t="s">
        <v>57</v>
      </c>
      <c r="J1862" s="11" t="s">
        <v>260</v>
      </c>
      <c r="K1862" s="11">
        <v>35</v>
      </c>
      <c r="L1862" s="12">
        <v>220</v>
      </c>
      <c r="M1862" s="13">
        <v>7700</v>
      </c>
      <c r="N1862" s="11" t="s">
        <v>367</v>
      </c>
      <c r="O1862" s="11" t="s">
        <v>19</v>
      </c>
      <c r="Q1862"/>
    </row>
    <row r="1863" spans="1:17" ht="15.6" x14ac:dyDescent="0.3">
      <c r="A1863" s="15">
        <v>10315</v>
      </c>
      <c r="B1863" s="14">
        <v>38289</v>
      </c>
      <c r="C1863" s="14" t="s">
        <v>362</v>
      </c>
      <c r="D1863" s="15" t="s">
        <v>233</v>
      </c>
      <c r="E1863" s="15" t="s">
        <v>114</v>
      </c>
      <c r="F1863" s="15" t="s">
        <v>92</v>
      </c>
      <c r="G1863" s="15" t="s">
        <v>25</v>
      </c>
      <c r="H1863" s="15" t="s">
        <v>17</v>
      </c>
      <c r="I1863" s="15" t="s">
        <v>18</v>
      </c>
      <c r="J1863" s="15" t="s">
        <v>241</v>
      </c>
      <c r="K1863" s="15">
        <v>24</v>
      </c>
      <c r="L1863" s="16">
        <v>30</v>
      </c>
      <c r="M1863" s="17">
        <v>720</v>
      </c>
      <c r="N1863" s="15" t="s">
        <v>367</v>
      </c>
      <c r="O1863" s="15" t="s">
        <v>19</v>
      </c>
      <c r="Q1863"/>
    </row>
    <row r="1864" spans="1:17" ht="15.6" x14ac:dyDescent="0.3">
      <c r="A1864" s="11">
        <v>10315</v>
      </c>
      <c r="B1864" s="10">
        <v>38289</v>
      </c>
      <c r="C1864" s="10" t="s">
        <v>362</v>
      </c>
      <c r="D1864" s="11" t="s">
        <v>233</v>
      </c>
      <c r="E1864" s="11" t="s">
        <v>114</v>
      </c>
      <c r="F1864" s="11" t="s">
        <v>92</v>
      </c>
      <c r="G1864" s="11" t="s">
        <v>25</v>
      </c>
      <c r="H1864" s="11" t="s">
        <v>54</v>
      </c>
      <c r="I1864" s="11" t="s">
        <v>55</v>
      </c>
      <c r="J1864" s="11" t="s">
        <v>258</v>
      </c>
      <c r="K1864" s="11">
        <v>41</v>
      </c>
      <c r="L1864" s="12">
        <v>180</v>
      </c>
      <c r="M1864" s="13">
        <v>7380</v>
      </c>
      <c r="N1864" s="11" t="s">
        <v>367</v>
      </c>
      <c r="O1864" s="11" t="s">
        <v>19</v>
      </c>
      <c r="Q1864"/>
    </row>
    <row r="1865" spans="1:17" ht="15.6" x14ac:dyDescent="0.3">
      <c r="A1865" s="15">
        <v>10315</v>
      </c>
      <c r="B1865" s="14">
        <v>38289</v>
      </c>
      <c r="C1865" s="14" t="s">
        <v>362</v>
      </c>
      <c r="D1865" s="15" t="s">
        <v>233</v>
      </c>
      <c r="E1865" s="15" t="s">
        <v>114</v>
      </c>
      <c r="F1865" s="15" t="s">
        <v>92</v>
      </c>
      <c r="G1865" s="15" t="s">
        <v>25</v>
      </c>
      <c r="H1865" s="15" t="s">
        <v>54</v>
      </c>
      <c r="I1865" s="15" t="s">
        <v>57</v>
      </c>
      <c r="J1865" s="15" t="s">
        <v>260</v>
      </c>
      <c r="K1865" s="15">
        <v>31</v>
      </c>
      <c r="L1865" s="16">
        <v>220</v>
      </c>
      <c r="M1865" s="17">
        <v>6820</v>
      </c>
      <c r="N1865" s="15" t="s">
        <v>367</v>
      </c>
      <c r="O1865" s="15" t="s">
        <v>19</v>
      </c>
      <c r="Q1865"/>
    </row>
    <row r="1866" spans="1:17" ht="15.6" x14ac:dyDescent="0.3">
      <c r="A1866" s="11">
        <v>10315</v>
      </c>
      <c r="B1866" s="10">
        <v>38289</v>
      </c>
      <c r="C1866" s="10" t="s">
        <v>362</v>
      </c>
      <c r="D1866" s="11" t="s">
        <v>233</v>
      </c>
      <c r="E1866" s="11" t="s">
        <v>114</v>
      </c>
      <c r="F1866" s="11" t="s">
        <v>92</v>
      </c>
      <c r="G1866" s="11" t="s">
        <v>25</v>
      </c>
      <c r="H1866" s="11" t="s">
        <v>54</v>
      </c>
      <c r="I1866" s="11" t="s">
        <v>55</v>
      </c>
      <c r="J1866" s="11" t="s">
        <v>258</v>
      </c>
      <c r="K1866" s="11">
        <v>37</v>
      </c>
      <c r="L1866" s="12">
        <v>180</v>
      </c>
      <c r="M1866" s="13">
        <v>6660</v>
      </c>
      <c r="N1866" s="11" t="s">
        <v>367</v>
      </c>
      <c r="O1866" s="11" t="s">
        <v>19</v>
      </c>
      <c r="Q1866"/>
    </row>
    <row r="1867" spans="1:17" ht="15.6" x14ac:dyDescent="0.3">
      <c r="A1867" s="15">
        <v>10315</v>
      </c>
      <c r="B1867" s="14">
        <v>38289</v>
      </c>
      <c r="C1867" s="14" t="s">
        <v>362</v>
      </c>
      <c r="D1867" s="15" t="s">
        <v>233</v>
      </c>
      <c r="E1867" s="15" t="s">
        <v>114</v>
      </c>
      <c r="F1867" s="15" t="s">
        <v>92</v>
      </c>
      <c r="G1867" s="15" t="s">
        <v>25</v>
      </c>
      <c r="H1867" s="15" t="s">
        <v>54</v>
      </c>
      <c r="I1867" s="15" t="s">
        <v>56</v>
      </c>
      <c r="J1867" s="15" t="s">
        <v>259</v>
      </c>
      <c r="K1867" s="15">
        <v>40</v>
      </c>
      <c r="L1867" s="16">
        <v>250</v>
      </c>
      <c r="M1867" s="17">
        <v>10000</v>
      </c>
      <c r="N1867" s="15" t="s">
        <v>367</v>
      </c>
      <c r="O1867" s="15" t="s">
        <v>19</v>
      </c>
      <c r="Q1867"/>
    </row>
    <row r="1868" spans="1:17" ht="15.6" x14ac:dyDescent="0.3">
      <c r="A1868" s="11">
        <v>10316</v>
      </c>
      <c r="B1868" s="10">
        <v>38292</v>
      </c>
      <c r="C1868" s="10" t="s">
        <v>353</v>
      </c>
      <c r="D1868" s="11" t="s">
        <v>217</v>
      </c>
      <c r="E1868" s="11" t="s">
        <v>218</v>
      </c>
      <c r="F1868" s="11" t="s">
        <v>81</v>
      </c>
      <c r="G1868" s="11" t="s">
        <v>25</v>
      </c>
      <c r="H1868" s="11" t="s">
        <v>32</v>
      </c>
      <c r="I1868" s="11" t="s">
        <v>34</v>
      </c>
      <c r="J1868" s="11" t="s">
        <v>246</v>
      </c>
      <c r="K1868" s="11">
        <v>33</v>
      </c>
      <c r="L1868" s="12">
        <v>80</v>
      </c>
      <c r="M1868" s="13">
        <v>2640</v>
      </c>
      <c r="N1868" s="11" t="s">
        <v>367</v>
      </c>
      <c r="O1868" s="11" t="s">
        <v>19</v>
      </c>
      <c r="Q1868"/>
    </row>
    <row r="1869" spans="1:17" ht="15.6" x14ac:dyDescent="0.3">
      <c r="A1869" s="15">
        <v>10348</v>
      </c>
      <c r="B1869" s="14">
        <v>38292</v>
      </c>
      <c r="C1869" s="14" t="s">
        <v>300</v>
      </c>
      <c r="D1869" s="15" t="s">
        <v>117</v>
      </c>
      <c r="E1869" s="15" t="s">
        <v>42</v>
      </c>
      <c r="F1869" s="15" t="s">
        <v>43</v>
      </c>
      <c r="G1869" s="15" t="s">
        <v>25</v>
      </c>
      <c r="H1869" s="15" t="s">
        <v>32</v>
      </c>
      <c r="I1869" s="15" t="s">
        <v>34</v>
      </c>
      <c r="J1869" s="15" t="s">
        <v>246</v>
      </c>
      <c r="K1869" s="15">
        <v>48</v>
      </c>
      <c r="L1869" s="16">
        <v>80</v>
      </c>
      <c r="M1869" s="17">
        <v>3840</v>
      </c>
      <c r="N1869" s="15" t="s">
        <v>367</v>
      </c>
      <c r="O1869" s="15" t="s">
        <v>19</v>
      </c>
      <c r="Q1869"/>
    </row>
    <row r="1870" spans="1:17" ht="15.6" x14ac:dyDescent="0.3">
      <c r="A1870" s="11">
        <v>10348</v>
      </c>
      <c r="B1870" s="10">
        <v>38292</v>
      </c>
      <c r="C1870" s="10" t="s">
        <v>300</v>
      </c>
      <c r="D1870" s="11" t="s">
        <v>117</v>
      </c>
      <c r="E1870" s="11" t="s">
        <v>42</v>
      </c>
      <c r="F1870" s="11" t="s">
        <v>43</v>
      </c>
      <c r="G1870" s="11" t="s">
        <v>25</v>
      </c>
      <c r="H1870" s="11" t="s">
        <v>32</v>
      </c>
      <c r="I1870" s="11" t="s">
        <v>34</v>
      </c>
      <c r="J1870" s="11" t="s">
        <v>246</v>
      </c>
      <c r="K1870" s="11">
        <v>47</v>
      </c>
      <c r="L1870" s="12">
        <v>80</v>
      </c>
      <c r="M1870" s="13">
        <v>3760</v>
      </c>
      <c r="N1870" s="11" t="s">
        <v>367</v>
      </c>
      <c r="O1870" s="11" t="s">
        <v>19</v>
      </c>
      <c r="Q1870"/>
    </row>
    <row r="1871" spans="1:17" ht="15.6" x14ac:dyDescent="0.3">
      <c r="A1871" s="15">
        <v>10316</v>
      </c>
      <c r="B1871" s="14">
        <v>38292</v>
      </c>
      <c r="C1871" s="14" t="s">
        <v>353</v>
      </c>
      <c r="D1871" s="15" t="s">
        <v>217</v>
      </c>
      <c r="E1871" s="15" t="s">
        <v>218</v>
      </c>
      <c r="F1871" s="15" t="s">
        <v>81</v>
      </c>
      <c r="G1871" s="15" t="s">
        <v>25</v>
      </c>
      <c r="H1871" s="15" t="s">
        <v>61</v>
      </c>
      <c r="I1871" s="15" t="s">
        <v>62</v>
      </c>
      <c r="J1871" s="15" t="s">
        <v>261</v>
      </c>
      <c r="K1871" s="15">
        <v>27</v>
      </c>
      <c r="L1871" s="16">
        <v>15</v>
      </c>
      <c r="M1871" s="17">
        <v>405</v>
      </c>
      <c r="N1871" s="15" t="s">
        <v>367</v>
      </c>
      <c r="O1871" s="15" t="s">
        <v>19</v>
      </c>
      <c r="Q1871"/>
    </row>
    <row r="1872" spans="1:17" ht="15.6" x14ac:dyDescent="0.3">
      <c r="A1872" s="11">
        <v>10316</v>
      </c>
      <c r="B1872" s="10">
        <v>38292</v>
      </c>
      <c r="C1872" s="10" t="s">
        <v>353</v>
      </c>
      <c r="D1872" s="11" t="s">
        <v>217</v>
      </c>
      <c r="E1872" s="11" t="s">
        <v>218</v>
      </c>
      <c r="F1872" s="11" t="s">
        <v>81</v>
      </c>
      <c r="G1872" s="11" t="s">
        <v>25</v>
      </c>
      <c r="H1872" s="11" t="s">
        <v>54</v>
      </c>
      <c r="I1872" s="11" t="s">
        <v>55</v>
      </c>
      <c r="J1872" s="11" t="s">
        <v>258</v>
      </c>
      <c r="K1872" s="11">
        <v>21</v>
      </c>
      <c r="L1872" s="12">
        <v>180</v>
      </c>
      <c r="M1872" s="13">
        <v>3780</v>
      </c>
      <c r="N1872" s="11" t="s">
        <v>367</v>
      </c>
      <c r="O1872" s="11" t="s">
        <v>19</v>
      </c>
      <c r="Q1872"/>
    </row>
    <row r="1873" spans="1:17" ht="15.6" x14ac:dyDescent="0.3">
      <c r="A1873" s="15">
        <v>10316</v>
      </c>
      <c r="B1873" s="14">
        <v>38292</v>
      </c>
      <c r="C1873" s="14" t="s">
        <v>353</v>
      </c>
      <c r="D1873" s="15" t="s">
        <v>217</v>
      </c>
      <c r="E1873" s="15" t="s">
        <v>218</v>
      </c>
      <c r="F1873" s="15" t="s">
        <v>81</v>
      </c>
      <c r="G1873" s="15" t="s">
        <v>25</v>
      </c>
      <c r="H1873" s="15" t="s">
        <v>17</v>
      </c>
      <c r="I1873" s="15" t="s">
        <v>20</v>
      </c>
      <c r="J1873" s="15" t="s">
        <v>242</v>
      </c>
      <c r="K1873" s="15">
        <v>47</v>
      </c>
      <c r="L1873" s="16">
        <v>48</v>
      </c>
      <c r="M1873" s="17">
        <v>2256</v>
      </c>
      <c r="N1873" s="15" t="s">
        <v>367</v>
      </c>
      <c r="O1873" s="15" t="s">
        <v>19</v>
      </c>
      <c r="Q1873"/>
    </row>
    <row r="1874" spans="1:17" ht="15.6" x14ac:dyDescent="0.3">
      <c r="A1874" s="11">
        <v>10348</v>
      </c>
      <c r="B1874" s="10">
        <v>38292</v>
      </c>
      <c r="C1874" s="10" t="s">
        <v>300</v>
      </c>
      <c r="D1874" s="11" t="s">
        <v>117</v>
      </c>
      <c r="E1874" s="11" t="s">
        <v>42</v>
      </c>
      <c r="F1874" s="11" t="s">
        <v>43</v>
      </c>
      <c r="G1874" s="11" t="s">
        <v>25</v>
      </c>
      <c r="H1874" s="11" t="s">
        <v>17</v>
      </c>
      <c r="I1874" s="11" t="s">
        <v>21</v>
      </c>
      <c r="J1874" s="11" t="s">
        <v>243</v>
      </c>
      <c r="K1874" s="11">
        <v>29</v>
      </c>
      <c r="L1874" s="12">
        <v>110</v>
      </c>
      <c r="M1874" s="13">
        <v>3190</v>
      </c>
      <c r="N1874" s="11" t="s">
        <v>367</v>
      </c>
      <c r="O1874" s="11" t="s">
        <v>19</v>
      </c>
      <c r="Q1874"/>
    </row>
    <row r="1875" spans="1:17" ht="15.6" x14ac:dyDescent="0.3">
      <c r="A1875" s="15">
        <v>10316</v>
      </c>
      <c r="B1875" s="14">
        <v>38292</v>
      </c>
      <c r="C1875" s="14" t="s">
        <v>353</v>
      </c>
      <c r="D1875" s="15" t="s">
        <v>217</v>
      </c>
      <c r="E1875" s="15" t="s">
        <v>218</v>
      </c>
      <c r="F1875" s="15" t="s">
        <v>81</v>
      </c>
      <c r="G1875" s="15" t="s">
        <v>25</v>
      </c>
      <c r="H1875" s="15" t="s">
        <v>61</v>
      </c>
      <c r="I1875" s="15" t="s">
        <v>63</v>
      </c>
      <c r="J1875" s="15" t="s">
        <v>262</v>
      </c>
      <c r="K1875" s="15">
        <v>25</v>
      </c>
      <c r="L1875" s="16">
        <v>40</v>
      </c>
      <c r="M1875" s="17">
        <v>1000</v>
      </c>
      <c r="N1875" s="15" t="s">
        <v>367</v>
      </c>
      <c r="O1875" s="15" t="s">
        <v>19</v>
      </c>
      <c r="Q1875"/>
    </row>
    <row r="1876" spans="1:17" ht="15.6" x14ac:dyDescent="0.3">
      <c r="A1876" s="11">
        <v>10348</v>
      </c>
      <c r="B1876" s="10">
        <v>38292</v>
      </c>
      <c r="C1876" s="10" t="s">
        <v>300</v>
      </c>
      <c r="D1876" s="11" t="s">
        <v>117</v>
      </c>
      <c r="E1876" s="11" t="s">
        <v>42</v>
      </c>
      <c r="F1876" s="11" t="s">
        <v>43</v>
      </c>
      <c r="G1876" s="11" t="s">
        <v>25</v>
      </c>
      <c r="H1876" s="11" t="s">
        <v>35</v>
      </c>
      <c r="I1876" s="11" t="s">
        <v>40</v>
      </c>
      <c r="J1876" s="11" t="s">
        <v>251</v>
      </c>
      <c r="K1876" s="11">
        <v>37</v>
      </c>
      <c r="L1876" s="12">
        <v>25</v>
      </c>
      <c r="M1876" s="13">
        <v>925</v>
      </c>
      <c r="N1876" s="11" t="s">
        <v>367</v>
      </c>
      <c r="O1876" s="11" t="s">
        <v>19</v>
      </c>
      <c r="Q1876"/>
    </row>
    <row r="1877" spans="1:17" ht="15.6" x14ac:dyDescent="0.3">
      <c r="A1877" s="15">
        <v>10316</v>
      </c>
      <c r="B1877" s="14">
        <v>38292</v>
      </c>
      <c r="C1877" s="14" t="s">
        <v>353</v>
      </c>
      <c r="D1877" s="15" t="s">
        <v>217</v>
      </c>
      <c r="E1877" s="15" t="s">
        <v>218</v>
      </c>
      <c r="F1877" s="15" t="s">
        <v>81</v>
      </c>
      <c r="G1877" s="15" t="s">
        <v>25</v>
      </c>
      <c r="H1877" s="15" t="s">
        <v>61</v>
      </c>
      <c r="I1877" s="15" t="s">
        <v>63</v>
      </c>
      <c r="J1877" s="15" t="s">
        <v>262</v>
      </c>
      <c r="K1877" s="15">
        <v>34</v>
      </c>
      <c r="L1877" s="16">
        <v>40</v>
      </c>
      <c r="M1877" s="17">
        <v>1360</v>
      </c>
      <c r="N1877" s="15" t="s">
        <v>367</v>
      </c>
      <c r="O1877" s="15" t="s">
        <v>19</v>
      </c>
      <c r="Q1877"/>
    </row>
    <row r="1878" spans="1:17" ht="15.6" x14ac:dyDescent="0.3">
      <c r="A1878" s="11">
        <v>10316</v>
      </c>
      <c r="B1878" s="10">
        <v>38292</v>
      </c>
      <c r="C1878" s="10" t="s">
        <v>353</v>
      </c>
      <c r="D1878" s="11" t="s">
        <v>217</v>
      </c>
      <c r="E1878" s="11" t="s">
        <v>218</v>
      </c>
      <c r="F1878" s="11" t="s">
        <v>81</v>
      </c>
      <c r="G1878" s="11" t="s">
        <v>25</v>
      </c>
      <c r="H1878" s="11" t="s">
        <v>17</v>
      </c>
      <c r="I1878" s="11" t="s">
        <v>20</v>
      </c>
      <c r="J1878" s="11" t="s">
        <v>242</v>
      </c>
      <c r="K1878" s="11">
        <v>47</v>
      </c>
      <c r="L1878" s="12">
        <v>48</v>
      </c>
      <c r="M1878" s="13">
        <v>2256</v>
      </c>
      <c r="N1878" s="11" t="s">
        <v>367</v>
      </c>
      <c r="O1878" s="11" t="s">
        <v>19</v>
      </c>
      <c r="Q1878"/>
    </row>
    <row r="1879" spans="1:17" ht="15.6" x14ac:dyDescent="0.3">
      <c r="A1879" s="15">
        <v>10316</v>
      </c>
      <c r="B1879" s="14">
        <v>38292</v>
      </c>
      <c r="C1879" s="14" t="s">
        <v>353</v>
      </c>
      <c r="D1879" s="15" t="s">
        <v>217</v>
      </c>
      <c r="E1879" s="15" t="s">
        <v>218</v>
      </c>
      <c r="F1879" s="15" t="s">
        <v>81</v>
      </c>
      <c r="G1879" s="15" t="s">
        <v>25</v>
      </c>
      <c r="H1879" s="15" t="s">
        <v>17</v>
      </c>
      <c r="I1879" s="15" t="s">
        <v>20</v>
      </c>
      <c r="J1879" s="15" t="s">
        <v>242</v>
      </c>
      <c r="K1879" s="15">
        <v>25</v>
      </c>
      <c r="L1879" s="16">
        <v>48</v>
      </c>
      <c r="M1879" s="17">
        <v>1200</v>
      </c>
      <c r="N1879" s="15" t="s">
        <v>367</v>
      </c>
      <c r="O1879" s="15" t="s">
        <v>19</v>
      </c>
      <c r="Q1879"/>
    </row>
    <row r="1880" spans="1:17" ht="15.6" x14ac:dyDescent="0.3">
      <c r="A1880" s="11">
        <v>10316</v>
      </c>
      <c r="B1880" s="10">
        <v>38292</v>
      </c>
      <c r="C1880" s="10" t="s">
        <v>353</v>
      </c>
      <c r="D1880" s="11" t="s">
        <v>217</v>
      </c>
      <c r="E1880" s="11" t="s">
        <v>218</v>
      </c>
      <c r="F1880" s="11" t="s">
        <v>81</v>
      </c>
      <c r="G1880" s="11" t="s">
        <v>25</v>
      </c>
      <c r="H1880" s="11" t="s">
        <v>61</v>
      </c>
      <c r="I1880" s="11" t="s">
        <v>62</v>
      </c>
      <c r="J1880" s="11" t="s">
        <v>261</v>
      </c>
      <c r="K1880" s="11">
        <v>30</v>
      </c>
      <c r="L1880" s="12">
        <v>15</v>
      </c>
      <c r="M1880" s="13">
        <v>450</v>
      </c>
      <c r="N1880" s="11" t="s">
        <v>367</v>
      </c>
      <c r="O1880" s="11" t="s">
        <v>19</v>
      </c>
      <c r="Q1880"/>
    </row>
    <row r="1881" spans="1:17" ht="15.6" x14ac:dyDescent="0.3">
      <c r="A1881" s="15">
        <v>10348</v>
      </c>
      <c r="B1881" s="14">
        <v>38292</v>
      </c>
      <c r="C1881" s="14" t="s">
        <v>300</v>
      </c>
      <c r="D1881" s="15" t="s">
        <v>117</v>
      </c>
      <c r="E1881" s="15" t="s">
        <v>42</v>
      </c>
      <c r="F1881" s="15" t="s">
        <v>43</v>
      </c>
      <c r="G1881" s="15" t="s">
        <v>25</v>
      </c>
      <c r="H1881" s="15" t="s">
        <v>17</v>
      </c>
      <c r="I1881" s="15" t="s">
        <v>20</v>
      </c>
      <c r="J1881" s="15" t="s">
        <v>242</v>
      </c>
      <c r="K1881" s="15">
        <v>39</v>
      </c>
      <c r="L1881" s="16">
        <v>48</v>
      </c>
      <c r="M1881" s="17">
        <v>1872</v>
      </c>
      <c r="N1881" s="15" t="s">
        <v>367</v>
      </c>
      <c r="O1881" s="15" t="s">
        <v>19</v>
      </c>
      <c r="Q1881"/>
    </row>
    <row r="1882" spans="1:17" ht="15.6" x14ac:dyDescent="0.3">
      <c r="A1882" s="11">
        <v>10348</v>
      </c>
      <c r="B1882" s="10">
        <v>38292</v>
      </c>
      <c r="C1882" s="10" t="s">
        <v>300</v>
      </c>
      <c r="D1882" s="11" t="s">
        <v>117</v>
      </c>
      <c r="E1882" s="11" t="s">
        <v>42</v>
      </c>
      <c r="F1882" s="11" t="s">
        <v>43</v>
      </c>
      <c r="G1882" s="11" t="s">
        <v>25</v>
      </c>
      <c r="H1882" s="11" t="s">
        <v>35</v>
      </c>
      <c r="I1882" s="11" t="s">
        <v>38</v>
      </c>
      <c r="J1882" s="11" t="s">
        <v>249</v>
      </c>
      <c r="K1882" s="11">
        <v>42</v>
      </c>
      <c r="L1882" s="12">
        <v>20</v>
      </c>
      <c r="M1882" s="13">
        <v>840</v>
      </c>
      <c r="N1882" s="11" t="s">
        <v>367</v>
      </c>
      <c r="O1882" s="11" t="s">
        <v>19</v>
      </c>
      <c r="Q1882"/>
    </row>
    <row r="1883" spans="1:17" ht="15.6" x14ac:dyDescent="0.3">
      <c r="A1883" s="15">
        <v>10348</v>
      </c>
      <c r="B1883" s="14">
        <v>38292</v>
      </c>
      <c r="C1883" s="14" t="s">
        <v>300</v>
      </c>
      <c r="D1883" s="15" t="s">
        <v>117</v>
      </c>
      <c r="E1883" s="15" t="s">
        <v>42</v>
      </c>
      <c r="F1883" s="15" t="s">
        <v>43</v>
      </c>
      <c r="G1883" s="15" t="s">
        <v>25</v>
      </c>
      <c r="H1883" s="15" t="s">
        <v>35</v>
      </c>
      <c r="I1883" s="15" t="s">
        <v>39</v>
      </c>
      <c r="J1883" s="15" t="s">
        <v>250</v>
      </c>
      <c r="K1883" s="15">
        <v>31</v>
      </c>
      <c r="L1883" s="16">
        <v>20</v>
      </c>
      <c r="M1883" s="17">
        <v>620</v>
      </c>
      <c r="N1883" s="15" t="s">
        <v>367</v>
      </c>
      <c r="O1883" s="15" t="s">
        <v>19</v>
      </c>
      <c r="Q1883"/>
    </row>
    <row r="1884" spans="1:17" ht="15.6" x14ac:dyDescent="0.3">
      <c r="A1884" s="11">
        <v>10316</v>
      </c>
      <c r="B1884" s="10">
        <v>38292</v>
      </c>
      <c r="C1884" s="10" t="s">
        <v>353</v>
      </c>
      <c r="D1884" s="11" t="s">
        <v>217</v>
      </c>
      <c r="E1884" s="11" t="s">
        <v>218</v>
      </c>
      <c r="F1884" s="11" t="s">
        <v>81</v>
      </c>
      <c r="G1884" s="11" t="s">
        <v>25</v>
      </c>
      <c r="H1884" s="11" t="s">
        <v>17</v>
      </c>
      <c r="I1884" s="11" t="s">
        <v>20</v>
      </c>
      <c r="J1884" s="11" t="s">
        <v>242</v>
      </c>
      <c r="K1884" s="11">
        <v>24</v>
      </c>
      <c r="L1884" s="12">
        <v>48</v>
      </c>
      <c r="M1884" s="13">
        <v>1152</v>
      </c>
      <c r="N1884" s="11" t="s">
        <v>367</v>
      </c>
      <c r="O1884" s="11" t="s">
        <v>19</v>
      </c>
      <c r="Q1884"/>
    </row>
    <row r="1885" spans="1:17" ht="15.6" x14ac:dyDescent="0.3">
      <c r="A1885" s="15">
        <v>10316</v>
      </c>
      <c r="B1885" s="14">
        <v>38292</v>
      </c>
      <c r="C1885" s="14" t="s">
        <v>353</v>
      </c>
      <c r="D1885" s="15" t="s">
        <v>217</v>
      </c>
      <c r="E1885" s="15" t="s">
        <v>218</v>
      </c>
      <c r="F1885" s="15" t="s">
        <v>81</v>
      </c>
      <c r="G1885" s="15" t="s">
        <v>25</v>
      </c>
      <c r="H1885" s="15" t="s">
        <v>17</v>
      </c>
      <c r="I1885" s="15" t="s">
        <v>82</v>
      </c>
      <c r="J1885" s="15" t="s">
        <v>270</v>
      </c>
      <c r="K1885" s="15">
        <v>34</v>
      </c>
      <c r="L1885" s="16">
        <v>75</v>
      </c>
      <c r="M1885" s="17">
        <v>2550</v>
      </c>
      <c r="N1885" s="15" t="s">
        <v>367</v>
      </c>
      <c r="O1885" s="15" t="s">
        <v>19</v>
      </c>
      <c r="Q1885"/>
    </row>
    <row r="1886" spans="1:17" ht="15.6" x14ac:dyDescent="0.3">
      <c r="A1886" s="11">
        <v>10316</v>
      </c>
      <c r="B1886" s="10">
        <v>38292</v>
      </c>
      <c r="C1886" s="10" t="s">
        <v>353</v>
      </c>
      <c r="D1886" s="11" t="s">
        <v>217</v>
      </c>
      <c r="E1886" s="11" t="s">
        <v>218</v>
      </c>
      <c r="F1886" s="11" t="s">
        <v>81</v>
      </c>
      <c r="G1886" s="11" t="s">
        <v>25</v>
      </c>
      <c r="H1886" s="11" t="s">
        <v>61</v>
      </c>
      <c r="I1886" s="11" t="s">
        <v>62</v>
      </c>
      <c r="J1886" s="11" t="s">
        <v>261</v>
      </c>
      <c r="K1886" s="11">
        <v>34</v>
      </c>
      <c r="L1886" s="12">
        <v>15</v>
      </c>
      <c r="M1886" s="13">
        <v>510</v>
      </c>
      <c r="N1886" s="11" t="s">
        <v>367</v>
      </c>
      <c r="O1886" s="11" t="s">
        <v>19</v>
      </c>
      <c r="Q1886"/>
    </row>
    <row r="1887" spans="1:17" ht="15.6" x14ac:dyDescent="0.3">
      <c r="A1887" s="15">
        <v>10316</v>
      </c>
      <c r="B1887" s="14">
        <v>38292</v>
      </c>
      <c r="C1887" s="14" t="s">
        <v>353</v>
      </c>
      <c r="D1887" s="15" t="s">
        <v>217</v>
      </c>
      <c r="E1887" s="15" t="s">
        <v>218</v>
      </c>
      <c r="F1887" s="15" t="s">
        <v>81</v>
      </c>
      <c r="G1887" s="15" t="s">
        <v>25</v>
      </c>
      <c r="H1887" s="15" t="s">
        <v>54</v>
      </c>
      <c r="I1887" s="15" t="s">
        <v>56</v>
      </c>
      <c r="J1887" s="15" t="s">
        <v>259</v>
      </c>
      <c r="K1887" s="15">
        <v>45</v>
      </c>
      <c r="L1887" s="16">
        <v>250</v>
      </c>
      <c r="M1887" s="17">
        <v>11250</v>
      </c>
      <c r="N1887" s="15" t="s">
        <v>367</v>
      </c>
      <c r="O1887" s="15" t="s">
        <v>19</v>
      </c>
      <c r="Q1887"/>
    </row>
    <row r="1888" spans="1:17" ht="15.6" x14ac:dyDescent="0.3">
      <c r="A1888" s="11">
        <v>10316</v>
      </c>
      <c r="B1888" s="10">
        <v>38292</v>
      </c>
      <c r="C1888" s="10" t="s">
        <v>353</v>
      </c>
      <c r="D1888" s="11" t="s">
        <v>217</v>
      </c>
      <c r="E1888" s="11" t="s">
        <v>218</v>
      </c>
      <c r="F1888" s="11" t="s">
        <v>81</v>
      </c>
      <c r="G1888" s="11" t="s">
        <v>25</v>
      </c>
      <c r="H1888" s="11" t="s">
        <v>61</v>
      </c>
      <c r="I1888" s="11" t="s">
        <v>62</v>
      </c>
      <c r="J1888" s="11" t="s">
        <v>261</v>
      </c>
      <c r="K1888" s="11">
        <v>23</v>
      </c>
      <c r="L1888" s="12">
        <v>15</v>
      </c>
      <c r="M1888" s="13">
        <v>345</v>
      </c>
      <c r="N1888" s="11" t="s">
        <v>367</v>
      </c>
      <c r="O1888" s="11" t="s">
        <v>19</v>
      </c>
      <c r="Q1888"/>
    </row>
    <row r="1889" spans="1:17" ht="15.6" x14ac:dyDescent="0.3">
      <c r="A1889" s="15">
        <v>10316</v>
      </c>
      <c r="B1889" s="14">
        <v>38292</v>
      </c>
      <c r="C1889" s="14" t="s">
        <v>353</v>
      </c>
      <c r="D1889" s="15" t="s">
        <v>217</v>
      </c>
      <c r="E1889" s="15" t="s">
        <v>218</v>
      </c>
      <c r="F1889" s="15" t="s">
        <v>81</v>
      </c>
      <c r="G1889" s="15" t="s">
        <v>25</v>
      </c>
      <c r="H1889" s="15" t="s">
        <v>54</v>
      </c>
      <c r="I1889" s="15" t="s">
        <v>55</v>
      </c>
      <c r="J1889" s="15" t="s">
        <v>258</v>
      </c>
      <c r="K1889" s="15">
        <v>48</v>
      </c>
      <c r="L1889" s="16">
        <v>180</v>
      </c>
      <c r="M1889" s="17">
        <v>8640</v>
      </c>
      <c r="N1889" s="15" t="s">
        <v>367</v>
      </c>
      <c r="O1889" s="15" t="s">
        <v>19</v>
      </c>
      <c r="Q1889"/>
    </row>
    <row r="1890" spans="1:17" ht="15.6" x14ac:dyDescent="0.3">
      <c r="A1890" s="11">
        <v>10348</v>
      </c>
      <c r="B1890" s="10">
        <v>38292</v>
      </c>
      <c r="C1890" s="10" t="s">
        <v>300</v>
      </c>
      <c r="D1890" s="11" t="s">
        <v>117</v>
      </c>
      <c r="E1890" s="11" t="s">
        <v>42</v>
      </c>
      <c r="F1890" s="11" t="s">
        <v>43</v>
      </c>
      <c r="G1890" s="11" t="s">
        <v>25</v>
      </c>
      <c r="H1890" s="11" t="s">
        <v>32</v>
      </c>
      <c r="I1890" s="11" t="s">
        <v>34</v>
      </c>
      <c r="J1890" s="11" t="s">
        <v>246</v>
      </c>
      <c r="K1890" s="11">
        <v>32</v>
      </c>
      <c r="L1890" s="12">
        <v>80</v>
      </c>
      <c r="M1890" s="13">
        <v>2560</v>
      </c>
      <c r="N1890" s="11" t="s">
        <v>367</v>
      </c>
      <c r="O1890" s="11" t="s">
        <v>19</v>
      </c>
      <c r="Q1890"/>
    </row>
    <row r="1891" spans="1:17" ht="15.6" x14ac:dyDescent="0.3">
      <c r="A1891" s="15">
        <v>10316</v>
      </c>
      <c r="B1891" s="14">
        <v>38292</v>
      </c>
      <c r="C1891" s="14" t="s">
        <v>353</v>
      </c>
      <c r="D1891" s="15" t="s">
        <v>217</v>
      </c>
      <c r="E1891" s="15" t="s">
        <v>218</v>
      </c>
      <c r="F1891" s="15" t="s">
        <v>81</v>
      </c>
      <c r="G1891" s="15" t="s">
        <v>25</v>
      </c>
      <c r="H1891" s="15" t="s">
        <v>61</v>
      </c>
      <c r="I1891" s="15" t="s">
        <v>65</v>
      </c>
      <c r="J1891" s="15" t="s">
        <v>264</v>
      </c>
      <c r="K1891" s="15">
        <v>48</v>
      </c>
      <c r="L1891" s="16">
        <v>30</v>
      </c>
      <c r="M1891" s="17">
        <v>1440</v>
      </c>
      <c r="N1891" s="15" t="s">
        <v>367</v>
      </c>
      <c r="O1891" s="15" t="s">
        <v>19</v>
      </c>
      <c r="Q1891"/>
    </row>
    <row r="1892" spans="1:17" ht="15.6" x14ac:dyDescent="0.3">
      <c r="A1892" s="11">
        <v>10316</v>
      </c>
      <c r="B1892" s="10">
        <v>38292</v>
      </c>
      <c r="C1892" s="10" t="s">
        <v>353</v>
      </c>
      <c r="D1892" s="11" t="s">
        <v>217</v>
      </c>
      <c r="E1892" s="11" t="s">
        <v>218</v>
      </c>
      <c r="F1892" s="11" t="s">
        <v>81</v>
      </c>
      <c r="G1892" s="11" t="s">
        <v>25</v>
      </c>
      <c r="H1892" s="11" t="s">
        <v>61</v>
      </c>
      <c r="I1892" s="11" t="s">
        <v>62</v>
      </c>
      <c r="J1892" s="11" t="s">
        <v>261</v>
      </c>
      <c r="K1892" s="11">
        <v>44</v>
      </c>
      <c r="L1892" s="12">
        <v>15</v>
      </c>
      <c r="M1892" s="13">
        <v>660</v>
      </c>
      <c r="N1892" s="11" t="s">
        <v>367</v>
      </c>
      <c r="O1892" s="11" t="s">
        <v>19</v>
      </c>
      <c r="Q1892"/>
    </row>
    <row r="1893" spans="1:17" ht="15.6" x14ac:dyDescent="0.3">
      <c r="A1893" s="15">
        <v>10316</v>
      </c>
      <c r="B1893" s="14">
        <v>38292</v>
      </c>
      <c r="C1893" s="14" t="s">
        <v>353</v>
      </c>
      <c r="D1893" s="15" t="s">
        <v>217</v>
      </c>
      <c r="E1893" s="15" t="s">
        <v>218</v>
      </c>
      <c r="F1893" s="15" t="s">
        <v>81</v>
      </c>
      <c r="G1893" s="15" t="s">
        <v>25</v>
      </c>
      <c r="H1893" s="15" t="s">
        <v>61</v>
      </c>
      <c r="I1893" s="15" t="s">
        <v>62</v>
      </c>
      <c r="J1893" s="15" t="s">
        <v>261</v>
      </c>
      <c r="K1893" s="15">
        <v>34</v>
      </c>
      <c r="L1893" s="16">
        <v>15</v>
      </c>
      <c r="M1893" s="17">
        <v>510</v>
      </c>
      <c r="N1893" s="15" t="s">
        <v>367</v>
      </c>
      <c r="O1893" s="15" t="s">
        <v>19</v>
      </c>
      <c r="Q1893"/>
    </row>
    <row r="1894" spans="1:17" ht="15.6" x14ac:dyDescent="0.3">
      <c r="A1894" s="11">
        <v>10318</v>
      </c>
      <c r="B1894" s="10">
        <v>38293</v>
      </c>
      <c r="C1894" s="10" t="s">
        <v>361</v>
      </c>
      <c r="D1894" s="11" t="s">
        <v>231</v>
      </c>
      <c r="E1894" s="11" t="s">
        <v>232</v>
      </c>
      <c r="F1894" s="11" t="s">
        <v>15</v>
      </c>
      <c r="G1894" s="11" t="s">
        <v>16</v>
      </c>
      <c r="H1894" s="11" t="s">
        <v>68</v>
      </c>
      <c r="I1894" s="11" t="s">
        <v>70</v>
      </c>
      <c r="J1894" s="11" t="s">
        <v>267</v>
      </c>
      <c r="K1894" s="11">
        <v>46</v>
      </c>
      <c r="L1894" s="12">
        <v>50</v>
      </c>
      <c r="M1894" s="13">
        <v>2300</v>
      </c>
      <c r="N1894" s="11" t="s">
        <v>367</v>
      </c>
      <c r="O1894" s="11" t="s">
        <v>19</v>
      </c>
      <c r="Q1894"/>
    </row>
    <row r="1895" spans="1:17" ht="15.6" x14ac:dyDescent="0.3">
      <c r="A1895" s="15">
        <v>10318</v>
      </c>
      <c r="B1895" s="14">
        <v>38293</v>
      </c>
      <c r="C1895" s="14" t="s">
        <v>361</v>
      </c>
      <c r="D1895" s="15" t="s">
        <v>231</v>
      </c>
      <c r="E1895" s="15" t="s">
        <v>232</v>
      </c>
      <c r="F1895" s="15" t="s">
        <v>15</v>
      </c>
      <c r="G1895" s="15" t="s">
        <v>16</v>
      </c>
      <c r="H1895" s="15" t="s">
        <v>68</v>
      </c>
      <c r="I1895" s="15" t="s">
        <v>108</v>
      </c>
      <c r="J1895" s="15" t="s">
        <v>271</v>
      </c>
      <c r="K1895" s="15">
        <v>45</v>
      </c>
      <c r="L1895" s="16">
        <v>45</v>
      </c>
      <c r="M1895" s="17">
        <v>2025</v>
      </c>
      <c r="N1895" s="15" t="s">
        <v>367</v>
      </c>
      <c r="O1895" s="15" t="s">
        <v>19</v>
      </c>
      <c r="Q1895"/>
    </row>
    <row r="1896" spans="1:17" ht="15.6" x14ac:dyDescent="0.3">
      <c r="A1896" s="11">
        <v>10318</v>
      </c>
      <c r="B1896" s="10">
        <v>38293</v>
      </c>
      <c r="C1896" s="10" t="s">
        <v>361</v>
      </c>
      <c r="D1896" s="11" t="s">
        <v>231</v>
      </c>
      <c r="E1896" s="11" t="s">
        <v>232</v>
      </c>
      <c r="F1896" s="11" t="s">
        <v>15</v>
      </c>
      <c r="G1896" s="11" t="s">
        <v>16</v>
      </c>
      <c r="H1896" s="11" t="s">
        <v>68</v>
      </c>
      <c r="I1896" s="11" t="s">
        <v>70</v>
      </c>
      <c r="J1896" s="11" t="s">
        <v>267</v>
      </c>
      <c r="K1896" s="11">
        <v>37</v>
      </c>
      <c r="L1896" s="12">
        <v>50</v>
      </c>
      <c r="M1896" s="13">
        <v>1850</v>
      </c>
      <c r="N1896" s="11" t="s">
        <v>367</v>
      </c>
      <c r="O1896" s="11" t="s">
        <v>19</v>
      </c>
      <c r="Q1896"/>
    </row>
    <row r="1897" spans="1:17" ht="15.6" x14ac:dyDescent="0.3">
      <c r="A1897" s="15">
        <v>10318</v>
      </c>
      <c r="B1897" s="14">
        <v>38293</v>
      </c>
      <c r="C1897" s="14" t="s">
        <v>361</v>
      </c>
      <c r="D1897" s="15" t="s">
        <v>231</v>
      </c>
      <c r="E1897" s="15" t="s">
        <v>232</v>
      </c>
      <c r="F1897" s="15" t="s">
        <v>15</v>
      </c>
      <c r="G1897" s="15" t="s">
        <v>16</v>
      </c>
      <c r="H1897" s="15" t="s">
        <v>61</v>
      </c>
      <c r="I1897" s="15" t="s">
        <v>62</v>
      </c>
      <c r="J1897" s="15" t="s">
        <v>261</v>
      </c>
      <c r="K1897" s="15">
        <v>31</v>
      </c>
      <c r="L1897" s="16">
        <v>15</v>
      </c>
      <c r="M1897" s="17">
        <v>465</v>
      </c>
      <c r="N1897" s="15" t="s">
        <v>367</v>
      </c>
      <c r="O1897" s="15" t="s">
        <v>19</v>
      </c>
      <c r="Q1897"/>
    </row>
    <row r="1898" spans="1:17" ht="15.6" x14ac:dyDescent="0.3">
      <c r="A1898" s="11">
        <v>10318</v>
      </c>
      <c r="B1898" s="10">
        <v>38293</v>
      </c>
      <c r="C1898" s="10" t="s">
        <v>361</v>
      </c>
      <c r="D1898" s="11" t="s">
        <v>231</v>
      </c>
      <c r="E1898" s="11" t="s">
        <v>232</v>
      </c>
      <c r="F1898" s="11" t="s">
        <v>15</v>
      </c>
      <c r="G1898" s="11" t="s">
        <v>16</v>
      </c>
      <c r="H1898" s="11" t="s">
        <v>68</v>
      </c>
      <c r="I1898" s="11" t="s">
        <v>69</v>
      </c>
      <c r="J1898" s="11" t="s">
        <v>266</v>
      </c>
      <c r="K1898" s="11">
        <v>42</v>
      </c>
      <c r="L1898" s="12">
        <v>25</v>
      </c>
      <c r="M1898" s="13">
        <v>1050</v>
      </c>
      <c r="N1898" s="11" t="s">
        <v>367</v>
      </c>
      <c r="O1898" s="11" t="s">
        <v>19</v>
      </c>
      <c r="Q1898"/>
    </row>
    <row r="1899" spans="1:17" ht="15.6" x14ac:dyDescent="0.3">
      <c r="A1899" s="15">
        <v>10318</v>
      </c>
      <c r="B1899" s="14">
        <v>38293</v>
      </c>
      <c r="C1899" s="14" t="s">
        <v>361</v>
      </c>
      <c r="D1899" s="15" t="s">
        <v>231</v>
      </c>
      <c r="E1899" s="15" t="s">
        <v>232</v>
      </c>
      <c r="F1899" s="15" t="s">
        <v>15</v>
      </c>
      <c r="G1899" s="15" t="s">
        <v>16</v>
      </c>
      <c r="H1899" s="15" t="s">
        <v>68</v>
      </c>
      <c r="I1899" s="15" t="s">
        <v>70</v>
      </c>
      <c r="J1899" s="15" t="s">
        <v>267</v>
      </c>
      <c r="K1899" s="15">
        <v>48</v>
      </c>
      <c r="L1899" s="16">
        <v>50</v>
      </c>
      <c r="M1899" s="17">
        <v>2400</v>
      </c>
      <c r="N1899" s="15" t="s">
        <v>367</v>
      </c>
      <c r="O1899" s="15" t="s">
        <v>19</v>
      </c>
      <c r="Q1899"/>
    </row>
    <row r="1900" spans="1:17" ht="15.6" x14ac:dyDescent="0.3">
      <c r="A1900" s="11">
        <v>10318</v>
      </c>
      <c r="B1900" s="10">
        <v>38293</v>
      </c>
      <c r="C1900" s="10" t="s">
        <v>361</v>
      </c>
      <c r="D1900" s="11" t="s">
        <v>231</v>
      </c>
      <c r="E1900" s="11" t="s">
        <v>232</v>
      </c>
      <c r="F1900" s="11" t="s">
        <v>15</v>
      </c>
      <c r="G1900" s="11" t="s">
        <v>16</v>
      </c>
      <c r="H1900" s="11" t="s">
        <v>68</v>
      </c>
      <c r="I1900" s="11" t="s">
        <v>70</v>
      </c>
      <c r="J1900" s="11" t="s">
        <v>267</v>
      </c>
      <c r="K1900" s="11">
        <v>26</v>
      </c>
      <c r="L1900" s="12">
        <v>50</v>
      </c>
      <c r="M1900" s="13">
        <v>1300</v>
      </c>
      <c r="N1900" s="11" t="s">
        <v>367</v>
      </c>
      <c r="O1900" s="11" t="s">
        <v>19</v>
      </c>
      <c r="Q1900"/>
    </row>
    <row r="1901" spans="1:17" ht="15.6" x14ac:dyDescent="0.3">
      <c r="A1901" s="15">
        <v>10317</v>
      </c>
      <c r="B1901" s="14">
        <v>38293</v>
      </c>
      <c r="C1901" s="14" t="s">
        <v>308</v>
      </c>
      <c r="D1901" s="15" t="s">
        <v>131</v>
      </c>
      <c r="E1901" s="15" t="s">
        <v>132</v>
      </c>
      <c r="F1901" s="15" t="s">
        <v>15</v>
      </c>
      <c r="G1901" s="15" t="s">
        <v>16</v>
      </c>
      <c r="H1901" s="15" t="s">
        <v>61</v>
      </c>
      <c r="I1901" s="15" t="s">
        <v>62</v>
      </c>
      <c r="J1901" s="15" t="s">
        <v>261</v>
      </c>
      <c r="K1901" s="15">
        <v>35</v>
      </c>
      <c r="L1901" s="16">
        <v>15</v>
      </c>
      <c r="M1901" s="17">
        <v>525</v>
      </c>
      <c r="N1901" s="15" t="s">
        <v>367</v>
      </c>
      <c r="O1901" s="15" t="s">
        <v>19</v>
      </c>
      <c r="Q1901"/>
    </row>
    <row r="1902" spans="1:17" ht="15.6" x14ac:dyDescent="0.3">
      <c r="A1902" s="11">
        <v>10318</v>
      </c>
      <c r="B1902" s="10">
        <v>38293</v>
      </c>
      <c r="C1902" s="10" t="s">
        <v>361</v>
      </c>
      <c r="D1902" s="11" t="s">
        <v>231</v>
      </c>
      <c r="E1902" s="11" t="s">
        <v>232</v>
      </c>
      <c r="F1902" s="11" t="s">
        <v>15</v>
      </c>
      <c r="G1902" s="11" t="s">
        <v>16</v>
      </c>
      <c r="H1902" s="11" t="s">
        <v>68</v>
      </c>
      <c r="I1902" s="11" t="s">
        <v>69</v>
      </c>
      <c r="J1902" s="11" t="s">
        <v>266</v>
      </c>
      <c r="K1902" s="11">
        <v>47</v>
      </c>
      <c r="L1902" s="12">
        <v>25</v>
      </c>
      <c r="M1902" s="13">
        <v>1175</v>
      </c>
      <c r="N1902" s="11" t="s">
        <v>367</v>
      </c>
      <c r="O1902" s="11" t="s">
        <v>19</v>
      </c>
      <c r="Q1902"/>
    </row>
    <row r="1903" spans="1:17" ht="15.6" x14ac:dyDescent="0.3">
      <c r="A1903" s="15">
        <v>10318</v>
      </c>
      <c r="B1903" s="14">
        <v>38293</v>
      </c>
      <c r="C1903" s="14" t="s">
        <v>361</v>
      </c>
      <c r="D1903" s="15" t="s">
        <v>231</v>
      </c>
      <c r="E1903" s="15" t="s">
        <v>232</v>
      </c>
      <c r="F1903" s="15" t="s">
        <v>15</v>
      </c>
      <c r="G1903" s="15" t="s">
        <v>16</v>
      </c>
      <c r="H1903" s="15" t="s">
        <v>61</v>
      </c>
      <c r="I1903" s="15" t="s">
        <v>65</v>
      </c>
      <c r="J1903" s="15" t="s">
        <v>264</v>
      </c>
      <c r="K1903" s="15">
        <v>50</v>
      </c>
      <c r="L1903" s="16">
        <v>30</v>
      </c>
      <c r="M1903" s="17">
        <v>1500</v>
      </c>
      <c r="N1903" s="15" t="s">
        <v>368</v>
      </c>
      <c r="O1903" s="15" t="s">
        <v>19</v>
      </c>
      <c r="Q1903"/>
    </row>
    <row r="1904" spans="1:17" ht="15.6" x14ac:dyDescent="0.3">
      <c r="A1904" s="11">
        <v>10320</v>
      </c>
      <c r="B1904" s="10">
        <v>38294</v>
      </c>
      <c r="C1904" s="10" t="s">
        <v>286</v>
      </c>
      <c r="D1904" s="11" t="s">
        <v>83</v>
      </c>
      <c r="E1904" s="11" t="s">
        <v>84</v>
      </c>
      <c r="F1904" s="11" t="s">
        <v>85</v>
      </c>
      <c r="G1904" s="11" t="s">
        <v>25</v>
      </c>
      <c r="H1904" s="11" t="s">
        <v>32</v>
      </c>
      <c r="I1904" s="11" t="s">
        <v>33</v>
      </c>
      <c r="J1904" s="11" t="s">
        <v>245</v>
      </c>
      <c r="K1904" s="11">
        <v>31</v>
      </c>
      <c r="L1904" s="12">
        <v>85</v>
      </c>
      <c r="M1904" s="13">
        <v>2635</v>
      </c>
      <c r="N1904" s="11" t="s">
        <v>367</v>
      </c>
      <c r="O1904" s="11" t="s">
        <v>19</v>
      </c>
      <c r="Q1904"/>
    </row>
    <row r="1905" spans="1:17" ht="15.6" x14ac:dyDescent="0.3">
      <c r="A1905" s="15">
        <v>10319</v>
      </c>
      <c r="B1905" s="14">
        <v>38294</v>
      </c>
      <c r="C1905" s="14" t="s">
        <v>357</v>
      </c>
      <c r="D1905" s="15" t="s">
        <v>225</v>
      </c>
      <c r="E1905" s="15" t="s">
        <v>28</v>
      </c>
      <c r="F1905" s="15" t="s">
        <v>15</v>
      </c>
      <c r="G1905" s="15" t="s">
        <v>16</v>
      </c>
      <c r="H1905" s="15" t="s">
        <v>68</v>
      </c>
      <c r="I1905" s="15" t="s">
        <v>70</v>
      </c>
      <c r="J1905" s="15" t="s">
        <v>267</v>
      </c>
      <c r="K1905" s="15">
        <v>30</v>
      </c>
      <c r="L1905" s="16">
        <v>50</v>
      </c>
      <c r="M1905" s="17">
        <v>1500</v>
      </c>
      <c r="N1905" s="15" t="s">
        <v>367</v>
      </c>
      <c r="O1905" s="15" t="s">
        <v>19</v>
      </c>
      <c r="Q1905"/>
    </row>
    <row r="1906" spans="1:17" ht="15.6" x14ac:dyDescent="0.3">
      <c r="A1906" s="11">
        <v>10320</v>
      </c>
      <c r="B1906" s="10">
        <v>38294</v>
      </c>
      <c r="C1906" s="10" t="s">
        <v>286</v>
      </c>
      <c r="D1906" s="11" t="s">
        <v>83</v>
      </c>
      <c r="E1906" s="11" t="s">
        <v>84</v>
      </c>
      <c r="F1906" s="11" t="s">
        <v>85</v>
      </c>
      <c r="G1906" s="11" t="s">
        <v>25</v>
      </c>
      <c r="H1906" s="11" t="s">
        <v>32</v>
      </c>
      <c r="I1906" s="11" t="s">
        <v>33</v>
      </c>
      <c r="J1906" s="11" t="s">
        <v>245</v>
      </c>
      <c r="K1906" s="11">
        <v>35</v>
      </c>
      <c r="L1906" s="12">
        <v>85</v>
      </c>
      <c r="M1906" s="13">
        <v>2975</v>
      </c>
      <c r="N1906" s="11" t="s">
        <v>367</v>
      </c>
      <c r="O1906" s="11" t="s">
        <v>19</v>
      </c>
      <c r="Q1906"/>
    </row>
    <row r="1907" spans="1:17" ht="15.6" x14ac:dyDescent="0.3">
      <c r="A1907" s="15">
        <v>10320</v>
      </c>
      <c r="B1907" s="14">
        <v>38294</v>
      </c>
      <c r="C1907" s="14" t="s">
        <v>286</v>
      </c>
      <c r="D1907" s="15" t="s">
        <v>83</v>
      </c>
      <c r="E1907" s="15" t="s">
        <v>84</v>
      </c>
      <c r="F1907" s="15" t="s">
        <v>85</v>
      </c>
      <c r="G1907" s="15" t="s">
        <v>25</v>
      </c>
      <c r="H1907" s="15" t="s">
        <v>32</v>
      </c>
      <c r="I1907" s="15" t="s">
        <v>33</v>
      </c>
      <c r="J1907" s="15" t="s">
        <v>245</v>
      </c>
      <c r="K1907" s="15">
        <v>38</v>
      </c>
      <c r="L1907" s="16">
        <v>85</v>
      </c>
      <c r="M1907" s="17">
        <v>3230</v>
      </c>
      <c r="N1907" s="15" t="s">
        <v>367</v>
      </c>
      <c r="O1907" s="15" t="s">
        <v>19</v>
      </c>
      <c r="Q1907"/>
    </row>
    <row r="1908" spans="1:17" ht="15.6" x14ac:dyDescent="0.3">
      <c r="A1908" s="11">
        <v>10319</v>
      </c>
      <c r="B1908" s="10">
        <v>38294</v>
      </c>
      <c r="C1908" s="10" t="s">
        <v>357</v>
      </c>
      <c r="D1908" s="11" t="s">
        <v>225</v>
      </c>
      <c r="E1908" s="11" t="s">
        <v>28</v>
      </c>
      <c r="F1908" s="11" t="s">
        <v>15</v>
      </c>
      <c r="G1908" s="11" t="s">
        <v>16</v>
      </c>
      <c r="H1908" s="11" t="s">
        <v>32</v>
      </c>
      <c r="I1908" s="11" t="s">
        <v>33</v>
      </c>
      <c r="J1908" s="11" t="s">
        <v>245</v>
      </c>
      <c r="K1908" s="11">
        <v>46</v>
      </c>
      <c r="L1908" s="12">
        <v>85</v>
      </c>
      <c r="M1908" s="13">
        <v>3910</v>
      </c>
      <c r="N1908" s="11" t="s">
        <v>367</v>
      </c>
      <c r="O1908" s="11" t="s">
        <v>19</v>
      </c>
      <c r="Q1908"/>
    </row>
    <row r="1909" spans="1:17" ht="15.6" x14ac:dyDescent="0.3">
      <c r="A1909" s="15">
        <v>10320</v>
      </c>
      <c r="B1909" s="14">
        <v>38294</v>
      </c>
      <c r="C1909" s="14" t="s">
        <v>286</v>
      </c>
      <c r="D1909" s="15" t="s">
        <v>83</v>
      </c>
      <c r="E1909" s="15" t="s">
        <v>84</v>
      </c>
      <c r="F1909" s="15" t="s">
        <v>85</v>
      </c>
      <c r="G1909" s="15" t="s">
        <v>25</v>
      </c>
      <c r="H1909" s="15" t="s">
        <v>32</v>
      </c>
      <c r="I1909" s="15" t="s">
        <v>34</v>
      </c>
      <c r="J1909" s="15" t="s">
        <v>246</v>
      </c>
      <c r="K1909" s="15">
        <v>25</v>
      </c>
      <c r="L1909" s="16">
        <v>80</v>
      </c>
      <c r="M1909" s="17">
        <v>2000</v>
      </c>
      <c r="N1909" s="15" t="s">
        <v>367</v>
      </c>
      <c r="O1909" s="15" t="s">
        <v>19</v>
      </c>
      <c r="Q1909"/>
    </row>
    <row r="1910" spans="1:17" ht="15.6" x14ac:dyDescent="0.3">
      <c r="A1910" s="11">
        <v>10319</v>
      </c>
      <c r="B1910" s="10">
        <v>38294</v>
      </c>
      <c r="C1910" s="10" t="s">
        <v>357</v>
      </c>
      <c r="D1910" s="11" t="s">
        <v>225</v>
      </c>
      <c r="E1910" s="11" t="s">
        <v>28</v>
      </c>
      <c r="F1910" s="11" t="s">
        <v>15</v>
      </c>
      <c r="G1910" s="11" t="s">
        <v>16</v>
      </c>
      <c r="H1910" s="11" t="s">
        <v>68</v>
      </c>
      <c r="I1910" s="11" t="s">
        <v>70</v>
      </c>
      <c r="J1910" s="11" t="s">
        <v>267</v>
      </c>
      <c r="K1910" s="11">
        <v>44</v>
      </c>
      <c r="L1910" s="12">
        <v>50</v>
      </c>
      <c r="M1910" s="13">
        <v>2200</v>
      </c>
      <c r="N1910" s="11" t="s">
        <v>367</v>
      </c>
      <c r="O1910" s="11" t="s">
        <v>19</v>
      </c>
      <c r="Q1910"/>
    </row>
    <row r="1911" spans="1:17" ht="15.6" x14ac:dyDescent="0.3">
      <c r="A1911" s="15">
        <v>10319</v>
      </c>
      <c r="B1911" s="14">
        <v>38294</v>
      </c>
      <c r="C1911" s="14" t="s">
        <v>357</v>
      </c>
      <c r="D1911" s="15" t="s">
        <v>225</v>
      </c>
      <c r="E1911" s="15" t="s">
        <v>28</v>
      </c>
      <c r="F1911" s="15" t="s">
        <v>15</v>
      </c>
      <c r="G1911" s="15" t="s">
        <v>16</v>
      </c>
      <c r="H1911" s="15" t="s">
        <v>32</v>
      </c>
      <c r="I1911" s="15" t="s">
        <v>44</v>
      </c>
      <c r="J1911" s="15" t="s">
        <v>252</v>
      </c>
      <c r="K1911" s="15">
        <v>45</v>
      </c>
      <c r="L1911" s="16">
        <v>55</v>
      </c>
      <c r="M1911" s="17">
        <v>2475</v>
      </c>
      <c r="N1911" s="15" t="s">
        <v>367</v>
      </c>
      <c r="O1911" s="15" t="s">
        <v>19</v>
      </c>
      <c r="Q1911"/>
    </row>
    <row r="1912" spans="1:17" ht="15.6" x14ac:dyDescent="0.3">
      <c r="A1912" s="11">
        <v>10319</v>
      </c>
      <c r="B1912" s="10">
        <v>38294</v>
      </c>
      <c r="C1912" s="10" t="s">
        <v>357</v>
      </c>
      <c r="D1912" s="11" t="s">
        <v>225</v>
      </c>
      <c r="E1912" s="11" t="s">
        <v>28</v>
      </c>
      <c r="F1912" s="11" t="s">
        <v>15</v>
      </c>
      <c r="G1912" s="11" t="s">
        <v>16</v>
      </c>
      <c r="H1912" s="11" t="s">
        <v>68</v>
      </c>
      <c r="I1912" s="11" t="s">
        <v>70</v>
      </c>
      <c r="J1912" s="11" t="s">
        <v>267</v>
      </c>
      <c r="K1912" s="11">
        <v>31</v>
      </c>
      <c r="L1912" s="12">
        <v>50</v>
      </c>
      <c r="M1912" s="13">
        <v>1550</v>
      </c>
      <c r="N1912" s="11" t="s">
        <v>367</v>
      </c>
      <c r="O1912" s="11" t="s">
        <v>19</v>
      </c>
      <c r="Q1912"/>
    </row>
    <row r="1913" spans="1:17" ht="15.6" x14ac:dyDescent="0.3">
      <c r="A1913" s="15">
        <v>10320</v>
      </c>
      <c r="B1913" s="14">
        <v>38294</v>
      </c>
      <c r="C1913" s="14" t="s">
        <v>286</v>
      </c>
      <c r="D1913" s="15" t="s">
        <v>83</v>
      </c>
      <c r="E1913" s="15" t="s">
        <v>84</v>
      </c>
      <c r="F1913" s="15" t="s">
        <v>85</v>
      </c>
      <c r="G1913" s="15" t="s">
        <v>25</v>
      </c>
      <c r="H1913" s="15" t="s">
        <v>32</v>
      </c>
      <c r="I1913" s="15" t="s">
        <v>45</v>
      </c>
      <c r="J1913" s="15" t="s">
        <v>253</v>
      </c>
      <c r="K1913" s="15">
        <v>26</v>
      </c>
      <c r="L1913" s="16">
        <v>35</v>
      </c>
      <c r="M1913" s="17">
        <v>910</v>
      </c>
      <c r="N1913" s="15" t="s">
        <v>367</v>
      </c>
      <c r="O1913" s="15" t="s">
        <v>19</v>
      </c>
      <c r="Q1913"/>
    </row>
    <row r="1914" spans="1:17" ht="15.6" x14ac:dyDescent="0.3">
      <c r="A1914" s="11">
        <v>10319</v>
      </c>
      <c r="B1914" s="10">
        <v>38294</v>
      </c>
      <c r="C1914" s="10" t="s">
        <v>357</v>
      </c>
      <c r="D1914" s="11" t="s">
        <v>225</v>
      </c>
      <c r="E1914" s="11" t="s">
        <v>28</v>
      </c>
      <c r="F1914" s="11" t="s">
        <v>15</v>
      </c>
      <c r="G1914" s="11" t="s">
        <v>16</v>
      </c>
      <c r="H1914" s="11" t="s">
        <v>32</v>
      </c>
      <c r="I1914" s="11" t="s">
        <v>46</v>
      </c>
      <c r="J1914" s="11" t="s">
        <v>254</v>
      </c>
      <c r="K1914" s="11">
        <v>43</v>
      </c>
      <c r="L1914" s="12">
        <v>90</v>
      </c>
      <c r="M1914" s="13">
        <v>3870</v>
      </c>
      <c r="N1914" s="11" t="s">
        <v>367</v>
      </c>
      <c r="O1914" s="11" t="s">
        <v>19</v>
      </c>
      <c r="Q1914"/>
    </row>
    <row r="1915" spans="1:17" ht="15.6" x14ac:dyDescent="0.3">
      <c r="A1915" s="15">
        <v>10319</v>
      </c>
      <c r="B1915" s="14">
        <v>38294</v>
      </c>
      <c r="C1915" s="14" t="s">
        <v>357</v>
      </c>
      <c r="D1915" s="15" t="s">
        <v>225</v>
      </c>
      <c r="E1915" s="15" t="s">
        <v>28</v>
      </c>
      <c r="F1915" s="15" t="s">
        <v>15</v>
      </c>
      <c r="G1915" s="15" t="s">
        <v>16</v>
      </c>
      <c r="H1915" s="15" t="s">
        <v>68</v>
      </c>
      <c r="I1915" s="15" t="s">
        <v>70</v>
      </c>
      <c r="J1915" s="15" t="s">
        <v>267</v>
      </c>
      <c r="K1915" s="15">
        <v>29</v>
      </c>
      <c r="L1915" s="16">
        <v>50</v>
      </c>
      <c r="M1915" s="17">
        <v>1450</v>
      </c>
      <c r="N1915" s="15" t="s">
        <v>367</v>
      </c>
      <c r="O1915" s="15" t="s">
        <v>19</v>
      </c>
      <c r="Q1915"/>
    </row>
    <row r="1916" spans="1:17" ht="15.6" x14ac:dyDescent="0.3">
      <c r="A1916" s="11">
        <v>10319</v>
      </c>
      <c r="B1916" s="10">
        <v>38294</v>
      </c>
      <c r="C1916" s="10" t="s">
        <v>357</v>
      </c>
      <c r="D1916" s="11" t="s">
        <v>225</v>
      </c>
      <c r="E1916" s="11" t="s">
        <v>28</v>
      </c>
      <c r="F1916" s="11" t="s">
        <v>15</v>
      </c>
      <c r="G1916" s="11" t="s">
        <v>16</v>
      </c>
      <c r="H1916" s="11" t="s">
        <v>68</v>
      </c>
      <c r="I1916" s="11" t="s">
        <v>70</v>
      </c>
      <c r="J1916" s="11" t="s">
        <v>267</v>
      </c>
      <c r="K1916" s="11">
        <v>22</v>
      </c>
      <c r="L1916" s="12">
        <v>50</v>
      </c>
      <c r="M1916" s="13">
        <v>1100</v>
      </c>
      <c r="N1916" s="11" t="s">
        <v>367</v>
      </c>
      <c r="O1916" s="11" t="s">
        <v>19</v>
      </c>
      <c r="Q1916"/>
    </row>
    <row r="1917" spans="1:17" ht="15.6" x14ac:dyDescent="0.3">
      <c r="A1917" s="15">
        <v>10319</v>
      </c>
      <c r="B1917" s="14">
        <v>38294</v>
      </c>
      <c r="C1917" s="14" t="s">
        <v>357</v>
      </c>
      <c r="D1917" s="15" t="s">
        <v>225</v>
      </c>
      <c r="E1917" s="15" t="s">
        <v>28</v>
      </c>
      <c r="F1917" s="15" t="s">
        <v>15</v>
      </c>
      <c r="G1917" s="15" t="s">
        <v>16</v>
      </c>
      <c r="H1917" s="15" t="s">
        <v>68</v>
      </c>
      <c r="I1917" s="15" t="s">
        <v>69</v>
      </c>
      <c r="J1917" s="15" t="s">
        <v>266</v>
      </c>
      <c r="K1917" s="15">
        <v>45</v>
      </c>
      <c r="L1917" s="16">
        <v>25</v>
      </c>
      <c r="M1917" s="17">
        <v>1125</v>
      </c>
      <c r="N1917" s="15" t="s">
        <v>367</v>
      </c>
      <c r="O1917" s="15" t="s">
        <v>19</v>
      </c>
      <c r="Q1917"/>
    </row>
    <row r="1918" spans="1:17" ht="15.6" x14ac:dyDescent="0.3">
      <c r="A1918" s="11">
        <v>10322</v>
      </c>
      <c r="B1918" s="10">
        <v>38295</v>
      </c>
      <c r="C1918" s="10" t="s">
        <v>275</v>
      </c>
      <c r="D1918" s="11" t="s">
        <v>13</v>
      </c>
      <c r="E1918" s="11" t="s">
        <v>14</v>
      </c>
      <c r="F1918" s="11" t="s">
        <v>15</v>
      </c>
      <c r="G1918" s="11" t="s">
        <v>16</v>
      </c>
      <c r="H1918" s="11" t="s">
        <v>32</v>
      </c>
      <c r="I1918" s="11" t="s">
        <v>45</v>
      </c>
      <c r="J1918" s="11" t="s">
        <v>253</v>
      </c>
      <c r="K1918" s="11">
        <v>40</v>
      </c>
      <c r="L1918" s="12">
        <v>35</v>
      </c>
      <c r="M1918" s="13">
        <v>1400</v>
      </c>
      <c r="N1918" s="11" t="s">
        <v>367</v>
      </c>
      <c r="O1918" s="11" t="s">
        <v>19</v>
      </c>
      <c r="Q1918"/>
    </row>
    <row r="1919" spans="1:17" ht="15.6" x14ac:dyDescent="0.3">
      <c r="A1919" s="15">
        <v>10322</v>
      </c>
      <c r="B1919" s="14">
        <v>38295</v>
      </c>
      <c r="C1919" s="14" t="s">
        <v>275</v>
      </c>
      <c r="D1919" s="15" t="s">
        <v>13</v>
      </c>
      <c r="E1919" s="15" t="s">
        <v>14</v>
      </c>
      <c r="F1919" s="15" t="s">
        <v>15</v>
      </c>
      <c r="G1919" s="15" t="s">
        <v>16</v>
      </c>
      <c r="H1919" s="15" t="s">
        <v>32</v>
      </c>
      <c r="I1919" s="15" t="s">
        <v>33</v>
      </c>
      <c r="J1919" s="15" t="s">
        <v>245</v>
      </c>
      <c r="K1919" s="15">
        <v>46</v>
      </c>
      <c r="L1919" s="16">
        <v>85</v>
      </c>
      <c r="M1919" s="17">
        <v>3910</v>
      </c>
      <c r="N1919" s="15" t="s">
        <v>367</v>
      </c>
      <c r="O1919" s="15" t="s">
        <v>19</v>
      </c>
      <c r="Q1919"/>
    </row>
    <row r="1920" spans="1:17" ht="15.6" x14ac:dyDescent="0.3">
      <c r="A1920" s="11">
        <v>10322</v>
      </c>
      <c r="B1920" s="10">
        <v>38295</v>
      </c>
      <c r="C1920" s="10" t="s">
        <v>275</v>
      </c>
      <c r="D1920" s="11" t="s">
        <v>13</v>
      </c>
      <c r="E1920" s="11" t="s">
        <v>14</v>
      </c>
      <c r="F1920" s="11" t="s">
        <v>15</v>
      </c>
      <c r="G1920" s="11" t="s">
        <v>16</v>
      </c>
      <c r="H1920" s="11" t="s">
        <v>35</v>
      </c>
      <c r="I1920" s="11" t="s">
        <v>36</v>
      </c>
      <c r="J1920" s="11" t="s">
        <v>247</v>
      </c>
      <c r="K1920" s="11">
        <v>27</v>
      </c>
      <c r="L1920" s="12">
        <v>30</v>
      </c>
      <c r="M1920" s="13">
        <v>810</v>
      </c>
      <c r="N1920" s="11" t="s">
        <v>367</v>
      </c>
      <c r="O1920" s="11" t="s">
        <v>19</v>
      </c>
      <c r="Q1920"/>
    </row>
    <row r="1921" spans="1:17" ht="15.6" x14ac:dyDescent="0.3">
      <c r="A1921" s="15">
        <v>10321</v>
      </c>
      <c r="B1921" s="14">
        <v>38295</v>
      </c>
      <c r="C1921" s="14" t="s">
        <v>325</v>
      </c>
      <c r="D1921" s="15" t="s">
        <v>163</v>
      </c>
      <c r="E1921" s="15" t="s">
        <v>137</v>
      </c>
      <c r="F1921" s="15" t="s">
        <v>15</v>
      </c>
      <c r="G1921" s="15" t="s">
        <v>16</v>
      </c>
      <c r="H1921" s="15" t="s">
        <v>32</v>
      </c>
      <c r="I1921" s="15" t="s">
        <v>34</v>
      </c>
      <c r="J1921" s="15" t="s">
        <v>246</v>
      </c>
      <c r="K1921" s="15">
        <v>24</v>
      </c>
      <c r="L1921" s="16">
        <v>80</v>
      </c>
      <c r="M1921" s="17">
        <v>1920</v>
      </c>
      <c r="N1921" s="15" t="s">
        <v>367</v>
      </c>
      <c r="O1921" s="15" t="s">
        <v>19</v>
      </c>
      <c r="Q1921"/>
    </row>
    <row r="1922" spans="1:17" ht="15.6" x14ac:dyDescent="0.3">
      <c r="A1922" s="11">
        <v>10322</v>
      </c>
      <c r="B1922" s="10">
        <v>38295</v>
      </c>
      <c r="C1922" s="10" t="s">
        <v>275</v>
      </c>
      <c r="D1922" s="11" t="s">
        <v>13</v>
      </c>
      <c r="E1922" s="11" t="s">
        <v>14</v>
      </c>
      <c r="F1922" s="11" t="s">
        <v>15</v>
      </c>
      <c r="G1922" s="11" t="s">
        <v>16</v>
      </c>
      <c r="H1922" s="11" t="s">
        <v>35</v>
      </c>
      <c r="I1922" s="11" t="s">
        <v>38</v>
      </c>
      <c r="J1922" s="11" t="s">
        <v>249</v>
      </c>
      <c r="K1922" s="11">
        <v>22</v>
      </c>
      <c r="L1922" s="12">
        <v>20</v>
      </c>
      <c r="M1922" s="13">
        <v>440</v>
      </c>
      <c r="N1922" s="11" t="s">
        <v>367</v>
      </c>
      <c r="O1922" s="11" t="s">
        <v>19</v>
      </c>
      <c r="Q1922"/>
    </row>
    <row r="1923" spans="1:17" ht="15.6" x14ac:dyDescent="0.3">
      <c r="A1923" s="15">
        <v>10321</v>
      </c>
      <c r="B1923" s="14">
        <v>38295</v>
      </c>
      <c r="C1923" s="14" t="s">
        <v>325</v>
      </c>
      <c r="D1923" s="15" t="s">
        <v>163</v>
      </c>
      <c r="E1923" s="15" t="s">
        <v>137</v>
      </c>
      <c r="F1923" s="15" t="s">
        <v>15</v>
      </c>
      <c r="G1923" s="15" t="s">
        <v>16</v>
      </c>
      <c r="H1923" s="15" t="s">
        <v>32</v>
      </c>
      <c r="I1923" s="15" t="s">
        <v>45</v>
      </c>
      <c r="J1923" s="15" t="s">
        <v>253</v>
      </c>
      <c r="K1923" s="15">
        <v>41</v>
      </c>
      <c r="L1923" s="16">
        <v>35</v>
      </c>
      <c r="M1923" s="17">
        <v>1435</v>
      </c>
      <c r="N1923" s="15" t="s">
        <v>367</v>
      </c>
      <c r="O1923" s="15" t="s">
        <v>19</v>
      </c>
      <c r="Q1923"/>
    </row>
    <row r="1924" spans="1:17" ht="15.6" x14ac:dyDescent="0.3">
      <c r="A1924" s="11">
        <v>10322</v>
      </c>
      <c r="B1924" s="10">
        <v>38295</v>
      </c>
      <c r="C1924" s="10" t="s">
        <v>275</v>
      </c>
      <c r="D1924" s="11" t="s">
        <v>13</v>
      </c>
      <c r="E1924" s="11" t="s">
        <v>14</v>
      </c>
      <c r="F1924" s="11" t="s">
        <v>15</v>
      </c>
      <c r="G1924" s="11" t="s">
        <v>16</v>
      </c>
      <c r="H1924" s="11" t="s">
        <v>17</v>
      </c>
      <c r="I1924" s="11" t="s">
        <v>20</v>
      </c>
      <c r="J1924" s="11" t="s">
        <v>242</v>
      </c>
      <c r="K1924" s="11">
        <v>43</v>
      </c>
      <c r="L1924" s="12">
        <v>48</v>
      </c>
      <c r="M1924" s="13">
        <v>2064</v>
      </c>
      <c r="N1924" s="11" t="s">
        <v>367</v>
      </c>
      <c r="O1924" s="11" t="s">
        <v>19</v>
      </c>
      <c r="Q1924"/>
    </row>
    <row r="1925" spans="1:17" ht="15.6" x14ac:dyDescent="0.3">
      <c r="A1925" s="15">
        <v>10322</v>
      </c>
      <c r="B1925" s="14">
        <v>38295</v>
      </c>
      <c r="C1925" s="14" t="s">
        <v>275</v>
      </c>
      <c r="D1925" s="15" t="s">
        <v>13</v>
      </c>
      <c r="E1925" s="15" t="s">
        <v>14</v>
      </c>
      <c r="F1925" s="15" t="s">
        <v>15</v>
      </c>
      <c r="G1925" s="15" t="s">
        <v>16</v>
      </c>
      <c r="H1925" s="15" t="s">
        <v>17</v>
      </c>
      <c r="I1925" s="15" t="s">
        <v>52</v>
      </c>
      <c r="J1925" s="15" t="s">
        <v>256</v>
      </c>
      <c r="K1925" s="15">
        <v>41</v>
      </c>
      <c r="L1925" s="16">
        <v>45</v>
      </c>
      <c r="M1925" s="17">
        <v>1845</v>
      </c>
      <c r="N1925" s="15" t="s">
        <v>367</v>
      </c>
      <c r="O1925" s="15" t="s">
        <v>19</v>
      </c>
      <c r="Q1925"/>
    </row>
    <row r="1926" spans="1:17" ht="15.6" x14ac:dyDescent="0.3">
      <c r="A1926" s="11">
        <v>10321</v>
      </c>
      <c r="B1926" s="10">
        <v>38295</v>
      </c>
      <c r="C1926" s="10" t="s">
        <v>325</v>
      </c>
      <c r="D1926" s="11" t="s">
        <v>163</v>
      </c>
      <c r="E1926" s="11" t="s">
        <v>137</v>
      </c>
      <c r="F1926" s="11" t="s">
        <v>15</v>
      </c>
      <c r="G1926" s="11" t="s">
        <v>16</v>
      </c>
      <c r="H1926" s="11" t="s">
        <v>32</v>
      </c>
      <c r="I1926" s="11" t="s">
        <v>46</v>
      </c>
      <c r="J1926" s="11" t="s">
        <v>254</v>
      </c>
      <c r="K1926" s="11">
        <v>44</v>
      </c>
      <c r="L1926" s="12">
        <v>90</v>
      </c>
      <c r="M1926" s="13">
        <v>3960</v>
      </c>
      <c r="N1926" s="11" t="s">
        <v>367</v>
      </c>
      <c r="O1926" s="11" t="s">
        <v>19</v>
      </c>
      <c r="Q1926"/>
    </row>
    <row r="1927" spans="1:17" ht="15.6" x14ac:dyDescent="0.3">
      <c r="A1927" s="15">
        <v>10321</v>
      </c>
      <c r="B1927" s="14">
        <v>38295</v>
      </c>
      <c r="C1927" s="14" t="s">
        <v>325</v>
      </c>
      <c r="D1927" s="15" t="s">
        <v>163</v>
      </c>
      <c r="E1927" s="15" t="s">
        <v>137</v>
      </c>
      <c r="F1927" s="15" t="s">
        <v>15</v>
      </c>
      <c r="G1927" s="15" t="s">
        <v>16</v>
      </c>
      <c r="H1927" s="15" t="s">
        <v>32</v>
      </c>
      <c r="I1927" s="15" t="s">
        <v>44</v>
      </c>
      <c r="J1927" s="15" t="s">
        <v>252</v>
      </c>
      <c r="K1927" s="15">
        <v>37</v>
      </c>
      <c r="L1927" s="16">
        <v>55</v>
      </c>
      <c r="M1927" s="17">
        <v>2035</v>
      </c>
      <c r="N1927" s="15" t="s">
        <v>367</v>
      </c>
      <c r="O1927" s="15" t="s">
        <v>19</v>
      </c>
      <c r="Q1927"/>
    </row>
    <row r="1928" spans="1:17" ht="15.6" x14ac:dyDescent="0.3">
      <c r="A1928" s="11">
        <v>10321</v>
      </c>
      <c r="B1928" s="10">
        <v>38295</v>
      </c>
      <c r="C1928" s="10" t="s">
        <v>325</v>
      </c>
      <c r="D1928" s="11" t="s">
        <v>163</v>
      </c>
      <c r="E1928" s="11" t="s">
        <v>137</v>
      </c>
      <c r="F1928" s="11" t="s">
        <v>15</v>
      </c>
      <c r="G1928" s="11" t="s">
        <v>16</v>
      </c>
      <c r="H1928" s="11" t="s">
        <v>32</v>
      </c>
      <c r="I1928" s="11" t="s">
        <v>34</v>
      </c>
      <c r="J1928" s="11" t="s">
        <v>246</v>
      </c>
      <c r="K1928" s="11">
        <v>25</v>
      </c>
      <c r="L1928" s="12">
        <v>80</v>
      </c>
      <c r="M1928" s="13">
        <v>2000</v>
      </c>
      <c r="N1928" s="11" t="s">
        <v>367</v>
      </c>
      <c r="O1928" s="11" t="s">
        <v>19</v>
      </c>
      <c r="Q1928"/>
    </row>
    <row r="1929" spans="1:17" ht="15.6" x14ac:dyDescent="0.3">
      <c r="A1929" s="15">
        <v>10322</v>
      </c>
      <c r="B1929" s="14">
        <v>38295</v>
      </c>
      <c r="C1929" s="14" t="s">
        <v>275</v>
      </c>
      <c r="D1929" s="15" t="s">
        <v>13</v>
      </c>
      <c r="E1929" s="15" t="s">
        <v>14</v>
      </c>
      <c r="F1929" s="15" t="s">
        <v>15</v>
      </c>
      <c r="G1929" s="15" t="s">
        <v>16</v>
      </c>
      <c r="H1929" s="15" t="s">
        <v>17</v>
      </c>
      <c r="I1929" s="15" t="s">
        <v>26</v>
      </c>
      <c r="J1929" s="15" t="s">
        <v>244</v>
      </c>
      <c r="K1929" s="15">
        <v>50</v>
      </c>
      <c r="L1929" s="16">
        <v>60</v>
      </c>
      <c r="M1929" s="17">
        <v>3000</v>
      </c>
      <c r="N1929" s="15" t="s">
        <v>368</v>
      </c>
      <c r="O1929" s="15" t="s">
        <v>19</v>
      </c>
      <c r="Q1929"/>
    </row>
    <row r="1930" spans="1:17" ht="15.6" x14ac:dyDescent="0.3">
      <c r="A1930" s="11">
        <v>10322</v>
      </c>
      <c r="B1930" s="10">
        <v>38295</v>
      </c>
      <c r="C1930" s="10" t="s">
        <v>275</v>
      </c>
      <c r="D1930" s="11" t="s">
        <v>13</v>
      </c>
      <c r="E1930" s="11" t="s">
        <v>14</v>
      </c>
      <c r="F1930" s="11" t="s">
        <v>15</v>
      </c>
      <c r="G1930" s="11" t="s">
        <v>16</v>
      </c>
      <c r="H1930" s="11" t="s">
        <v>35</v>
      </c>
      <c r="I1930" s="11" t="s">
        <v>36</v>
      </c>
      <c r="J1930" s="11" t="s">
        <v>247</v>
      </c>
      <c r="K1930" s="11">
        <v>35</v>
      </c>
      <c r="L1930" s="12">
        <v>30</v>
      </c>
      <c r="M1930" s="13">
        <v>1050</v>
      </c>
      <c r="N1930" s="11" t="s">
        <v>367</v>
      </c>
      <c r="O1930" s="11" t="s">
        <v>19</v>
      </c>
      <c r="Q1930"/>
    </row>
    <row r="1931" spans="1:17" ht="15.6" x14ac:dyDescent="0.3">
      <c r="A1931" s="15">
        <v>10322</v>
      </c>
      <c r="B1931" s="14">
        <v>38295</v>
      </c>
      <c r="C1931" s="14" t="s">
        <v>275</v>
      </c>
      <c r="D1931" s="15" t="s">
        <v>13</v>
      </c>
      <c r="E1931" s="15" t="s">
        <v>14</v>
      </c>
      <c r="F1931" s="15" t="s">
        <v>15</v>
      </c>
      <c r="G1931" s="15" t="s">
        <v>16</v>
      </c>
      <c r="H1931" s="15" t="s">
        <v>17</v>
      </c>
      <c r="I1931" s="15" t="s">
        <v>18</v>
      </c>
      <c r="J1931" s="15" t="s">
        <v>241</v>
      </c>
      <c r="K1931" s="15">
        <v>36</v>
      </c>
      <c r="L1931" s="16">
        <v>30</v>
      </c>
      <c r="M1931" s="17">
        <v>1080</v>
      </c>
      <c r="N1931" s="15" t="s">
        <v>367</v>
      </c>
      <c r="O1931" s="15" t="s">
        <v>19</v>
      </c>
      <c r="Q1931"/>
    </row>
    <row r="1932" spans="1:17" ht="15.6" x14ac:dyDescent="0.3">
      <c r="A1932" s="11">
        <v>10321</v>
      </c>
      <c r="B1932" s="10">
        <v>38295</v>
      </c>
      <c r="C1932" s="10" t="s">
        <v>325</v>
      </c>
      <c r="D1932" s="11" t="s">
        <v>163</v>
      </c>
      <c r="E1932" s="11" t="s">
        <v>137</v>
      </c>
      <c r="F1932" s="11" t="s">
        <v>15</v>
      </c>
      <c r="G1932" s="11" t="s">
        <v>16</v>
      </c>
      <c r="H1932" s="11" t="s">
        <v>32</v>
      </c>
      <c r="I1932" s="11" t="s">
        <v>34</v>
      </c>
      <c r="J1932" s="11" t="s">
        <v>246</v>
      </c>
      <c r="K1932" s="11">
        <v>27</v>
      </c>
      <c r="L1932" s="12">
        <v>80</v>
      </c>
      <c r="M1932" s="13">
        <v>2160</v>
      </c>
      <c r="N1932" s="11" t="s">
        <v>367</v>
      </c>
      <c r="O1932" s="11" t="s">
        <v>19</v>
      </c>
      <c r="Q1932"/>
    </row>
    <row r="1933" spans="1:17" ht="15.6" x14ac:dyDescent="0.3">
      <c r="A1933" s="15">
        <v>10322</v>
      </c>
      <c r="B1933" s="14">
        <v>38295</v>
      </c>
      <c r="C1933" s="14" t="s">
        <v>275</v>
      </c>
      <c r="D1933" s="15" t="s">
        <v>13</v>
      </c>
      <c r="E1933" s="15" t="s">
        <v>14</v>
      </c>
      <c r="F1933" s="15" t="s">
        <v>15</v>
      </c>
      <c r="G1933" s="15" t="s">
        <v>16</v>
      </c>
      <c r="H1933" s="15" t="s">
        <v>17</v>
      </c>
      <c r="I1933" s="15" t="s">
        <v>20</v>
      </c>
      <c r="J1933" s="15" t="s">
        <v>242</v>
      </c>
      <c r="K1933" s="15">
        <v>33</v>
      </c>
      <c r="L1933" s="16">
        <v>48</v>
      </c>
      <c r="M1933" s="17">
        <v>1584</v>
      </c>
      <c r="N1933" s="15" t="s">
        <v>367</v>
      </c>
      <c r="O1933" s="15" t="s">
        <v>19</v>
      </c>
      <c r="Q1933"/>
    </row>
    <row r="1934" spans="1:17" ht="15.6" x14ac:dyDescent="0.3">
      <c r="A1934" s="11">
        <v>10322</v>
      </c>
      <c r="B1934" s="10">
        <v>38295</v>
      </c>
      <c r="C1934" s="10" t="s">
        <v>275</v>
      </c>
      <c r="D1934" s="11" t="s">
        <v>13</v>
      </c>
      <c r="E1934" s="11" t="s">
        <v>14</v>
      </c>
      <c r="F1934" s="11" t="s">
        <v>15</v>
      </c>
      <c r="G1934" s="11" t="s">
        <v>16</v>
      </c>
      <c r="H1934" s="11" t="s">
        <v>17</v>
      </c>
      <c r="I1934" s="11" t="s">
        <v>26</v>
      </c>
      <c r="J1934" s="11" t="s">
        <v>244</v>
      </c>
      <c r="K1934" s="11">
        <v>41</v>
      </c>
      <c r="L1934" s="12">
        <v>60</v>
      </c>
      <c r="M1934" s="13">
        <v>2460</v>
      </c>
      <c r="N1934" s="11" t="s">
        <v>367</v>
      </c>
      <c r="O1934" s="11" t="s">
        <v>19</v>
      </c>
      <c r="Q1934"/>
    </row>
    <row r="1935" spans="1:17" ht="15.6" x14ac:dyDescent="0.3">
      <c r="A1935" s="15">
        <v>10322</v>
      </c>
      <c r="B1935" s="14">
        <v>38295</v>
      </c>
      <c r="C1935" s="14" t="s">
        <v>275</v>
      </c>
      <c r="D1935" s="15" t="s">
        <v>13</v>
      </c>
      <c r="E1935" s="15" t="s">
        <v>14</v>
      </c>
      <c r="F1935" s="15" t="s">
        <v>15</v>
      </c>
      <c r="G1935" s="15" t="s">
        <v>16</v>
      </c>
      <c r="H1935" s="15" t="s">
        <v>17</v>
      </c>
      <c r="I1935" s="15" t="s">
        <v>26</v>
      </c>
      <c r="J1935" s="15" t="s">
        <v>244</v>
      </c>
      <c r="K1935" s="15">
        <v>48</v>
      </c>
      <c r="L1935" s="16">
        <v>60</v>
      </c>
      <c r="M1935" s="17">
        <v>2880</v>
      </c>
      <c r="N1935" s="15" t="s">
        <v>367</v>
      </c>
      <c r="O1935" s="15" t="s">
        <v>19</v>
      </c>
      <c r="Q1935"/>
    </row>
    <row r="1936" spans="1:17" ht="15.6" x14ac:dyDescent="0.3">
      <c r="A1936" s="11">
        <v>10321</v>
      </c>
      <c r="B1936" s="10">
        <v>38295</v>
      </c>
      <c r="C1936" s="10" t="s">
        <v>325</v>
      </c>
      <c r="D1936" s="11" t="s">
        <v>163</v>
      </c>
      <c r="E1936" s="11" t="s">
        <v>137</v>
      </c>
      <c r="F1936" s="11" t="s">
        <v>15</v>
      </c>
      <c r="G1936" s="11" t="s">
        <v>16</v>
      </c>
      <c r="H1936" s="11" t="s">
        <v>32</v>
      </c>
      <c r="I1936" s="11" t="s">
        <v>33</v>
      </c>
      <c r="J1936" s="11" t="s">
        <v>245</v>
      </c>
      <c r="K1936" s="11">
        <v>33</v>
      </c>
      <c r="L1936" s="12">
        <v>85</v>
      </c>
      <c r="M1936" s="13">
        <v>2805</v>
      </c>
      <c r="N1936" s="11" t="s">
        <v>367</v>
      </c>
      <c r="O1936" s="11" t="s">
        <v>19</v>
      </c>
      <c r="Q1936"/>
    </row>
    <row r="1937" spans="1:17" ht="15.6" x14ac:dyDescent="0.3">
      <c r="A1937" s="15">
        <v>10321</v>
      </c>
      <c r="B1937" s="14">
        <v>38295</v>
      </c>
      <c r="C1937" s="14" t="s">
        <v>325</v>
      </c>
      <c r="D1937" s="15" t="s">
        <v>163</v>
      </c>
      <c r="E1937" s="15" t="s">
        <v>137</v>
      </c>
      <c r="F1937" s="15" t="s">
        <v>15</v>
      </c>
      <c r="G1937" s="15" t="s">
        <v>16</v>
      </c>
      <c r="H1937" s="15" t="s">
        <v>32</v>
      </c>
      <c r="I1937" s="15" t="s">
        <v>33</v>
      </c>
      <c r="J1937" s="15" t="s">
        <v>245</v>
      </c>
      <c r="K1937" s="15">
        <v>28</v>
      </c>
      <c r="L1937" s="16">
        <v>85</v>
      </c>
      <c r="M1937" s="17">
        <v>2380</v>
      </c>
      <c r="N1937" s="15" t="s">
        <v>367</v>
      </c>
      <c r="O1937" s="15" t="s">
        <v>19</v>
      </c>
      <c r="Q1937"/>
    </row>
    <row r="1938" spans="1:17" ht="15.6" x14ac:dyDescent="0.3">
      <c r="A1938" s="11">
        <v>10321</v>
      </c>
      <c r="B1938" s="10">
        <v>38295</v>
      </c>
      <c r="C1938" s="10" t="s">
        <v>325</v>
      </c>
      <c r="D1938" s="11" t="s">
        <v>163</v>
      </c>
      <c r="E1938" s="11" t="s">
        <v>137</v>
      </c>
      <c r="F1938" s="11" t="s">
        <v>15</v>
      </c>
      <c r="G1938" s="11" t="s">
        <v>16</v>
      </c>
      <c r="H1938" s="11" t="s">
        <v>32</v>
      </c>
      <c r="I1938" s="11" t="s">
        <v>46</v>
      </c>
      <c r="J1938" s="11" t="s">
        <v>254</v>
      </c>
      <c r="K1938" s="11">
        <v>30</v>
      </c>
      <c r="L1938" s="12">
        <v>90</v>
      </c>
      <c r="M1938" s="13">
        <v>2700</v>
      </c>
      <c r="N1938" s="11" t="s">
        <v>367</v>
      </c>
      <c r="O1938" s="11" t="s">
        <v>19</v>
      </c>
      <c r="Q1938"/>
    </row>
    <row r="1939" spans="1:17" ht="15.6" x14ac:dyDescent="0.3">
      <c r="A1939" s="15">
        <v>10321</v>
      </c>
      <c r="B1939" s="14">
        <v>38295</v>
      </c>
      <c r="C1939" s="14" t="s">
        <v>325</v>
      </c>
      <c r="D1939" s="15" t="s">
        <v>163</v>
      </c>
      <c r="E1939" s="15" t="s">
        <v>137</v>
      </c>
      <c r="F1939" s="15" t="s">
        <v>15</v>
      </c>
      <c r="G1939" s="15" t="s">
        <v>16</v>
      </c>
      <c r="H1939" s="15" t="s">
        <v>32</v>
      </c>
      <c r="I1939" s="15" t="s">
        <v>46</v>
      </c>
      <c r="J1939" s="15" t="s">
        <v>254</v>
      </c>
      <c r="K1939" s="15">
        <v>48</v>
      </c>
      <c r="L1939" s="16">
        <v>90</v>
      </c>
      <c r="M1939" s="17">
        <v>4320</v>
      </c>
      <c r="N1939" s="15" t="s">
        <v>367</v>
      </c>
      <c r="O1939" s="15" t="s">
        <v>19</v>
      </c>
      <c r="Q1939"/>
    </row>
    <row r="1940" spans="1:17" ht="15.6" x14ac:dyDescent="0.3">
      <c r="A1940" s="11">
        <v>10322</v>
      </c>
      <c r="B1940" s="10">
        <v>38295</v>
      </c>
      <c r="C1940" s="10" t="s">
        <v>275</v>
      </c>
      <c r="D1940" s="11" t="s">
        <v>13</v>
      </c>
      <c r="E1940" s="11" t="s">
        <v>14</v>
      </c>
      <c r="F1940" s="11" t="s">
        <v>15</v>
      </c>
      <c r="G1940" s="11" t="s">
        <v>16</v>
      </c>
      <c r="H1940" s="11" t="s">
        <v>17</v>
      </c>
      <c r="I1940" s="11" t="s">
        <v>20</v>
      </c>
      <c r="J1940" s="11" t="s">
        <v>242</v>
      </c>
      <c r="K1940" s="11">
        <v>20</v>
      </c>
      <c r="L1940" s="12">
        <v>48</v>
      </c>
      <c r="M1940" s="13">
        <v>960</v>
      </c>
      <c r="N1940" s="11" t="s">
        <v>367</v>
      </c>
      <c r="O1940" s="11" t="s">
        <v>19</v>
      </c>
      <c r="Q1940"/>
    </row>
    <row r="1941" spans="1:17" ht="15.6" x14ac:dyDescent="0.3">
      <c r="A1941" s="15">
        <v>10322</v>
      </c>
      <c r="B1941" s="14">
        <v>38295</v>
      </c>
      <c r="C1941" s="14" t="s">
        <v>275</v>
      </c>
      <c r="D1941" s="15" t="s">
        <v>13</v>
      </c>
      <c r="E1941" s="15" t="s">
        <v>14</v>
      </c>
      <c r="F1941" s="15" t="s">
        <v>15</v>
      </c>
      <c r="G1941" s="15" t="s">
        <v>16</v>
      </c>
      <c r="H1941" s="15" t="s">
        <v>17</v>
      </c>
      <c r="I1941" s="15" t="s">
        <v>20</v>
      </c>
      <c r="J1941" s="15" t="s">
        <v>242</v>
      </c>
      <c r="K1941" s="15">
        <v>30</v>
      </c>
      <c r="L1941" s="16">
        <v>48</v>
      </c>
      <c r="M1941" s="17">
        <v>1440</v>
      </c>
      <c r="N1941" s="15" t="s">
        <v>367</v>
      </c>
      <c r="O1941" s="15" t="s">
        <v>19</v>
      </c>
      <c r="Q1941"/>
    </row>
    <row r="1942" spans="1:17" ht="15.6" x14ac:dyDescent="0.3">
      <c r="A1942" s="11">
        <v>10321</v>
      </c>
      <c r="B1942" s="10">
        <v>38295</v>
      </c>
      <c r="C1942" s="10" t="s">
        <v>325</v>
      </c>
      <c r="D1942" s="11" t="s">
        <v>163</v>
      </c>
      <c r="E1942" s="11" t="s">
        <v>137</v>
      </c>
      <c r="F1942" s="11" t="s">
        <v>15</v>
      </c>
      <c r="G1942" s="11" t="s">
        <v>16</v>
      </c>
      <c r="H1942" s="11" t="s">
        <v>32</v>
      </c>
      <c r="I1942" s="11" t="s">
        <v>46</v>
      </c>
      <c r="J1942" s="11" t="s">
        <v>254</v>
      </c>
      <c r="K1942" s="11">
        <v>30</v>
      </c>
      <c r="L1942" s="12">
        <v>90</v>
      </c>
      <c r="M1942" s="13">
        <v>2700</v>
      </c>
      <c r="N1942" s="11" t="s">
        <v>367</v>
      </c>
      <c r="O1942" s="11" t="s">
        <v>19</v>
      </c>
      <c r="Q1942"/>
    </row>
    <row r="1943" spans="1:17" ht="15.6" x14ac:dyDescent="0.3">
      <c r="A1943" s="15">
        <v>10321</v>
      </c>
      <c r="B1943" s="14">
        <v>38295</v>
      </c>
      <c r="C1943" s="14" t="s">
        <v>325</v>
      </c>
      <c r="D1943" s="15" t="s">
        <v>163</v>
      </c>
      <c r="E1943" s="15" t="s">
        <v>137</v>
      </c>
      <c r="F1943" s="15" t="s">
        <v>15</v>
      </c>
      <c r="G1943" s="15" t="s">
        <v>16</v>
      </c>
      <c r="H1943" s="15" t="s">
        <v>32</v>
      </c>
      <c r="I1943" s="15" t="s">
        <v>44</v>
      </c>
      <c r="J1943" s="15" t="s">
        <v>252</v>
      </c>
      <c r="K1943" s="15">
        <v>37</v>
      </c>
      <c r="L1943" s="16">
        <v>55</v>
      </c>
      <c r="M1943" s="17">
        <v>2035</v>
      </c>
      <c r="N1943" s="15" t="s">
        <v>367</v>
      </c>
      <c r="O1943" s="15" t="s">
        <v>19</v>
      </c>
      <c r="Q1943"/>
    </row>
    <row r="1944" spans="1:17" ht="15.6" x14ac:dyDescent="0.3">
      <c r="A1944" s="11">
        <v>10321</v>
      </c>
      <c r="B1944" s="10">
        <v>38295</v>
      </c>
      <c r="C1944" s="10" t="s">
        <v>325</v>
      </c>
      <c r="D1944" s="11" t="s">
        <v>163</v>
      </c>
      <c r="E1944" s="11" t="s">
        <v>137</v>
      </c>
      <c r="F1944" s="11" t="s">
        <v>15</v>
      </c>
      <c r="G1944" s="11" t="s">
        <v>16</v>
      </c>
      <c r="H1944" s="11" t="s">
        <v>32</v>
      </c>
      <c r="I1944" s="11" t="s">
        <v>44</v>
      </c>
      <c r="J1944" s="11" t="s">
        <v>252</v>
      </c>
      <c r="K1944" s="11">
        <v>39</v>
      </c>
      <c r="L1944" s="12">
        <v>55</v>
      </c>
      <c r="M1944" s="13">
        <v>2145</v>
      </c>
      <c r="N1944" s="11" t="s">
        <v>367</v>
      </c>
      <c r="O1944" s="11" t="s">
        <v>19</v>
      </c>
      <c r="Q1944"/>
    </row>
    <row r="1945" spans="1:17" ht="15.6" x14ac:dyDescent="0.3">
      <c r="A1945" s="15">
        <v>10321</v>
      </c>
      <c r="B1945" s="14">
        <v>38295</v>
      </c>
      <c r="C1945" s="14" t="s">
        <v>325</v>
      </c>
      <c r="D1945" s="15" t="s">
        <v>163</v>
      </c>
      <c r="E1945" s="15" t="s">
        <v>137</v>
      </c>
      <c r="F1945" s="15" t="s">
        <v>15</v>
      </c>
      <c r="G1945" s="15" t="s">
        <v>16</v>
      </c>
      <c r="H1945" s="15" t="s">
        <v>32</v>
      </c>
      <c r="I1945" s="15" t="s">
        <v>45</v>
      </c>
      <c r="J1945" s="15" t="s">
        <v>253</v>
      </c>
      <c r="K1945" s="15">
        <v>21</v>
      </c>
      <c r="L1945" s="16">
        <v>35</v>
      </c>
      <c r="M1945" s="17">
        <v>735</v>
      </c>
      <c r="N1945" s="15" t="s">
        <v>367</v>
      </c>
      <c r="O1945" s="15" t="s">
        <v>19</v>
      </c>
      <c r="Q1945"/>
    </row>
    <row r="1946" spans="1:17" ht="15.6" x14ac:dyDescent="0.3">
      <c r="A1946" s="11">
        <v>10321</v>
      </c>
      <c r="B1946" s="10">
        <v>38295</v>
      </c>
      <c r="C1946" s="10" t="s">
        <v>325</v>
      </c>
      <c r="D1946" s="11" t="s">
        <v>163</v>
      </c>
      <c r="E1946" s="11" t="s">
        <v>137</v>
      </c>
      <c r="F1946" s="11" t="s">
        <v>15</v>
      </c>
      <c r="G1946" s="11" t="s">
        <v>16</v>
      </c>
      <c r="H1946" s="11" t="s">
        <v>32</v>
      </c>
      <c r="I1946" s="11" t="s">
        <v>44</v>
      </c>
      <c r="J1946" s="11" t="s">
        <v>252</v>
      </c>
      <c r="K1946" s="11">
        <v>26</v>
      </c>
      <c r="L1946" s="12">
        <v>55</v>
      </c>
      <c r="M1946" s="13">
        <v>1430</v>
      </c>
      <c r="N1946" s="11" t="s">
        <v>367</v>
      </c>
      <c r="O1946" s="11" t="s">
        <v>19</v>
      </c>
      <c r="Q1946"/>
    </row>
    <row r="1947" spans="1:17" ht="15.6" x14ac:dyDescent="0.3">
      <c r="A1947" s="15">
        <v>10325</v>
      </c>
      <c r="B1947" s="14">
        <v>38296</v>
      </c>
      <c r="C1947" s="14" t="s">
        <v>278</v>
      </c>
      <c r="D1947" s="15" t="s">
        <v>29</v>
      </c>
      <c r="E1947" s="15" t="s">
        <v>30</v>
      </c>
      <c r="F1947" s="15" t="s">
        <v>31</v>
      </c>
      <c r="G1947" s="15" t="s">
        <v>25</v>
      </c>
      <c r="H1947" s="15" t="s">
        <v>32</v>
      </c>
      <c r="I1947" s="15" t="s">
        <v>33</v>
      </c>
      <c r="J1947" s="15" t="s">
        <v>245</v>
      </c>
      <c r="K1947" s="15">
        <v>47</v>
      </c>
      <c r="L1947" s="16">
        <v>85</v>
      </c>
      <c r="M1947" s="17">
        <v>3995</v>
      </c>
      <c r="N1947" s="15" t="s">
        <v>367</v>
      </c>
      <c r="O1947" s="15" t="s">
        <v>19</v>
      </c>
      <c r="Q1947"/>
    </row>
    <row r="1948" spans="1:17" ht="15.6" x14ac:dyDescent="0.3">
      <c r="A1948" s="11">
        <v>10325</v>
      </c>
      <c r="B1948" s="10">
        <v>38296</v>
      </c>
      <c r="C1948" s="10" t="s">
        <v>278</v>
      </c>
      <c r="D1948" s="11" t="s">
        <v>29</v>
      </c>
      <c r="E1948" s="11" t="s">
        <v>30</v>
      </c>
      <c r="F1948" s="11" t="s">
        <v>31</v>
      </c>
      <c r="G1948" s="11" t="s">
        <v>25</v>
      </c>
      <c r="H1948" s="11" t="s">
        <v>32</v>
      </c>
      <c r="I1948" s="11" t="s">
        <v>45</v>
      </c>
      <c r="J1948" s="11" t="s">
        <v>253</v>
      </c>
      <c r="K1948" s="11">
        <v>42</v>
      </c>
      <c r="L1948" s="12">
        <v>35</v>
      </c>
      <c r="M1948" s="13">
        <v>1470</v>
      </c>
      <c r="N1948" s="11" t="s">
        <v>367</v>
      </c>
      <c r="O1948" s="11" t="s">
        <v>19</v>
      </c>
      <c r="Q1948"/>
    </row>
    <row r="1949" spans="1:17" ht="15.6" x14ac:dyDescent="0.3">
      <c r="A1949" s="15">
        <v>10324</v>
      </c>
      <c r="B1949" s="14">
        <v>38296</v>
      </c>
      <c r="C1949" s="14" t="s">
        <v>277</v>
      </c>
      <c r="D1949" s="15" t="s">
        <v>27</v>
      </c>
      <c r="E1949" s="15" t="s">
        <v>28</v>
      </c>
      <c r="F1949" s="15" t="s">
        <v>15</v>
      </c>
      <c r="G1949" s="15" t="s">
        <v>16</v>
      </c>
      <c r="H1949" s="15" t="s">
        <v>32</v>
      </c>
      <c r="I1949" s="15" t="s">
        <v>34</v>
      </c>
      <c r="J1949" s="15" t="s">
        <v>246</v>
      </c>
      <c r="K1949" s="15">
        <v>27</v>
      </c>
      <c r="L1949" s="16">
        <v>80</v>
      </c>
      <c r="M1949" s="17">
        <v>2160</v>
      </c>
      <c r="N1949" s="15" t="s">
        <v>367</v>
      </c>
      <c r="O1949" s="15" t="s">
        <v>19</v>
      </c>
      <c r="Q1949"/>
    </row>
    <row r="1950" spans="1:17" ht="15.6" x14ac:dyDescent="0.3">
      <c r="A1950" s="11">
        <v>10325</v>
      </c>
      <c r="B1950" s="10">
        <v>38296</v>
      </c>
      <c r="C1950" s="10" t="s">
        <v>278</v>
      </c>
      <c r="D1950" s="11" t="s">
        <v>29</v>
      </c>
      <c r="E1950" s="11" t="s">
        <v>30</v>
      </c>
      <c r="F1950" s="11" t="s">
        <v>31</v>
      </c>
      <c r="G1950" s="11" t="s">
        <v>25</v>
      </c>
      <c r="H1950" s="11" t="s">
        <v>32</v>
      </c>
      <c r="I1950" s="11" t="s">
        <v>46</v>
      </c>
      <c r="J1950" s="11" t="s">
        <v>254</v>
      </c>
      <c r="K1950" s="11">
        <v>24</v>
      </c>
      <c r="L1950" s="12">
        <v>90</v>
      </c>
      <c r="M1950" s="13">
        <v>2160</v>
      </c>
      <c r="N1950" s="11" t="s">
        <v>367</v>
      </c>
      <c r="O1950" s="11" t="s">
        <v>19</v>
      </c>
      <c r="Q1950"/>
    </row>
    <row r="1951" spans="1:17" ht="15.6" x14ac:dyDescent="0.3">
      <c r="A1951" s="15">
        <v>10324</v>
      </c>
      <c r="B1951" s="14">
        <v>38296</v>
      </c>
      <c r="C1951" s="14" t="s">
        <v>277</v>
      </c>
      <c r="D1951" s="15" t="s">
        <v>27</v>
      </c>
      <c r="E1951" s="15" t="s">
        <v>28</v>
      </c>
      <c r="F1951" s="15" t="s">
        <v>15</v>
      </c>
      <c r="G1951" s="15" t="s">
        <v>16</v>
      </c>
      <c r="H1951" s="15" t="s">
        <v>35</v>
      </c>
      <c r="I1951" s="15" t="s">
        <v>39</v>
      </c>
      <c r="J1951" s="15" t="s">
        <v>250</v>
      </c>
      <c r="K1951" s="15">
        <v>26</v>
      </c>
      <c r="L1951" s="16">
        <v>20</v>
      </c>
      <c r="M1951" s="17">
        <v>520</v>
      </c>
      <c r="N1951" s="15" t="s">
        <v>367</v>
      </c>
      <c r="O1951" s="15" t="s">
        <v>19</v>
      </c>
      <c r="Q1951"/>
    </row>
    <row r="1952" spans="1:17" ht="15.6" x14ac:dyDescent="0.3">
      <c r="A1952" s="11">
        <v>10324</v>
      </c>
      <c r="B1952" s="10">
        <v>38296</v>
      </c>
      <c r="C1952" s="10" t="s">
        <v>277</v>
      </c>
      <c r="D1952" s="11" t="s">
        <v>27</v>
      </c>
      <c r="E1952" s="11" t="s">
        <v>28</v>
      </c>
      <c r="F1952" s="11" t="s">
        <v>15</v>
      </c>
      <c r="G1952" s="11" t="s">
        <v>16</v>
      </c>
      <c r="H1952" s="11" t="s">
        <v>32</v>
      </c>
      <c r="I1952" s="11" t="s">
        <v>33</v>
      </c>
      <c r="J1952" s="11" t="s">
        <v>245</v>
      </c>
      <c r="K1952" s="11">
        <v>47</v>
      </c>
      <c r="L1952" s="12">
        <v>85</v>
      </c>
      <c r="M1952" s="13">
        <v>3995</v>
      </c>
      <c r="N1952" s="11" t="s">
        <v>367</v>
      </c>
      <c r="O1952" s="11" t="s">
        <v>19</v>
      </c>
      <c r="Q1952"/>
    </row>
    <row r="1953" spans="1:17" ht="15.6" x14ac:dyDescent="0.3">
      <c r="A1953" s="15">
        <v>10324</v>
      </c>
      <c r="B1953" s="14">
        <v>38296</v>
      </c>
      <c r="C1953" s="14" t="s">
        <v>277</v>
      </c>
      <c r="D1953" s="15" t="s">
        <v>27</v>
      </c>
      <c r="E1953" s="15" t="s">
        <v>28</v>
      </c>
      <c r="F1953" s="15" t="s">
        <v>15</v>
      </c>
      <c r="G1953" s="15" t="s">
        <v>16</v>
      </c>
      <c r="H1953" s="15" t="s">
        <v>35</v>
      </c>
      <c r="I1953" s="15" t="s">
        <v>39</v>
      </c>
      <c r="J1953" s="15" t="s">
        <v>250</v>
      </c>
      <c r="K1953" s="15">
        <v>33</v>
      </c>
      <c r="L1953" s="16">
        <v>20</v>
      </c>
      <c r="M1953" s="17">
        <v>660</v>
      </c>
      <c r="N1953" s="15" t="s">
        <v>367</v>
      </c>
      <c r="O1953" s="15" t="s">
        <v>19</v>
      </c>
      <c r="Q1953"/>
    </row>
    <row r="1954" spans="1:17" ht="15.6" x14ac:dyDescent="0.3">
      <c r="A1954" s="11">
        <v>10325</v>
      </c>
      <c r="B1954" s="10">
        <v>38296</v>
      </c>
      <c r="C1954" s="10" t="s">
        <v>278</v>
      </c>
      <c r="D1954" s="11" t="s">
        <v>29</v>
      </c>
      <c r="E1954" s="11" t="s">
        <v>30</v>
      </c>
      <c r="F1954" s="11" t="s">
        <v>31</v>
      </c>
      <c r="G1954" s="11" t="s">
        <v>25</v>
      </c>
      <c r="H1954" s="11" t="s">
        <v>17</v>
      </c>
      <c r="I1954" s="11" t="s">
        <v>26</v>
      </c>
      <c r="J1954" s="11" t="s">
        <v>244</v>
      </c>
      <c r="K1954" s="11">
        <v>24</v>
      </c>
      <c r="L1954" s="12">
        <v>60</v>
      </c>
      <c r="M1954" s="13">
        <v>1440</v>
      </c>
      <c r="N1954" s="11" t="s">
        <v>367</v>
      </c>
      <c r="O1954" s="11" t="s">
        <v>19</v>
      </c>
      <c r="Q1954"/>
    </row>
    <row r="1955" spans="1:17" ht="15.6" x14ac:dyDescent="0.3">
      <c r="A1955" s="15">
        <v>10324</v>
      </c>
      <c r="B1955" s="14">
        <v>38296</v>
      </c>
      <c r="C1955" s="14" t="s">
        <v>277</v>
      </c>
      <c r="D1955" s="15" t="s">
        <v>27</v>
      </c>
      <c r="E1955" s="15" t="s">
        <v>28</v>
      </c>
      <c r="F1955" s="15" t="s">
        <v>15</v>
      </c>
      <c r="G1955" s="15" t="s">
        <v>16</v>
      </c>
      <c r="H1955" s="15" t="s">
        <v>32</v>
      </c>
      <c r="I1955" s="15" t="s">
        <v>34</v>
      </c>
      <c r="J1955" s="15" t="s">
        <v>246</v>
      </c>
      <c r="K1955" s="15">
        <v>27</v>
      </c>
      <c r="L1955" s="16">
        <v>80</v>
      </c>
      <c r="M1955" s="17">
        <v>2160</v>
      </c>
      <c r="N1955" s="15" t="s">
        <v>367</v>
      </c>
      <c r="O1955" s="15" t="s">
        <v>19</v>
      </c>
      <c r="Q1955"/>
    </row>
    <row r="1956" spans="1:17" ht="15.6" x14ac:dyDescent="0.3">
      <c r="A1956" s="11">
        <v>10323</v>
      </c>
      <c r="B1956" s="10">
        <v>38296</v>
      </c>
      <c r="C1956" s="10" t="s">
        <v>276</v>
      </c>
      <c r="D1956" s="11" t="s">
        <v>22</v>
      </c>
      <c r="E1956" s="11" t="s">
        <v>23</v>
      </c>
      <c r="F1956" s="11" t="s">
        <v>24</v>
      </c>
      <c r="G1956" s="11" t="s">
        <v>25</v>
      </c>
      <c r="H1956" s="11" t="s">
        <v>17</v>
      </c>
      <c r="I1956" s="11" t="s">
        <v>20</v>
      </c>
      <c r="J1956" s="11" t="s">
        <v>242</v>
      </c>
      <c r="K1956" s="11">
        <v>33</v>
      </c>
      <c r="L1956" s="12">
        <v>48</v>
      </c>
      <c r="M1956" s="13">
        <v>1584</v>
      </c>
      <c r="N1956" s="11" t="s">
        <v>367</v>
      </c>
      <c r="O1956" s="11" t="s">
        <v>19</v>
      </c>
      <c r="Q1956"/>
    </row>
    <row r="1957" spans="1:17" ht="15.6" x14ac:dyDescent="0.3">
      <c r="A1957" s="15">
        <v>10324</v>
      </c>
      <c r="B1957" s="14">
        <v>38296</v>
      </c>
      <c r="C1957" s="14" t="s">
        <v>277</v>
      </c>
      <c r="D1957" s="15" t="s">
        <v>27</v>
      </c>
      <c r="E1957" s="15" t="s">
        <v>28</v>
      </c>
      <c r="F1957" s="15" t="s">
        <v>15</v>
      </c>
      <c r="G1957" s="15" t="s">
        <v>16</v>
      </c>
      <c r="H1957" s="15" t="s">
        <v>32</v>
      </c>
      <c r="I1957" s="15" t="s">
        <v>34</v>
      </c>
      <c r="J1957" s="15" t="s">
        <v>246</v>
      </c>
      <c r="K1957" s="15">
        <v>49</v>
      </c>
      <c r="L1957" s="16">
        <v>80</v>
      </c>
      <c r="M1957" s="17">
        <v>3920</v>
      </c>
      <c r="N1957" s="15" t="s">
        <v>367</v>
      </c>
      <c r="O1957" s="15" t="s">
        <v>19</v>
      </c>
      <c r="Q1957"/>
    </row>
    <row r="1958" spans="1:17" ht="15.6" x14ac:dyDescent="0.3">
      <c r="A1958" s="11">
        <v>10323</v>
      </c>
      <c r="B1958" s="10">
        <v>38296</v>
      </c>
      <c r="C1958" s="10" t="s">
        <v>276</v>
      </c>
      <c r="D1958" s="11" t="s">
        <v>22</v>
      </c>
      <c r="E1958" s="11" t="s">
        <v>23</v>
      </c>
      <c r="F1958" s="11" t="s">
        <v>24</v>
      </c>
      <c r="G1958" s="11" t="s">
        <v>25</v>
      </c>
      <c r="H1958" s="11" t="s">
        <v>35</v>
      </c>
      <c r="I1958" s="11" t="s">
        <v>40</v>
      </c>
      <c r="J1958" s="11" t="s">
        <v>251</v>
      </c>
      <c r="K1958" s="11">
        <v>47</v>
      </c>
      <c r="L1958" s="12">
        <v>25</v>
      </c>
      <c r="M1958" s="13">
        <v>1175</v>
      </c>
      <c r="N1958" s="11" t="s">
        <v>367</v>
      </c>
      <c r="O1958" s="11" t="s">
        <v>19</v>
      </c>
      <c r="Q1958"/>
    </row>
    <row r="1959" spans="1:17" ht="15.6" x14ac:dyDescent="0.3">
      <c r="A1959" s="15">
        <v>10324</v>
      </c>
      <c r="B1959" s="14">
        <v>38296</v>
      </c>
      <c r="C1959" s="14" t="s">
        <v>277</v>
      </c>
      <c r="D1959" s="15" t="s">
        <v>27</v>
      </c>
      <c r="E1959" s="15" t="s">
        <v>28</v>
      </c>
      <c r="F1959" s="15" t="s">
        <v>15</v>
      </c>
      <c r="G1959" s="15" t="s">
        <v>16</v>
      </c>
      <c r="H1959" s="15" t="s">
        <v>17</v>
      </c>
      <c r="I1959" s="15" t="s">
        <v>20</v>
      </c>
      <c r="J1959" s="15" t="s">
        <v>242</v>
      </c>
      <c r="K1959" s="15">
        <v>38</v>
      </c>
      <c r="L1959" s="16">
        <v>48</v>
      </c>
      <c r="M1959" s="17">
        <v>1824</v>
      </c>
      <c r="N1959" s="15" t="s">
        <v>367</v>
      </c>
      <c r="O1959" s="15" t="s">
        <v>19</v>
      </c>
      <c r="Q1959"/>
    </row>
    <row r="1960" spans="1:17" ht="15.6" x14ac:dyDescent="0.3">
      <c r="A1960" s="11">
        <v>10324</v>
      </c>
      <c r="B1960" s="10">
        <v>38296</v>
      </c>
      <c r="C1960" s="10" t="s">
        <v>277</v>
      </c>
      <c r="D1960" s="11" t="s">
        <v>27</v>
      </c>
      <c r="E1960" s="11" t="s">
        <v>28</v>
      </c>
      <c r="F1960" s="11" t="s">
        <v>15</v>
      </c>
      <c r="G1960" s="11" t="s">
        <v>16</v>
      </c>
      <c r="H1960" s="11" t="s">
        <v>32</v>
      </c>
      <c r="I1960" s="11" t="s">
        <v>34</v>
      </c>
      <c r="J1960" s="11" t="s">
        <v>246</v>
      </c>
      <c r="K1960" s="11">
        <v>25</v>
      </c>
      <c r="L1960" s="12">
        <v>80</v>
      </c>
      <c r="M1960" s="13">
        <v>2000</v>
      </c>
      <c r="N1960" s="11" t="s">
        <v>367</v>
      </c>
      <c r="O1960" s="11" t="s">
        <v>19</v>
      </c>
      <c r="Q1960"/>
    </row>
    <row r="1961" spans="1:17" ht="15.6" x14ac:dyDescent="0.3">
      <c r="A1961" s="15">
        <v>10324</v>
      </c>
      <c r="B1961" s="14">
        <v>38296</v>
      </c>
      <c r="C1961" s="14" t="s">
        <v>277</v>
      </c>
      <c r="D1961" s="15" t="s">
        <v>27</v>
      </c>
      <c r="E1961" s="15" t="s">
        <v>28</v>
      </c>
      <c r="F1961" s="15" t="s">
        <v>15</v>
      </c>
      <c r="G1961" s="15" t="s">
        <v>16</v>
      </c>
      <c r="H1961" s="15" t="s">
        <v>35</v>
      </c>
      <c r="I1961" s="15" t="s">
        <v>38</v>
      </c>
      <c r="J1961" s="15" t="s">
        <v>249</v>
      </c>
      <c r="K1961" s="15">
        <v>31</v>
      </c>
      <c r="L1961" s="16">
        <v>20</v>
      </c>
      <c r="M1961" s="17">
        <v>620</v>
      </c>
      <c r="N1961" s="15" t="s">
        <v>367</v>
      </c>
      <c r="O1961" s="15" t="s">
        <v>19</v>
      </c>
      <c r="Q1961"/>
    </row>
    <row r="1962" spans="1:17" ht="15.6" x14ac:dyDescent="0.3">
      <c r="A1962" s="11">
        <v>10324</v>
      </c>
      <c r="B1962" s="10">
        <v>38296</v>
      </c>
      <c r="C1962" s="10" t="s">
        <v>277</v>
      </c>
      <c r="D1962" s="11" t="s">
        <v>27</v>
      </c>
      <c r="E1962" s="11" t="s">
        <v>28</v>
      </c>
      <c r="F1962" s="11" t="s">
        <v>15</v>
      </c>
      <c r="G1962" s="11" t="s">
        <v>16</v>
      </c>
      <c r="H1962" s="11" t="s">
        <v>32</v>
      </c>
      <c r="I1962" s="11" t="s">
        <v>46</v>
      </c>
      <c r="J1962" s="11" t="s">
        <v>254</v>
      </c>
      <c r="K1962" s="11">
        <v>30</v>
      </c>
      <c r="L1962" s="12">
        <v>90</v>
      </c>
      <c r="M1962" s="13">
        <v>2700</v>
      </c>
      <c r="N1962" s="11" t="s">
        <v>367</v>
      </c>
      <c r="O1962" s="11" t="s">
        <v>19</v>
      </c>
      <c r="Q1962"/>
    </row>
    <row r="1963" spans="1:17" ht="15.6" x14ac:dyDescent="0.3">
      <c r="A1963" s="15">
        <v>10325</v>
      </c>
      <c r="B1963" s="14">
        <v>38296</v>
      </c>
      <c r="C1963" s="14" t="s">
        <v>278</v>
      </c>
      <c r="D1963" s="15" t="s">
        <v>29</v>
      </c>
      <c r="E1963" s="15" t="s">
        <v>30</v>
      </c>
      <c r="F1963" s="15" t="s">
        <v>31</v>
      </c>
      <c r="G1963" s="15" t="s">
        <v>25</v>
      </c>
      <c r="H1963" s="15" t="s">
        <v>32</v>
      </c>
      <c r="I1963" s="15" t="s">
        <v>46</v>
      </c>
      <c r="J1963" s="15" t="s">
        <v>254</v>
      </c>
      <c r="K1963" s="15">
        <v>44</v>
      </c>
      <c r="L1963" s="16">
        <v>90</v>
      </c>
      <c r="M1963" s="17">
        <v>3960</v>
      </c>
      <c r="N1963" s="15" t="s">
        <v>367</v>
      </c>
      <c r="O1963" s="15" t="s">
        <v>19</v>
      </c>
      <c r="Q1963"/>
    </row>
    <row r="1964" spans="1:17" ht="15.6" x14ac:dyDescent="0.3">
      <c r="A1964" s="11">
        <v>10324</v>
      </c>
      <c r="B1964" s="10">
        <v>38296</v>
      </c>
      <c r="C1964" s="10" t="s">
        <v>277</v>
      </c>
      <c r="D1964" s="11" t="s">
        <v>27</v>
      </c>
      <c r="E1964" s="11" t="s">
        <v>28</v>
      </c>
      <c r="F1964" s="11" t="s">
        <v>15</v>
      </c>
      <c r="G1964" s="11" t="s">
        <v>16</v>
      </c>
      <c r="H1964" s="11" t="s">
        <v>17</v>
      </c>
      <c r="I1964" s="11" t="s">
        <v>82</v>
      </c>
      <c r="J1964" s="11" t="s">
        <v>270</v>
      </c>
      <c r="K1964" s="11">
        <v>33</v>
      </c>
      <c r="L1964" s="12">
        <v>75</v>
      </c>
      <c r="M1964" s="13">
        <v>2475</v>
      </c>
      <c r="N1964" s="11" t="s">
        <v>367</v>
      </c>
      <c r="O1964" s="11" t="s">
        <v>19</v>
      </c>
      <c r="Q1964"/>
    </row>
    <row r="1965" spans="1:17" ht="15.6" x14ac:dyDescent="0.3">
      <c r="A1965" s="15">
        <v>10324</v>
      </c>
      <c r="B1965" s="14">
        <v>38296</v>
      </c>
      <c r="C1965" s="14" t="s">
        <v>277</v>
      </c>
      <c r="D1965" s="15" t="s">
        <v>27</v>
      </c>
      <c r="E1965" s="15" t="s">
        <v>28</v>
      </c>
      <c r="F1965" s="15" t="s">
        <v>15</v>
      </c>
      <c r="G1965" s="15" t="s">
        <v>16</v>
      </c>
      <c r="H1965" s="15" t="s">
        <v>35</v>
      </c>
      <c r="I1965" s="15" t="s">
        <v>38</v>
      </c>
      <c r="J1965" s="15" t="s">
        <v>249</v>
      </c>
      <c r="K1965" s="15">
        <v>20</v>
      </c>
      <c r="L1965" s="16">
        <v>20</v>
      </c>
      <c r="M1965" s="17">
        <v>400</v>
      </c>
      <c r="N1965" s="15" t="s">
        <v>367</v>
      </c>
      <c r="O1965" s="15" t="s">
        <v>19</v>
      </c>
      <c r="Q1965"/>
    </row>
    <row r="1966" spans="1:17" ht="15.6" x14ac:dyDescent="0.3">
      <c r="A1966" s="11">
        <v>10325</v>
      </c>
      <c r="B1966" s="10">
        <v>38296</v>
      </c>
      <c r="C1966" s="10" t="s">
        <v>278</v>
      </c>
      <c r="D1966" s="11" t="s">
        <v>29</v>
      </c>
      <c r="E1966" s="11" t="s">
        <v>30</v>
      </c>
      <c r="F1966" s="11" t="s">
        <v>31</v>
      </c>
      <c r="G1966" s="11" t="s">
        <v>25</v>
      </c>
      <c r="H1966" s="11" t="s">
        <v>35</v>
      </c>
      <c r="I1966" s="11" t="s">
        <v>38</v>
      </c>
      <c r="J1966" s="11" t="s">
        <v>249</v>
      </c>
      <c r="K1966" s="11">
        <v>38</v>
      </c>
      <c r="L1966" s="12">
        <v>20</v>
      </c>
      <c r="M1966" s="13">
        <v>760</v>
      </c>
      <c r="N1966" s="11" t="s">
        <v>367</v>
      </c>
      <c r="O1966" s="11" t="s">
        <v>19</v>
      </c>
      <c r="Q1966"/>
    </row>
    <row r="1967" spans="1:17" ht="15.6" x14ac:dyDescent="0.3">
      <c r="A1967" s="15">
        <v>10325</v>
      </c>
      <c r="B1967" s="14">
        <v>38296</v>
      </c>
      <c r="C1967" s="14" t="s">
        <v>278</v>
      </c>
      <c r="D1967" s="15" t="s">
        <v>29</v>
      </c>
      <c r="E1967" s="15" t="s">
        <v>30</v>
      </c>
      <c r="F1967" s="15" t="s">
        <v>31</v>
      </c>
      <c r="G1967" s="15" t="s">
        <v>25</v>
      </c>
      <c r="H1967" s="15" t="s">
        <v>47</v>
      </c>
      <c r="I1967" s="15" t="s">
        <v>48</v>
      </c>
      <c r="J1967" s="15" t="s">
        <v>255</v>
      </c>
      <c r="K1967" s="15">
        <v>28</v>
      </c>
      <c r="L1967" s="16">
        <v>70</v>
      </c>
      <c r="M1967" s="17">
        <v>1960</v>
      </c>
      <c r="N1967" s="15" t="s">
        <v>367</v>
      </c>
      <c r="O1967" s="15" t="s">
        <v>19</v>
      </c>
      <c r="Q1967"/>
    </row>
    <row r="1968" spans="1:17" ht="15.6" x14ac:dyDescent="0.3">
      <c r="A1968" s="11">
        <v>10324</v>
      </c>
      <c r="B1968" s="10">
        <v>38296</v>
      </c>
      <c r="C1968" s="10" t="s">
        <v>277</v>
      </c>
      <c r="D1968" s="11" t="s">
        <v>27</v>
      </c>
      <c r="E1968" s="11" t="s">
        <v>28</v>
      </c>
      <c r="F1968" s="11" t="s">
        <v>15</v>
      </c>
      <c r="G1968" s="11" t="s">
        <v>16</v>
      </c>
      <c r="H1968" s="11" t="s">
        <v>35</v>
      </c>
      <c r="I1968" s="11" t="s">
        <v>37</v>
      </c>
      <c r="J1968" s="11" t="s">
        <v>248</v>
      </c>
      <c r="K1968" s="11">
        <v>48</v>
      </c>
      <c r="L1968" s="12">
        <v>30</v>
      </c>
      <c r="M1968" s="13">
        <v>1440</v>
      </c>
      <c r="N1968" s="11" t="s">
        <v>367</v>
      </c>
      <c r="O1968" s="11" t="s">
        <v>19</v>
      </c>
      <c r="Q1968"/>
    </row>
    <row r="1969" spans="1:17" ht="15.6" x14ac:dyDescent="0.3">
      <c r="A1969" s="15">
        <v>10325</v>
      </c>
      <c r="B1969" s="14">
        <v>38296</v>
      </c>
      <c r="C1969" s="14" t="s">
        <v>278</v>
      </c>
      <c r="D1969" s="15" t="s">
        <v>29</v>
      </c>
      <c r="E1969" s="15" t="s">
        <v>30</v>
      </c>
      <c r="F1969" s="15" t="s">
        <v>31</v>
      </c>
      <c r="G1969" s="15" t="s">
        <v>25</v>
      </c>
      <c r="H1969" s="15" t="s">
        <v>35</v>
      </c>
      <c r="I1969" s="15" t="s">
        <v>39</v>
      </c>
      <c r="J1969" s="15" t="s">
        <v>250</v>
      </c>
      <c r="K1969" s="15">
        <v>38</v>
      </c>
      <c r="L1969" s="16">
        <v>20</v>
      </c>
      <c r="M1969" s="17">
        <v>760</v>
      </c>
      <c r="N1969" s="15" t="s">
        <v>367</v>
      </c>
      <c r="O1969" s="15" t="s">
        <v>19</v>
      </c>
      <c r="Q1969"/>
    </row>
    <row r="1970" spans="1:17" ht="15.6" x14ac:dyDescent="0.3">
      <c r="A1970" s="11">
        <v>10325</v>
      </c>
      <c r="B1970" s="10">
        <v>38296</v>
      </c>
      <c r="C1970" s="10" t="s">
        <v>278</v>
      </c>
      <c r="D1970" s="11" t="s">
        <v>29</v>
      </c>
      <c r="E1970" s="11" t="s">
        <v>30</v>
      </c>
      <c r="F1970" s="11" t="s">
        <v>31</v>
      </c>
      <c r="G1970" s="11" t="s">
        <v>25</v>
      </c>
      <c r="H1970" s="11" t="s">
        <v>47</v>
      </c>
      <c r="I1970" s="11" t="s">
        <v>119</v>
      </c>
      <c r="J1970" s="11" t="s">
        <v>272</v>
      </c>
      <c r="K1970" s="11">
        <v>44</v>
      </c>
      <c r="L1970" s="12">
        <v>60</v>
      </c>
      <c r="M1970" s="13">
        <v>2640</v>
      </c>
      <c r="N1970" s="11" t="s">
        <v>367</v>
      </c>
      <c r="O1970" s="11" t="s">
        <v>19</v>
      </c>
      <c r="Q1970"/>
    </row>
    <row r="1971" spans="1:17" ht="15.6" x14ac:dyDescent="0.3">
      <c r="A1971" s="15">
        <v>10324</v>
      </c>
      <c r="B1971" s="14">
        <v>38296</v>
      </c>
      <c r="C1971" s="14" t="s">
        <v>277</v>
      </c>
      <c r="D1971" s="15" t="s">
        <v>27</v>
      </c>
      <c r="E1971" s="15" t="s">
        <v>28</v>
      </c>
      <c r="F1971" s="15" t="s">
        <v>15</v>
      </c>
      <c r="G1971" s="15" t="s">
        <v>16</v>
      </c>
      <c r="H1971" s="15" t="s">
        <v>32</v>
      </c>
      <c r="I1971" s="15" t="s">
        <v>34</v>
      </c>
      <c r="J1971" s="15" t="s">
        <v>246</v>
      </c>
      <c r="K1971" s="15">
        <v>34</v>
      </c>
      <c r="L1971" s="16">
        <v>80</v>
      </c>
      <c r="M1971" s="17">
        <v>2720</v>
      </c>
      <c r="N1971" s="15" t="s">
        <v>367</v>
      </c>
      <c r="O1971" s="15" t="s">
        <v>19</v>
      </c>
      <c r="Q1971"/>
    </row>
    <row r="1972" spans="1:17" ht="15.6" x14ac:dyDescent="0.3">
      <c r="A1972" s="11">
        <v>10326</v>
      </c>
      <c r="B1972" s="10">
        <v>38300</v>
      </c>
      <c r="C1972" s="10" t="s">
        <v>286</v>
      </c>
      <c r="D1972" s="11" t="s">
        <v>83</v>
      </c>
      <c r="E1972" s="11" t="s">
        <v>84</v>
      </c>
      <c r="F1972" s="11" t="s">
        <v>85</v>
      </c>
      <c r="G1972" s="11" t="s">
        <v>25</v>
      </c>
      <c r="H1972" s="11" t="s">
        <v>47</v>
      </c>
      <c r="I1972" s="11" t="s">
        <v>48</v>
      </c>
      <c r="J1972" s="11" t="s">
        <v>255</v>
      </c>
      <c r="K1972" s="11">
        <v>32</v>
      </c>
      <c r="L1972" s="12">
        <v>70</v>
      </c>
      <c r="M1972" s="13">
        <v>2240</v>
      </c>
      <c r="N1972" s="11" t="s">
        <v>367</v>
      </c>
      <c r="O1972" s="11" t="s">
        <v>19</v>
      </c>
      <c r="Q1972"/>
    </row>
    <row r="1973" spans="1:17" ht="15.6" x14ac:dyDescent="0.3">
      <c r="A1973" s="15">
        <v>10326</v>
      </c>
      <c r="B1973" s="14">
        <v>38300</v>
      </c>
      <c r="C1973" s="14" t="s">
        <v>286</v>
      </c>
      <c r="D1973" s="15" t="s">
        <v>83</v>
      </c>
      <c r="E1973" s="15" t="s">
        <v>84</v>
      </c>
      <c r="F1973" s="15" t="s">
        <v>85</v>
      </c>
      <c r="G1973" s="15" t="s">
        <v>25</v>
      </c>
      <c r="H1973" s="15" t="s">
        <v>17</v>
      </c>
      <c r="I1973" s="15" t="s">
        <v>20</v>
      </c>
      <c r="J1973" s="15" t="s">
        <v>242</v>
      </c>
      <c r="K1973" s="15">
        <v>50</v>
      </c>
      <c r="L1973" s="16">
        <v>48</v>
      </c>
      <c r="M1973" s="17">
        <v>2400</v>
      </c>
      <c r="N1973" s="15" t="s">
        <v>368</v>
      </c>
      <c r="O1973" s="15" t="s">
        <v>19</v>
      </c>
      <c r="Q1973"/>
    </row>
    <row r="1974" spans="1:17" ht="15.6" x14ac:dyDescent="0.3">
      <c r="A1974" s="11">
        <v>10326</v>
      </c>
      <c r="B1974" s="10">
        <v>38300</v>
      </c>
      <c r="C1974" s="10" t="s">
        <v>286</v>
      </c>
      <c r="D1974" s="11" t="s">
        <v>83</v>
      </c>
      <c r="E1974" s="11" t="s">
        <v>84</v>
      </c>
      <c r="F1974" s="11" t="s">
        <v>85</v>
      </c>
      <c r="G1974" s="11" t="s">
        <v>25</v>
      </c>
      <c r="H1974" s="11" t="s">
        <v>54</v>
      </c>
      <c r="I1974" s="11" t="s">
        <v>55</v>
      </c>
      <c r="J1974" s="11" t="s">
        <v>258</v>
      </c>
      <c r="K1974" s="11">
        <v>41</v>
      </c>
      <c r="L1974" s="12">
        <v>180</v>
      </c>
      <c r="M1974" s="13">
        <v>7380</v>
      </c>
      <c r="N1974" s="11" t="s">
        <v>367</v>
      </c>
      <c r="O1974" s="11" t="s">
        <v>19</v>
      </c>
      <c r="Q1974"/>
    </row>
    <row r="1975" spans="1:17" ht="15.6" x14ac:dyDescent="0.3">
      <c r="A1975" s="15">
        <v>10326</v>
      </c>
      <c r="B1975" s="14">
        <v>38300</v>
      </c>
      <c r="C1975" s="14" t="s">
        <v>286</v>
      </c>
      <c r="D1975" s="15" t="s">
        <v>83</v>
      </c>
      <c r="E1975" s="15" t="s">
        <v>84</v>
      </c>
      <c r="F1975" s="15" t="s">
        <v>85</v>
      </c>
      <c r="G1975" s="15" t="s">
        <v>25</v>
      </c>
      <c r="H1975" s="15" t="s">
        <v>17</v>
      </c>
      <c r="I1975" s="15" t="s">
        <v>52</v>
      </c>
      <c r="J1975" s="15" t="s">
        <v>256</v>
      </c>
      <c r="K1975" s="15">
        <v>41</v>
      </c>
      <c r="L1975" s="16">
        <v>45</v>
      </c>
      <c r="M1975" s="17">
        <v>1845</v>
      </c>
      <c r="N1975" s="15" t="s">
        <v>367</v>
      </c>
      <c r="O1975" s="15" t="s">
        <v>19</v>
      </c>
      <c r="Q1975"/>
    </row>
    <row r="1976" spans="1:17" ht="15.6" x14ac:dyDescent="0.3">
      <c r="A1976" s="11">
        <v>10326</v>
      </c>
      <c r="B1976" s="10">
        <v>38300</v>
      </c>
      <c r="C1976" s="10" t="s">
        <v>286</v>
      </c>
      <c r="D1976" s="11" t="s">
        <v>83</v>
      </c>
      <c r="E1976" s="11" t="s">
        <v>84</v>
      </c>
      <c r="F1976" s="11" t="s">
        <v>85</v>
      </c>
      <c r="G1976" s="11" t="s">
        <v>25</v>
      </c>
      <c r="H1976" s="11" t="s">
        <v>17</v>
      </c>
      <c r="I1976" s="11" t="s">
        <v>82</v>
      </c>
      <c r="J1976" s="11" t="s">
        <v>270</v>
      </c>
      <c r="K1976" s="11">
        <v>20</v>
      </c>
      <c r="L1976" s="12">
        <v>75</v>
      </c>
      <c r="M1976" s="13">
        <v>1500</v>
      </c>
      <c r="N1976" s="11" t="s">
        <v>367</v>
      </c>
      <c r="O1976" s="11" t="s">
        <v>19</v>
      </c>
      <c r="Q1976"/>
    </row>
    <row r="1977" spans="1:17" ht="15.6" x14ac:dyDescent="0.3">
      <c r="A1977" s="15">
        <v>10326</v>
      </c>
      <c r="B1977" s="14">
        <v>38300</v>
      </c>
      <c r="C1977" s="14" t="s">
        <v>286</v>
      </c>
      <c r="D1977" s="15" t="s">
        <v>83</v>
      </c>
      <c r="E1977" s="15" t="s">
        <v>84</v>
      </c>
      <c r="F1977" s="15" t="s">
        <v>85</v>
      </c>
      <c r="G1977" s="15" t="s">
        <v>25</v>
      </c>
      <c r="H1977" s="15" t="s">
        <v>54</v>
      </c>
      <c r="I1977" s="15" t="s">
        <v>166</v>
      </c>
      <c r="J1977" s="15" t="s">
        <v>273</v>
      </c>
      <c r="K1977" s="15">
        <v>39</v>
      </c>
      <c r="L1977" s="16">
        <v>160</v>
      </c>
      <c r="M1977" s="17">
        <v>6240</v>
      </c>
      <c r="N1977" s="15" t="s">
        <v>367</v>
      </c>
      <c r="O1977" s="15" t="s">
        <v>19</v>
      </c>
      <c r="Q1977"/>
    </row>
    <row r="1978" spans="1:17" ht="15.6" x14ac:dyDescent="0.3">
      <c r="A1978" s="11">
        <v>10328</v>
      </c>
      <c r="B1978" s="10">
        <v>38303</v>
      </c>
      <c r="C1978" s="10" t="s">
        <v>281</v>
      </c>
      <c r="D1978" s="11" t="s">
        <v>58</v>
      </c>
      <c r="E1978" s="11" t="s">
        <v>59</v>
      </c>
      <c r="F1978" s="11" t="s">
        <v>60</v>
      </c>
      <c r="G1978" s="11" t="s">
        <v>25</v>
      </c>
      <c r="H1978" s="11" t="s">
        <v>17</v>
      </c>
      <c r="I1978" s="11" t="s">
        <v>20</v>
      </c>
      <c r="J1978" s="11" t="s">
        <v>242</v>
      </c>
      <c r="K1978" s="11">
        <v>34</v>
      </c>
      <c r="L1978" s="12">
        <v>48</v>
      </c>
      <c r="M1978" s="13">
        <v>1632</v>
      </c>
      <c r="N1978" s="11" t="s">
        <v>367</v>
      </c>
      <c r="O1978" s="11" t="s">
        <v>19</v>
      </c>
      <c r="Q1978"/>
    </row>
    <row r="1979" spans="1:17" ht="15.6" x14ac:dyDescent="0.3">
      <c r="A1979" s="15">
        <v>10328</v>
      </c>
      <c r="B1979" s="14">
        <v>38303</v>
      </c>
      <c r="C1979" s="14" t="s">
        <v>281</v>
      </c>
      <c r="D1979" s="15" t="s">
        <v>58</v>
      </c>
      <c r="E1979" s="15" t="s">
        <v>59</v>
      </c>
      <c r="F1979" s="15" t="s">
        <v>60</v>
      </c>
      <c r="G1979" s="15" t="s">
        <v>25</v>
      </c>
      <c r="H1979" s="15" t="s">
        <v>61</v>
      </c>
      <c r="I1979" s="15" t="s">
        <v>62</v>
      </c>
      <c r="J1979" s="15" t="s">
        <v>261</v>
      </c>
      <c r="K1979" s="15">
        <v>47</v>
      </c>
      <c r="L1979" s="16">
        <v>15</v>
      </c>
      <c r="M1979" s="17">
        <v>705</v>
      </c>
      <c r="N1979" s="15" t="s">
        <v>367</v>
      </c>
      <c r="O1979" s="15" t="s">
        <v>19</v>
      </c>
      <c r="Q1979"/>
    </row>
    <row r="1980" spans="1:17" ht="15.6" x14ac:dyDescent="0.3">
      <c r="A1980" s="11">
        <v>10328</v>
      </c>
      <c r="B1980" s="10">
        <v>38303</v>
      </c>
      <c r="C1980" s="10" t="s">
        <v>281</v>
      </c>
      <c r="D1980" s="11" t="s">
        <v>58</v>
      </c>
      <c r="E1980" s="11" t="s">
        <v>59</v>
      </c>
      <c r="F1980" s="11" t="s">
        <v>60</v>
      </c>
      <c r="G1980" s="11" t="s">
        <v>25</v>
      </c>
      <c r="H1980" s="11" t="s">
        <v>61</v>
      </c>
      <c r="I1980" s="11" t="s">
        <v>62</v>
      </c>
      <c r="J1980" s="11" t="s">
        <v>261</v>
      </c>
      <c r="K1980" s="11">
        <v>48</v>
      </c>
      <c r="L1980" s="12">
        <v>15</v>
      </c>
      <c r="M1980" s="13">
        <v>720</v>
      </c>
      <c r="N1980" s="11" t="s">
        <v>367</v>
      </c>
      <c r="O1980" s="11" t="s">
        <v>19</v>
      </c>
      <c r="Q1980"/>
    </row>
    <row r="1981" spans="1:17" ht="15.6" x14ac:dyDescent="0.3">
      <c r="A1981" s="15">
        <v>10328</v>
      </c>
      <c r="B1981" s="14">
        <v>38303</v>
      </c>
      <c r="C1981" s="14" t="s">
        <v>281</v>
      </c>
      <c r="D1981" s="15" t="s">
        <v>58</v>
      </c>
      <c r="E1981" s="15" t="s">
        <v>59</v>
      </c>
      <c r="F1981" s="15" t="s">
        <v>60</v>
      </c>
      <c r="G1981" s="15" t="s">
        <v>25</v>
      </c>
      <c r="H1981" s="15" t="s">
        <v>17</v>
      </c>
      <c r="I1981" s="15" t="s">
        <v>18</v>
      </c>
      <c r="J1981" s="15" t="s">
        <v>241</v>
      </c>
      <c r="K1981" s="15">
        <v>20</v>
      </c>
      <c r="L1981" s="16">
        <v>30</v>
      </c>
      <c r="M1981" s="17">
        <v>600</v>
      </c>
      <c r="N1981" s="15" t="s">
        <v>367</v>
      </c>
      <c r="O1981" s="15" t="s">
        <v>19</v>
      </c>
      <c r="Q1981"/>
    </row>
    <row r="1982" spans="1:17" ht="15.6" x14ac:dyDescent="0.3">
      <c r="A1982" s="11">
        <v>10328</v>
      </c>
      <c r="B1982" s="10">
        <v>38303</v>
      </c>
      <c r="C1982" s="10" t="s">
        <v>281</v>
      </c>
      <c r="D1982" s="11" t="s">
        <v>58</v>
      </c>
      <c r="E1982" s="11" t="s">
        <v>59</v>
      </c>
      <c r="F1982" s="11" t="s">
        <v>60</v>
      </c>
      <c r="G1982" s="11" t="s">
        <v>25</v>
      </c>
      <c r="H1982" s="11" t="s">
        <v>61</v>
      </c>
      <c r="I1982" s="11" t="s">
        <v>62</v>
      </c>
      <c r="J1982" s="11" t="s">
        <v>261</v>
      </c>
      <c r="K1982" s="11">
        <v>35</v>
      </c>
      <c r="L1982" s="12">
        <v>15</v>
      </c>
      <c r="M1982" s="13">
        <v>525</v>
      </c>
      <c r="N1982" s="11" t="s">
        <v>367</v>
      </c>
      <c r="O1982" s="11" t="s">
        <v>19</v>
      </c>
      <c r="Q1982"/>
    </row>
    <row r="1983" spans="1:17" ht="15.6" x14ac:dyDescent="0.3">
      <c r="A1983" s="15">
        <v>10328</v>
      </c>
      <c r="B1983" s="14">
        <v>38303</v>
      </c>
      <c r="C1983" s="14" t="s">
        <v>281</v>
      </c>
      <c r="D1983" s="15" t="s">
        <v>58</v>
      </c>
      <c r="E1983" s="15" t="s">
        <v>59</v>
      </c>
      <c r="F1983" s="15" t="s">
        <v>60</v>
      </c>
      <c r="G1983" s="15" t="s">
        <v>25</v>
      </c>
      <c r="H1983" s="15" t="s">
        <v>61</v>
      </c>
      <c r="I1983" s="15" t="s">
        <v>62</v>
      </c>
      <c r="J1983" s="15" t="s">
        <v>261</v>
      </c>
      <c r="K1983" s="15">
        <v>43</v>
      </c>
      <c r="L1983" s="16">
        <v>15</v>
      </c>
      <c r="M1983" s="17">
        <v>645</v>
      </c>
      <c r="N1983" s="15" t="s">
        <v>367</v>
      </c>
      <c r="O1983" s="15" t="s">
        <v>19</v>
      </c>
      <c r="Q1983"/>
    </row>
    <row r="1984" spans="1:17" ht="15.6" x14ac:dyDescent="0.3">
      <c r="A1984" s="11">
        <v>10328</v>
      </c>
      <c r="B1984" s="10">
        <v>38303</v>
      </c>
      <c r="C1984" s="10" t="s">
        <v>281</v>
      </c>
      <c r="D1984" s="11" t="s">
        <v>58</v>
      </c>
      <c r="E1984" s="11" t="s">
        <v>59</v>
      </c>
      <c r="F1984" s="11" t="s">
        <v>60</v>
      </c>
      <c r="G1984" s="11" t="s">
        <v>25</v>
      </c>
      <c r="H1984" s="11" t="s">
        <v>17</v>
      </c>
      <c r="I1984" s="11" t="s">
        <v>82</v>
      </c>
      <c r="J1984" s="11" t="s">
        <v>270</v>
      </c>
      <c r="K1984" s="11">
        <v>24</v>
      </c>
      <c r="L1984" s="12">
        <v>75</v>
      </c>
      <c r="M1984" s="13">
        <v>1800</v>
      </c>
      <c r="N1984" s="11" t="s">
        <v>367</v>
      </c>
      <c r="O1984" s="11" t="s">
        <v>19</v>
      </c>
      <c r="Q1984"/>
    </row>
    <row r="1985" spans="1:17" ht="15.6" x14ac:dyDescent="0.3">
      <c r="A1985" s="15">
        <v>10328</v>
      </c>
      <c r="B1985" s="14">
        <v>38303</v>
      </c>
      <c r="C1985" s="14" t="s">
        <v>281</v>
      </c>
      <c r="D1985" s="15" t="s">
        <v>58</v>
      </c>
      <c r="E1985" s="15" t="s">
        <v>59</v>
      </c>
      <c r="F1985" s="15" t="s">
        <v>60</v>
      </c>
      <c r="G1985" s="15" t="s">
        <v>25</v>
      </c>
      <c r="H1985" s="15" t="s">
        <v>17</v>
      </c>
      <c r="I1985" s="15" t="s">
        <v>20</v>
      </c>
      <c r="J1985" s="15" t="s">
        <v>242</v>
      </c>
      <c r="K1985" s="15">
        <v>34</v>
      </c>
      <c r="L1985" s="16">
        <v>48</v>
      </c>
      <c r="M1985" s="17">
        <v>1632</v>
      </c>
      <c r="N1985" s="15" t="s">
        <v>367</v>
      </c>
      <c r="O1985" s="15" t="s">
        <v>19</v>
      </c>
      <c r="Q1985"/>
    </row>
    <row r="1986" spans="1:17" ht="15.6" x14ac:dyDescent="0.3">
      <c r="A1986" s="11">
        <v>10328</v>
      </c>
      <c r="B1986" s="10">
        <v>38303</v>
      </c>
      <c r="C1986" s="10" t="s">
        <v>281</v>
      </c>
      <c r="D1986" s="11" t="s">
        <v>58</v>
      </c>
      <c r="E1986" s="11" t="s">
        <v>59</v>
      </c>
      <c r="F1986" s="11" t="s">
        <v>60</v>
      </c>
      <c r="G1986" s="11" t="s">
        <v>25</v>
      </c>
      <c r="H1986" s="11" t="s">
        <v>61</v>
      </c>
      <c r="I1986" s="11" t="s">
        <v>66</v>
      </c>
      <c r="J1986" s="11" t="s">
        <v>265</v>
      </c>
      <c r="K1986" s="11">
        <v>27</v>
      </c>
      <c r="L1986" s="12">
        <v>35</v>
      </c>
      <c r="M1986" s="13">
        <v>945</v>
      </c>
      <c r="N1986" s="11" t="s">
        <v>367</v>
      </c>
      <c r="O1986" s="11" t="s">
        <v>19</v>
      </c>
      <c r="Q1986"/>
    </row>
    <row r="1987" spans="1:17" ht="15.6" x14ac:dyDescent="0.3">
      <c r="A1987" s="15">
        <v>10328</v>
      </c>
      <c r="B1987" s="14">
        <v>38303</v>
      </c>
      <c r="C1987" s="14" t="s">
        <v>281</v>
      </c>
      <c r="D1987" s="15" t="s">
        <v>58</v>
      </c>
      <c r="E1987" s="15" t="s">
        <v>59</v>
      </c>
      <c r="F1987" s="15" t="s">
        <v>60</v>
      </c>
      <c r="G1987" s="15" t="s">
        <v>25</v>
      </c>
      <c r="H1987" s="15" t="s">
        <v>54</v>
      </c>
      <c r="I1987" s="15" t="s">
        <v>57</v>
      </c>
      <c r="J1987" s="15" t="s">
        <v>260</v>
      </c>
      <c r="K1987" s="15">
        <v>41</v>
      </c>
      <c r="L1987" s="16">
        <v>220</v>
      </c>
      <c r="M1987" s="17">
        <v>9020</v>
      </c>
      <c r="N1987" s="15" t="s">
        <v>367</v>
      </c>
      <c r="O1987" s="15" t="s">
        <v>19</v>
      </c>
      <c r="Q1987"/>
    </row>
    <row r="1988" spans="1:17" ht="15.6" x14ac:dyDescent="0.3">
      <c r="A1988" s="11">
        <v>10328</v>
      </c>
      <c r="B1988" s="10">
        <v>38303</v>
      </c>
      <c r="C1988" s="10" t="s">
        <v>281</v>
      </c>
      <c r="D1988" s="11" t="s">
        <v>58</v>
      </c>
      <c r="E1988" s="11" t="s">
        <v>59</v>
      </c>
      <c r="F1988" s="11" t="s">
        <v>60</v>
      </c>
      <c r="G1988" s="11" t="s">
        <v>25</v>
      </c>
      <c r="H1988" s="11" t="s">
        <v>61</v>
      </c>
      <c r="I1988" s="11" t="s">
        <v>65</v>
      </c>
      <c r="J1988" s="11" t="s">
        <v>264</v>
      </c>
      <c r="K1988" s="11">
        <v>37</v>
      </c>
      <c r="L1988" s="12">
        <v>30</v>
      </c>
      <c r="M1988" s="13">
        <v>1110</v>
      </c>
      <c r="N1988" s="11" t="s">
        <v>367</v>
      </c>
      <c r="O1988" s="11" t="s">
        <v>19</v>
      </c>
      <c r="Q1988"/>
    </row>
    <row r="1989" spans="1:17" ht="15.6" x14ac:dyDescent="0.3">
      <c r="A1989" s="15">
        <v>10328</v>
      </c>
      <c r="B1989" s="14">
        <v>38303</v>
      </c>
      <c r="C1989" s="14" t="s">
        <v>281</v>
      </c>
      <c r="D1989" s="15" t="s">
        <v>58</v>
      </c>
      <c r="E1989" s="15" t="s">
        <v>59</v>
      </c>
      <c r="F1989" s="15" t="s">
        <v>60</v>
      </c>
      <c r="G1989" s="15" t="s">
        <v>25</v>
      </c>
      <c r="H1989" s="15" t="s">
        <v>61</v>
      </c>
      <c r="I1989" s="15" t="s">
        <v>63</v>
      </c>
      <c r="J1989" s="15" t="s">
        <v>262</v>
      </c>
      <c r="K1989" s="15">
        <v>33</v>
      </c>
      <c r="L1989" s="16">
        <v>40</v>
      </c>
      <c r="M1989" s="17">
        <v>1320</v>
      </c>
      <c r="N1989" s="15" t="s">
        <v>367</v>
      </c>
      <c r="O1989" s="15" t="s">
        <v>19</v>
      </c>
      <c r="Q1989"/>
    </row>
    <row r="1990" spans="1:17" ht="15.6" x14ac:dyDescent="0.3">
      <c r="A1990" s="11">
        <v>10328</v>
      </c>
      <c r="B1990" s="10">
        <v>38303</v>
      </c>
      <c r="C1990" s="10" t="s">
        <v>281</v>
      </c>
      <c r="D1990" s="11" t="s">
        <v>58</v>
      </c>
      <c r="E1990" s="11" t="s">
        <v>59</v>
      </c>
      <c r="F1990" s="11" t="s">
        <v>60</v>
      </c>
      <c r="G1990" s="11" t="s">
        <v>25</v>
      </c>
      <c r="H1990" s="11" t="s">
        <v>61</v>
      </c>
      <c r="I1990" s="11" t="s">
        <v>63</v>
      </c>
      <c r="J1990" s="11" t="s">
        <v>262</v>
      </c>
      <c r="K1990" s="11">
        <v>33</v>
      </c>
      <c r="L1990" s="12">
        <v>40</v>
      </c>
      <c r="M1990" s="13">
        <v>1320</v>
      </c>
      <c r="N1990" s="11" t="s">
        <v>367</v>
      </c>
      <c r="O1990" s="11" t="s">
        <v>19</v>
      </c>
      <c r="Q1990"/>
    </row>
    <row r="1991" spans="1:17" ht="15.6" x14ac:dyDescent="0.3">
      <c r="A1991" s="15">
        <v>10328</v>
      </c>
      <c r="B1991" s="14">
        <v>38303</v>
      </c>
      <c r="C1991" s="14" t="s">
        <v>281</v>
      </c>
      <c r="D1991" s="15" t="s">
        <v>58</v>
      </c>
      <c r="E1991" s="15" t="s">
        <v>59</v>
      </c>
      <c r="F1991" s="15" t="s">
        <v>60</v>
      </c>
      <c r="G1991" s="15" t="s">
        <v>25</v>
      </c>
      <c r="H1991" s="15" t="s">
        <v>61</v>
      </c>
      <c r="I1991" s="15" t="s">
        <v>63</v>
      </c>
      <c r="J1991" s="15" t="s">
        <v>262</v>
      </c>
      <c r="K1991" s="15">
        <v>39</v>
      </c>
      <c r="L1991" s="16">
        <v>40</v>
      </c>
      <c r="M1991" s="17">
        <v>1560</v>
      </c>
      <c r="N1991" s="15" t="s">
        <v>367</v>
      </c>
      <c r="O1991" s="15" t="s">
        <v>19</v>
      </c>
      <c r="Q1991"/>
    </row>
    <row r="1992" spans="1:17" ht="15.6" x14ac:dyDescent="0.3">
      <c r="A1992" s="11">
        <v>10329</v>
      </c>
      <c r="B1992" s="10">
        <v>38306</v>
      </c>
      <c r="C1992" s="10" t="s">
        <v>282</v>
      </c>
      <c r="D1992" s="11" t="s">
        <v>67</v>
      </c>
      <c r="E1992" s="11" t="s">
        <v>28</v>
      </c>
      <c r="F1992" s="11" t="s">
        <v>15</v>
      </c>
      <c r="G1992" s="11" t="s">
        <v>16</v>
      </c>
      <c r="H1992" s="11" t="s">
        <v>68</v>
      </c>
      <c r="I1992" s="11" t="s">
        <v>69</v>
      </c>
      <c r="J1992" s="11" t="s">
        <v>266</v>
      </c>
      <c r="K1992" s="11">
        <v>42</v>
      </c>
      <c r="L1992" s="12">
        <v>25</v>
      </c>
      <c r="M1992" s="13">
        <v>1050</v>
      </c>
      <c r="N1992" s="11" t="s">
        <v>367</v>
      </c>
      <c r="O1992" s="11" t="s">
        <v>19</v>
      </c>
      <c r="Q1992"/>
    </row>
    <row r="1993" spans="1:17" ht="15.6" x14ac:dyDescent="0.3">
      <c r="A1993" s="15">
        <v>10329</v>
      </c>
      <c r="B1993" s="14">
        <v>38306</v>
      </c>
      <c r="C1993" s="14" t="s">
        <v>282</v>
      </c>
      <c r="D1993" s="15" t="s">
        <v>67</v>
      </c>
      <c r="E1993" s="15" t="s">
        <v>28</v>
      </c>
      <c r="F1993" s="15" t="s">
        <v>15</v>
      </c>
      <c r="G1993" s="15" t="s">
        <v>16</v>
      </c>
      <c r="H1993" s="15" t="s">
        <v>68</v>
      </c>
      <c r="I1993" s="15" t="s">
        <v>70</v>
      </c>
      <c r="J1993" s="15" t="s">
        <v>267</v>
      </c>
      <c r="K1993" s="15">
        <v>20</v>
      </c>
      <c r="L1993" s="16">
        <v>50</v>
      </c>
      <c r="M1993" s="17">
        <v>1000</v>
      </c>
      <c r="N1993" s="15" t="s">
        <v>367</v>
      </c>
      <c r="O1993" s="15" t="s">
        <v>19</v>
      </c>
      <c r="Q1993"/>
    </row>
    <row r="1994" spans="1:17" ht="15.6" x14ac:dyDescent="0.3">
      <c r="A1994" s="11">
        <v>10329</v>
      </c>
      <c r="B1994" s="10">
        <v>38306</v>
      </c>
      <c r="C1994" s="10" t="s">
        <v>282</v>
      </c>
      <c r="D1994" s="11" t="s">
        <v>67</v>
      </c>
      <c r="E1994" s="11" t="s">
        <v>28</v>
      </c>
      <c r="F1994" s="11" t="s">
        <v>15</v>
      </c>
      <c r="G1994" s="11" t="s">
        <v>16</v>
      </c>
      <c r="H1994" s="11" t="s">
        <v>68</v>
      </c>
      <c r="I1994" s="11" t="s">
        <v>75</v>
      </c>
      <c r="J1994" s="11" t="s">
        <v>268</v>
      </c>
      <c r="K1994" s="11">
        <v>26</v>
      </c>
      <c r="L1994" s="12">
        <v>35</v>
      </c>
      <c r="M1994" s="13">
        <v>910</v>
      </c>
      <c r="N1994" s="11" t="s">
        <v>367</v>
      </c>
      <c r="O1994" s="11" t="s">
        <v>19</v>
      </c>
      <c r="Q1994"/>
    </row>
    <row r="1995" spans="1:17" ht="15.6" x14ac:dyDescent="0.3">
      <c r="A1995" s="15">
        <v>10329</v>
      </c>
      <c r="B1995" s="14">
        <v>38306</v>
      </c>
      <c r="C1995" s="14" t="s">
        <v>282</v>
      </c>
      <c r="D1995" s="15" t="s">
        <v>67</v>
      </c>
      <c r="E1995" s="15" t="s">
        <v>28</v>
      </c>
      <c r="F1995" s="15" t="s">
        <v>15</v>
      </c>
      <c r="G1995" s="15" t="s">
        <v>16</v>
      </c>
      <c r="H1995" s="15" t="s">
        <v>32</v>
      </c>
      <c r="I1995" s="15" t="s">
        <v>34</v>
      </c>
      <c r="J1995" s="15" t="s">
        <v>246</v>
      </c>
      <c r="K1995" s="15">
        <v>41</v>
      </c>
      <c r="L1995" s="16">
        <v>80</v>
      </c>
      <c r="M1995" s="17">
        <v>3280</v>
      </c>
      <c r="N1995" s="15" t="s">
        <v>367</v>
      </c>
      <c r="O1995" s="15" t="s">
        <v>19</v>
      </c>
      <c r="Q1995"/>
    </row>
    <row r="1996" spans="1:17" ht="15.6" x14ac:dyDescent="0.3">
      <c r="A1996" s="11">
        <v>10329</v>
      </c>
      <c r="B1996" s="10">
        <v>38306</v>
      </c>
      <c r="C1996" s="10" t="s">
        <v>282</v>
      </c>
      <c r="D1996" s="11" t="s">
        <v>67</v>
      </c>
      <c r="E1996" s="11" t="s">
        <v>28</v>
      </c>
      <c r="F1996" s="11" t="s">
        <v>15</v>
      </c>
      <c r="G1996" s="11" t="s">
        <v>16</v>
      </c>
      <c r="H1996" s="11" t="s">
        <v>68</v>
      </c>
      <c r="I1996" s="11" t="s">
        <v>76</v>
      </c>
      <c r="J1996" s="11" t="s">
        <v>269</v>
      </c>
      <c r="K1996" s="11">
        <v>24</v>
      </c>
      <c r="L1996" s="12">
        <v>30</v>
      </c>
      <c r="M1996" s="13">
        <v>720</v>
      </c>
      <c r="N1996" s="11" t="s">
        <v>367</v>
      </c>
      <c r="O1996" s="11" t="s">
        <v>19</v>
      </c>
      <c r="Q1996"/>
    </row>
    <row r="1997" spans="1:17" ht="15.6" x14ac:dyDescent="0.3">
      <c r="A1997" s="15">
        <v>10329</v>
      </c>
      <c r="B1997" s="14">
        <v>38306</v>
      </c>
      <c r="C1997" s="14" t="s">
        <v>282</v>
      </c>
      <c r="D1997" s="15" t="s">
        <v>67</v>
      </c>
      <c r="E1997" s="15" t="s">
        <v>28</v>
      </c>
      <c r="F1997" s="15" t="s">
        <v>15</v>
      </c>
      <c r="G1997" s="15" t="s">
        <v>16</v>
      </c>
      <c r="H1997" s="15" t="s">
        <v>32</v>
      </c>
      <c r="I1997" s="15" t="s">
        <v>33</v>
      </c>
      <c r="J1997" s="15" t="s">
        <v>245</v>
      </c>
      <c r="K1997" s="15">
        <v>46</v>
      </c>
      <c r="L1997" s="16">
        <v>85</v>
      </c>
      <c r="M1997" s="17">
        <v>3910</v>
      </c>
      <c r="N1997" s="15" t="s">
        <v>367</v>
      </c>
      <c r="O1997" s="15" t="s">
        <v>19</v>
      </c>
      <c r="Q1997"/>
    </row>
    <row r="1998" spans="1:17" ht="15.6" x14ac:dyDescent="0.3">
      <c r="A1998" s="11">
        <v>10329</v>
      </c>
      <c r="B1998" s="10">
        <v>38306</v>
      </c>
      <c r="C1998" s="10" t="s">
        <v>282</v>
      </c>
      <c r="D1998" s="11" t="s">
        <v>67</v>
      </c>
      <c r="E1998" s="11" t="s">
        <v>28</v>
      </c>
      <c r="F1998" s="11" t="s">
        <v>15</v>
      </c>
      <c r="G1998" s="11" t="s">
        <v>16</v>
      </c>
      <c r="H1998" s="11" t="s">
        <v>32</v>
      </c>
      <c r="I1998" s="11" t="s">
        <v>44</v>
      </c>
      <c r="J1998" s="11" t="s">
        <v>252</v>
      </c>
      <c r="K1998" s="11">
        <v>33</v>
      </c>
      <c r="L1998" s="12">
        <v>55</v>
      </c>
      <c r="M1998" s="13">
        <v>1815</v>
      </c>
      <c r="N1998" s="11" t="s">
        <v>367</v>
      </c>
      <c r="O1998" s="11" t="s">
        <v>19</v>
      </c>
      <c r="Q1998"/>
    </row>
    <row r="1999" spans="1:17" ht="15.6" x14ac:dyDescent="0.3">
      <c r="A1999" s="15">
        <v>10329</v>
      </c>
      <c r="B1999" s="14">
        <v>38306</v>
      </c>
      <c r="C1999" s="14" t="s">
        <v>282</v>
      </c>
      <c r="D1999" s="15" t="s">
        <v>67</v>
      </c>
      <c r="E1999" s="15" t="s">
        <v>28</v>
      </c>
      <c r="F1999" s="15" t="s">
        <v>15</v>
      </c>
      <c r="G1999" s="15" t="s">
        <v>16</v>
      </c>
      <c r="H1999" s="15" t="s">
        <v>32</v>
      </c>
      <c r="I1999" s="15" t="s">
        <v>34</v>
      </c>
      <c r="J1999" s="15" t="s">
        <v>246</v>
      </c>
      <c r="K1999" s="15">
        <v>39</v>
      </c>
      <c r="L1999" s="16">
        <v>80</v>
      </c>
      <c r="M1999" s="17">
        <v>3120</v>
      </c>
      <c r="N1999" s="15" t="s">
        <v>367</v>
      </c>
      <c r="O1999" s="15" t="s">
        <v>19</v>
      </c>
      <c r="Q1999"/>
    </row>
    <row r="2000" spans="1:17" ht="15.6" x14ac:dyDescent="0.3">
      <c r="A2000" s="11">
        <v>10329</v>
      </c>
      <c r="B2000" s="10">
        <v>38306</v>
      </c>
      <c r="C2000" s="10" t="s">
        <v>282</v>
      </c>
      <c r="D2000" s="11" t="s">
        <v>67</v>
      </c>
      <c r="E2000" s="11" t="s">
        <v>28</v>
      </c>
      <c r="F2000" s="11" t="s">
        <v>15</v>
      </c>
      <c r="G2000" s="11" t="s">
        <v>16</v>
      </c>
      <c r="H2000" s="11" t="s">
        <v>32</v>
      </c>
      <c r="I2000" s="11" t="s">
        <v>45</v>
      </c>
      <c r="J2000" s="11" t="s">
        <v>253</v>
      </c>
      <c r="K2000" s="11">
        <v>29</v>
      </c>
      <c r="L2000" s="12">
        <v>35</v>
      </c>
      <c r="M2000" s="13">
        <v>1015</v>
      </c>
      <c r="N2000" s="11" t="s">
        <v>367</v>
      </c>
      <c r="O2000" s="11" t="s">
        <v>19</v>
      </c>
      <c r="Q2000"/>
    </row>
    <row r="2001" spans="1:17" ht="15.6" x14ac:dyDescent="0.3">
      <c r="A2001" s="15">
        <v>10329</v>
      </c>
      <c r="B2001" s="14">
        <v>38306</v>
      </c>
      <c r="C2001" s="14" t="s">
        <v>282</v>
      </c>
      <c r="D2001" s="15" t="s">
        <v>67</v>
      </c>
      <c r="E2001" s="15" t="s">
        <v>28</v>
      </c>
      <c r="F2001" s="15" t="s">
        <v>15</v>
      </c>
      <c r="G2001" s="15" t="s">
        <v>16</v>
      </c>
      <c r="H2001" s="15" t="s">
        <v>68</v>
      </c>
      <c r="I2001" s="15" t="s">
        <v>69</v>
      </c>
      <c r="J2001" s="15" t="s">
        <v>266</v>
      </c>
      <c r="K2001" s="15">
        <v>38</v>
      </c>
      <c r="L2001" s="16">
        <v>25</v>
      </c>
      <c r="M2001" s="17">
        <v>950</v>
      </c>
      <c r="N2001" s="15" t="s">
        <v>367</v>
      </c>
      <c r="O2001" s="15" t="s">
        <v>19</v>
      </c>
      <c r="Q2001"/>
    </row>
    <row r="2002" spans="1:17" ht="15.6" x14ac:dyDescent="0.3">
      <c r="A2002" s="11">
        <v>10329</v>
      </c>
      <c r="B2002" s="10">
        <v>38306</v>
      </c>
      <c r="C2002" s="10" t="s">
        <v>282</v>
      </c>
      <c r="D2002" s="11" t="s">
        <v>67</v>
      </c>
      <c r="E2002" s="11" t="s">
        <v>28</v>
      </c>
      <c r="F2002" s="11" t="s">
        <v>15</v>
      </c>
      <c r="G2002" s="11" t="s">
        <v>16</v>
      </c>
      <c r="H2002" s="11" t="s">
        <v>32</v>
      </c>
      <c r="I2002" s="11" t="s">
        <v>45</v>
      </c>
      <c r="J2002" s="11" t="s">
        <v>253</v>
      </c>
      <c r="K2002" s="11">
        <v>38</v>
      </c>
      <c r="L2002" s="12">
        <v>35</v>
      </c>
      <c r="M2002" s="13">
        <v>1330</v>
      </c>
      <c r="N2002" s="11" t="s">
        <v>367</v>
      </c>
      <c r="O2002" s="11" t="s">
        <v>19</v>
      </c>
      <c r="Q2002"/>
    </row>
    <row r="2003" spans="1:17" ht="15.6" x14ac:dyDescent="0.3">
      <c r="A2003" s="15">
        <v>10329</v>
      </c>
      <c r="B2003" s="14">
        <v>38306</v>
      </c>
      <c r="C2003" s="14" t="s">
        <v>282</v>
      </c>
      <c r="D2003" s="15" t="s">
        <v>67</v>
      </c>
      <c r="E2003" s="15" t="s">
        <v>28</v>
      </c>
      <c r="F2003" s="15" t="s">
        <v>15</v>
      </c>
      <c r="G2003" s="15" t="s">
        <v>16</v>
      </c>
      <c r="H2003" s="15" t="s">
        <v>68</v>
      </c>
      <c r="I2003" s="15" t="s">
        <v>76</v>
      </c>
      <c r="J2003" s="15" t="s">
        <v>269</v>
      </c>
      <c r="K2003" s="15">
        <v>30</v>
      </c>
      <c r="L2003" s="16">
        <v>30</v>
      </c>
      <c r="M2003" s="17">
        <v>900</v>
      </c>
      <c r="N2003" s="15" t="s">
        <v>367</v>
      </c>
      <c r="O2003" s="15" t="s">
        <v>19</v>
      </c>
      <c r="Q2003"/>
    </row>
    <row r="2004" spans="1:17" ht="15.6" x14ac:dyDescent="0.3">
      <c r="A2004" s="11">
        <v>10329</v>
      </c>
      <c r="B2004" s="10">
        <v>38306</v>
      </c>
      <c r="C2004" s="10" t="s">
        <v>282</v>
      </c>
      <c r="D2004" s="11" t="s">
        <v>67</v>
      </c>
      <c r="E2004" s="11" t="s">
        <v>28</v>
      </c>
      <c r="F2004" s="11" t="s">
        <v>15</v>
      </c>
      <c r="G2004" s="11" t="s">
        <v>16</v>
      </c>
      <c r="H2004" s="11" t="s">
        <v>68</v>
      </c>
      <c r="I2004" s="11" t="s">
        <v>76</v>
      </c>
      <c r="J2004" s="11" t="s">
        <v>269</v>
      </c>
      <c r="K2004" s="11">
        <v>37</v>
      </c>
      <c r="L2004" s="12">
        <v>30</v>
      </c>
      <c r="M2004" s="13">
        <v>1110</v>
      </c>
      <c r="N2004" s="11" t="s">
        <v>367</v>
      </c>
      <c r="O2004" s="11" t="s">
        <v>19</v>
      </c>
      <c r="Q2004"/>
    </row>
    <row r="2005" spans="1:17" ht="15.6" x14ac:dyDescent="0.3">
      <c r="A2005" s="15">
        <v>10329</v>
      </c>
      <c r="B2005" s="14">
        <v>38306</v>
      </c>
      <c r="C2005" s="14" t="s">
        <v>282</v>
      </c>
      <c r="D2005" s="15" t="s">
        <v>67</v>
      </c>
      <c r="E2005" s="15" t="s">
        <v>28</v>
      </c>
      <c r="F2005" s="15" t="s">
        <v>15</v>
      </c>
      <c r="G2005" s="15" t="s">
        <v>16</v>
      </c>
      <c r="H2005" s="15" t="s">
        <v>68</v>
      </c>
      <c r="I2005" s="15" t="s">
        <v>76</v>
      </c>
      <c r="J2005" s="15" t="s">
        <v>269</v>
      </c>
      <c r="K2005" s="15">
        <v>45</v>
      </c>
      <c r="L2005" s="16">
        <v>30</v>
      </c>
      <c r="M2005" s="17">
        <v>1350</v>
      </c>
      <c r="N2005" s="15" t="s">
        <v>367</v>
      </c>
      <c r="O2005" s="15" t="s">
        <v>19</v>
      </c>
      <c r="Q2005"/>
    </row>
    <row r="2006" spans="1:17" ht="15.6" x14ac:dyDescent="0.3">
      <c r="A2006" s="11">
        <v>10329</v>
      </c>
      <c r="B2006" s="10">
        <v>38306</v>
      </c>
      <c r="C2006" s="10" t="s">
        <v>282</v>
      </c>
      <c r="D2006" s="11" t="s">
        <v>67</v>
      </c>
      <c r="E2006" s="11" t="s">
        <v>28</v>
      </c>
      <c r="F2006" s="11" t="s">
        <v>15</v>
      </c>
      <c r="G2006" s="11" t="s">
        <v>16</v>
      </c>
      <c r="H2006" s="11" t="s">
        <v>61</v>
      </c>
      <c r="I2006" s="11" t="s">
        <v>62</v>
      </c>
      <c r="J2006" s="11" t="s">
        <v>261</v>
      </c>
      <c r="K2006" s="11">
        <v>44</v>
      </c>
      <c r="L2006" s="12">
        <v>15</v>
      </c>
      <c r="M2006" s="13">
        <v>660</v>
      </c>
      <c r="N2006" s="11" t="s">
        <v>367</v>
      </c>
      <c r="O2006" s="11" t="s">
        <v>19</v>
      </c>
      <c r="Q2006"/>
    </row>
    <row r="2007" spans="1:17" ht="15.6" x14ac:dyDescent="0.3">
      <c r="A2007" s="15">
        <v>10330</v>
      </c>
      <c r="B2007" s="14">
        <v>38307</v>
      </c>
      <c r="C2007" s="14" t="s">
        <v>283</v>
      </c>
      <c r="D2007" s="15" t="s">
        <v>71</v>
      </c>
      <c r="E2007" s="15" t="s">
        <v>72</v>
      </c>
      <c r="F2007" s="15" t="s">
        <v>73</v>
      </c>
      <c r="G2007" s="15" t="s">
        <v>74</v>
      </c>
      <c r="H2007" s="15" t="s">
        <v>32</v>
      </c>
      <c r="I2007" s="15" t="s">
        <v>34</v>
      </c>
      <c r="J2007" s="15" t="s">
        <v>246</v>
      </c>
      <c r="K2007" s="15">
        <v>37</v>
      </c>
      <c r="L2007" s="16">
        <v>80</v>
      </c>
      <c r="M2007" s="17">
        <v>2960</v>
      </c>
      <c r="N2007" s="15" t="s">
        <v>367</v>
      </c>
      <c r="O2007" s="15" t="s">
        <v>19</v>
      </c>
      <c r="Q2007"/>
    </row>
    <row r="2008" spans="1:17" ht="15.6" x14ac:dyDescent="0.3">
      <c r="A2008" s="11">
        <v>10330</v>
      </c>
      <c r="B2008" s="10">
        <v>38307</v>
      </c>
      <c r="C2008" s="10" t="s">
        <v>283</v>
      </c>
      <c r="D2008" s="11" t="s">
        <v>71</v>
      </c>
      <c r="E2008" s="11" t="s">
        <v>72</v>
      </c>
      <c r="F2008" s="11" t="s">
        <v>73</v>
      </c>
      <c r="G2008" s="11" t="s">
        <v>74</v>
      </c>
      <c r="H2008" s="11" t="s">
        <v>68</v>
      </c>
      <c r="I2008" s="11" t="s">
        <v>69</v>
      </c>
      <c r="J2008" s="11" t="s">
        <v>266</v>
      </c>
      <c r="K2008" s="11">
        <v>29</v>
      </c>
      <c r="L2008" s="12">
        <v>25</v>
      </c>
      <c r="M2008" s="13">
        <v>725</v>
      </c>
      <c r="N2008" s="11" t="s">
        <v>367</v>
      </c>
      <c r="O2008" s="11" t="s">
        <v>19</v>
      </c>
      <c r="Q2008"/>
    </row>
    <row r="2009" spans="1:17" ht="15.6" x14ac:dyDescent="0.3">
      <c r="A2009" s="15">
        <v>10330</v>
      </c>
      <c r="B2009" s="14">
        <v>38307</v>
      </c>
      <c r="C2009" s="14" t="s">
        <v>283</v>
      </c>
      <c r="D2009" s="15" t="s">
        <v>71</v>
      </c>
      <c r="E2009" s="15" t="s">
        <v>72</v>
      </c>
      <c r="F2009" s="15" t="s">
        <v>73</v>
      </c>
      <c r="G2009" s="15" t="s">
        <v>74</v>
      </c>
      <c r="H2009" s="15" t="s">
        <v>32</v>
      </c>
      <c r="I2009" s="15" t="s">
        <v>34</v>
      </c>
      <c r="J2009" s="15" t="s">
        <v>246</v>
      </c>
      <c r="K2009" s="15">
        <v>50</v>
      </c>
      <c r="L2009" s="16">
        <v>80</v>
      </c>
      <c r="M2009" s="17">
        <v>4000</v>
      </c>
      <c r="N2009" s="15" t="s">
        <v>368</v>
      </c>
      <c r="O2009" s="15" t="s">
        <v>19</v>
      </c>
      <c r="Q2009"/>
    </row>
    <row r="2010" spans="1:17" ht="15.6" x14ac:dyDescent="0.3">
      <c r="A2010" s="11">
        <v>10330</v>
      </c>
      <c r="B2010" s="10">
        <v>38307</v>
      </c>
      <c r="C2010" s="10" t="s">
        <v>283</v>
      </c>
      <c r="D2010" s="11" t="s">
        <v>71</v>
      </c>
      <c r="E2010" s="11" t="s">
        <v>72</v>
      </c>
      <c r="F2010" s="11" t="s">
        <v>73</v>
      </c>
      <c r="G2010" s="11" t="s">
        <v>74</v>
      </c>
      <c r="H2010" s="11" t="s">
        <v>68</v>
      </c>
      <c r="I2010" s="11" t="s">
        <v>70</v>
      </c>
      <c r="J2010" s="11" t="s">
        <v>267</v>
      </c>
      <c r="K2010" s="11">
        <v>42</v>
      </c>
      <c r="L2010" s="12">
        <v>50</v>
      </c>
      <c r="M2010" s="13">
        <v>2100</v>
      </c>
      <c r="N2010" s="11" t="s">
        <v>367</v>
      </c>
      <c r="O2010" s="11" t="s">
        <v>19</v>
      </c>
      <c r="Q2010"/>
    </row>
    <row r="2011" spans="1:17" ht="15.6" x14ac:dyDescent="0.3">
      <c r="A2011" s="15">
        <v>10331</v>
      </c>
      <c r="B2011" s="14">
        <v>38308</v>
      </c>
      <c r="C2011" s="14" t="s">
        <v>284</v>
      </c>
      <c r="D2011" s="15" t="s">
        <v>77</v>
      </c>
      <c r="E2011" s="15" t="s">
        <v>78</v>
      </c>
      <c r="F2011" s="15" t="s">
        <v>15</v>
      </c>
      <c r="G2011" s="15" t="s">
        <v>16</v>
      </c>
      <c r="H2011" s="15" t="s">
        <v>32</v>
      </c>
      <c r="I2011" s="15" t="s">
        <v>46</v>
      </c>
      <c r="J2011" s="15" t="s">
        <v>254</v>
      </c>
      <c r="K2011" s="15">
        <v>46</v>
      </c>
      <c r="L2011" s="16">
        <v>90</v>
      </c>
      <c r="M2011" s="17">
        <v>4140</v>
      </c>
      <c r="N2011" s="15" t="s">
        <v>367</v>
      </c>
      <c r="O2011" s="15" t="s">
        <v>19</v>
      </c>
      <c r="Q2011"/>
    </row>
    <row r="2012" spans="1:17" ht="15.6" x14ac:dyDescent="0.3">
      <c r="A2012" s="11">
        <v>10332</v>
      </c>
      <c r="B2012" s="10">
        <v>38308</v>
      </c>
      <c r="C2012" s="10" t="s">
        <v>285</v>
      </c>
      <c r="D2012" s="11" t="s">
        <v>79</v>
      </c>
      <c r="E2012" s="11" t="s">
        <v>80</v>
      </c>
      <c r="F2012" s="11" t="s">
        <v>81</v>
      </c>
      <c r="G2012" s="11" t="s">
        <v>25</v>
      </c>
      <c r="H2012" s="11" t="s">
        <v>17</v>
      </c>
      <c r="I2012" s="11" t="s">
        <v>20</v>
      </c>
      <c r="J2012" s="11" t="s">
        <v>242</v>
      </c>
      <c r="K2012" s="11">
        <v>46</v>
      </c>
      <c r="L2012" s="12">
        <v>48</v>
      </c>
      <c r="M2012" s="13">
        <v>2208</v>
      </c>
      <c r="N2012" s="11" t="s">
        <v>367</v>
      </c>
      <c r="O2012" s="11" t="s">
        <v>19</v>
      </c>
      <c r="Q2012"/>
    </row>
    <row r="2013" spans="1:17" ht="15.6" x14ac:dyDescent="0.3">
      <c r="A2013" s="15">
        <v>10332</v>
      </c>
      <c r="B2013" s="14">
        <v>38308</v>
      </c>
      <c r="C2013" s="14" t="s">
        <v>285</v>
      </c>
      <c r="D2013" s="15" t="s">
        <v>79</v>
      </c>
      <c r="E2013" s="15" t="s">
        <v>80</v>
      </c>
      <c r="F2013" s="15" t="s">
        <v>81</v>
      </c>
      <c r="G2013" s="15" t="s">
        <v>25</v>
      </c>
      <c r="H2013" s="15" t="s">
        <v>17</v>
      </c>
      <c r="I2013" s="15" t="s">
        <v>21</v>
      </c>
      <c r="J2013" s="15" t="s">
        <v>243</v>
      </c>
      <c r="K2013" s="15">
        <v>27</v>
      </c>
      <c r="L2013" s="16">
        <v>110</v>
      </c>
      <c r="M2013" s="17">
        <v>2970</v>
      </c>
      <c r="N2013" s="15" t="s">
        <v>367</v>
      </c>
      <c r="O2013" s="15" t="s">
        <v>19</v>
      </c>
      <c r="Q2013"/>
    </row>
    <row r="2014" spans="1:17" ht="15.6" x14ac:dyDescent="0.3">
      <c r="A2014" s="11">
        <v>10331</v>
      </c>
      <c r="B2014" s="10">
        <v>38308</v>
      </c>
      <c r="C2014" s="10" t="s">
        <v>284</v>
      </c>
      <c r="D2014" s="11" t="s">
        <v>77</v>
      </c>
      <c r="E2014" s="11" t="s">
        <v>78</v>
      </c>
      <c r="F2014" s="11" t="s">
        <v>15</v>
      </c>
      <c r="G2014" s="11" t="s">
        <v>16</v>
      </c>
      <c r="H2014" s="11" t="s">
        <v>32</v>
      </c>
      <c r="I2014" s="11" t="s">
        <v>46</v>
      </c>
      <c r="J2014" s="11" t="s">
        <v>254</v>
      </c>
      <c r="K2014" s="11">
        <v>44</v>
      </c>
      <c r="L2014" s="12">
        <v>90</v>
      </c>
      <c r="M2014" s="13">
        <v>3960</v>
      </c>
      <c r="N2014" s="11" t="s">
        <v>367</v>
      </c>
      <c r="O2014" s="11" t="s">
        <v>19</v>
      </c>
      <c r="Q2014"/>
    </row>
    <row r="2015" spans="1:17" ht="15.6" x14ac:dyDescent="0.3">
      <c r="A2015" s="15">
        <v>10331</v>
      </c>
      <c r="B2015" s="14">
        <v>38308</v>
      </c>
      <c r="C2015" s="14" t="s">
        <v>284</v>
      </c>
      <c r="D2015" s="15" t="s">
        <v>77</v>
      </c>
      <c r="E2015" s="15" t="s">
        <v>78</v>
      </c>
      <c r="F2015" s="15" t="s">
        <v>15</v>
      </c>
      <c r="G2015" s="15" t="s">
        <v>16</v>
      </c>
      <c r="H2015" s="15" t="s">
        <v>17</v>
      </c>
      <c r="I2015" s="15" t="s">
        <v>20</v>
      </c>
      <c r="J2015" s="15" t="s">
        <v>242</v>
      </c>
      <c r="K2015" s="15">
        <v>44</v>
      </c>
      <c r="L2015" s="16">
        <v>48</v>
      </c>
      <c r="M2015" s="17">
        <v>2112</v>
      </c>
      <c r="N2015" s="15" t="s">
        <v>367</v>
      </c>
      <c r="O2015" s="15" t="s">
        <v>19</v>
      </c>
      <c r="Q2015"/>
    </row>
    <row r="2016" spans="1:17" ht="15.6" x14ac:dyDescent="0.3">
      <c r="A2016" s="11">
        <v>10331</v>
      </c>
      <c r="B2016" s="10">
        <v>38308</v>
      </c>
      <c r="C2016" s="10" t="s">
        <v>284</v>
      </c>
      <c r="D2016" s="11" t="s">
        <v>77</v>
      </c>
      <c r="E2016" s="11" t="s">
        <v>78</v>
      </c>
      <c r="F2016" s="11" t="s">
        <v>15</v>
      </c>
      <c r="G2016" s="11" t="s">
        <v>16</v>
      </c>
      <c r="H2016" s="11" t="s">
        <v>32</v>
      </c>
      <c r="I2016" s="11" t="s">
        <v>44</v>
      </c>
      <c r="J2016" s="11" t="s">
        <v>252</v>
      </c>
      <c r="K2016" s="11">
        <v>30</v>
      </c>
      <c r="L2016" s="12">
        <v>55</v>
      </c>
      <c r="M2016" s="13">
        <v>1650</v>
      </c>
      <c r="N2016" s="11" t="s">
        <v>367</v>
      </c>
      <c r="O2016" s="11" t="s">
        <v>19</v>
      </c>
      <c r="Q2016"/>
    </row>
    <row r="2017" spans="1:17" ht="15.6" x14ac:dyDescent="0.3">
      <c r="A2017" s="15">
        <v>10332</v>
      </c>
      <c r="B2017" s="14">
        <v>38308</v>
      </c>
      <c r="C2017" s="14" t="s">
        <v>285</v>
      </c>
      <c r="D2017" s="15" t="s">
        <v>79</v>
      </c>
      <c r="E2017" s="15" t="s">
        <v>80</v>
      </c>
      <c r="F2017" s="15" t="s">
        <v>81</v>
      </c>
      <c r="G2017" s="15" t="s">
        <v>25</v>
      </c>
      <c r="H2017" s="15" t="s">
        <v>17</v>
      </c>
      <c r="I2017" s="15" t="s">
        <v>20</v>
      </c>
      <c r="J2017" s="15" t="s">
        <v>242</v>
      </c>
      <c r="K2017" s="15">
        <v>38</v>
      </c>
      <c r="L2017" s="16">
        <v>48</v>
      </c>
      <c r="M2017" s="17">
        <v>1824</v>
      </c>
      <c r="N2017" s="15" t="s">
        <v>367</v>
      </c>
      <c r="O2017" s="15" t="s">
        <v>19</v>
      </c>
      <c r="Q2017"/>
    </row>
    <row r="2018" spans="1:17" ht="15.6" x14ac:dyDescent="0.3">
      <c r="A2018" s="11">
        <v>10332</v>
      </c>
      <c r="B2018" s="10">
        <v>38308</v>
      </c>
      <c r="C2018" s="10" t="s">
        <v>285</v>
      </c>
      <c r="D2018" s="11" t="s">
        <v>79</v>
      </c>
      <c r="E2018" s="11" t="s">
        <v>80</v>
      </c>
      <c r="F2018" s="11" t="s">
        <v>81</v>
      </c>
      <c r="G2018" s="11" t="s">
        <v>25</v>
      </c>
      <c r="H2018" s="11" t="s">
        <v>17</v>
      </c>
      <c r="I2018" s="11" t="s">
        <v>20</v>
      </c>
      <c r="J2018" s="11" t="s">
        <v>242</v>
      </c>
      <c r="K2018" s="11">
        <v>35</v>
      </c>
      <c r="L2018" s="12">
        <v>48</v>
      </c>
      <c r="M2018" s="13">
        <v>1680</v>
      </c>
      <c r="N2018" s="11" t="s">
        <v>367</v>
      </c>
      <c r="O2018" s="11" t="s">
        <v>19</v>
      </c>
      <c r="Q2018"/>
    </row>
    <row r="2019" spans="1:17" ht="15.6" x14ac:dyDescent="0.3">
      <c r="A2019" s="15">
        <v>10332</v>
      </c>
      <c r="B2019" s="14">
        <v>38308</v>
      </c>
      <c r="C2019" s="14" t="s">
        <v>285</v>
      </c>
      <c r="D2019" s="15" t="s">
        <v>79</v>
      </c>
      <c r="E2019" s="15" t="s">
        <v>80</v>
      </c>
      <c r="F2019" s="15" t="s">
        <v>81</v>
      </c>
      <c r="G2019" s="15" t="s">
        <v>25</v>
      </c>
      <c r="H2019" s="15" t="s">
        <v>17</v>
      </c>
      <c r="I2019" s="15" t="s">
        <v>20</v>
      </c>
      <c r="J2019" s="15" t="s">
        <v>242</v>
      </c>
      <c r="K2019" s="15">
        <v>24</v>
      </c>
      <c r="L2019" s="16">
        <v>48</v>
      </c>
      <c r="M2019" s="17">
        <v>1152</v>
      </c>
      <c r="N2019" s="15" t="s">
        <v>367</v>
      </c>
      <c r="O2019" s="15" t="s">
        <v>19</v>
      </c>
      <c r="Q2019"/>
    </row>
    <row r="2020" spans="1:17" ht="15.6" x14ac:dyDescent="0.3">
      <c r="A2020" s="11">
        <v>10331</v>
      </c>
      <c r="B2020" s="10">
        <v>38308</v>
      </c>
      <c r="C2020" s="10" t="s">
        <v>284</v>
      </c>
      <c r="D2020" s="11" t="s">
        <v>77</v>
      </c>
      <c r="E2020" s="11" t="s">
        <v>78</v>
      </c>
      <c r="F2020" s="11" t="s">
        <v>15</v>
      </c>
      <c r="G2020" s="11" t="s">
        <v>16</v>
      </c>
      <c r="H2020" s="11" t="s">
        <v>32</v>
      </c>
      <c r="I2020" s="11" t="s">
        <v>33</v>
      </c>
      <c r="J2020" s="11" t="s">
        <v>245</v>
      </c>
      <c r="K2020" s="11">
        <v>26</v>
      </c>
      <c r="L2020" s="12">
        <v>85</v>
      </c>
      <c r="M2020" s="13">
        <v>2210</v>
      </c>
      <c r="N2020" s="11" t="s">
        <v>367</v>
      </c>
      <c r="O2020" s="11" t="s">
        <v>19</v>
      </c>
      <c r="Q2020"/>
    </row>
    <row r="2021" spans="1:17" ht="15.6" x14ac:dyDescent="0.3">
      <c r="A2021" s="15">
        <v>10332</v>
      </c>
      <c r="B2021" s="14">
        <v>38308</v>
      </c>
      <c r="C2021" s="14" t="s">
        <v>285</v>
      </c>
      <c r="D2021" s="15" t="s">
        <v>79</v>
      </c>
      <c r="E2021" s="15" t="s">
        <v>80</v>
      </c>
      <c r="F2021" s="15" t="s">
        <v>81</v>
      </c>
      <c r="G2021" s="15" t="s">
        <v>25</v>
      </c>
      <c r="H2021" s="15" t="s">
        <v>17</v>
      </c>
      <c r="I2021" s="15" t="s">
        <v>82</v>
      </c>
      <c r="J2021" s="15" t="s">
        <v>270</v>
      </c>
      <c r="K2021" s="15">
        <v>26</v>
      </c>
      <c r="L2021" s="16">
        <v>75</v>
      </c>
      <c r="M2021" s="17">
        <v>1950</v>
      </c>
      <c r="N2021" s="15" t="s">
        <v>367</v>
      </c>
      <c r="O2021" s="15" t="s">
        <v>19</v>
      </c>
      <c r="Q2021"/>
    </row>
    <row r="2022" spans="1:17" ht="15.6" x14ac:dyDescent="0.3">
      <c r="A2022" s="11">
        <v>10332</v>
      </c>
      <c r="B2022" s="10">
        <v>38308</v>
      </c>
      <c r="C2022" s="10" t="s">
        <v>285</v>
      </c>
      <c r="D2022" s="11" t="s">
        <v>79</v>
      </c>
      <c r="E2022" s="11" t="s">
        <v>80</v>
      </c>
      <c r="F2022" s="11" t="s">
        <v>81</v>
      </c>
      <c r="G2022" s="11" t="s">
        <v>25</v>
      </c>
      <c r="H2022" s="11" t="s">
        <v>17</v>
      </c>
      <c r="I2022" s="11" t="s">
        <v>52</v>
      </c>
      <c r="J2022" s="11" t="s">
        <v>256</v>
      </c>
      <c r="K2022" s="11">
        <v>40</v>
      </c>
      <c r="L2022" s="12">
        <v>45</v>
      </c>
      <c r="M2022" s="13">
        <v>1800</v>
      </c>
      <c r="N2022" s="11" t="s">
        <v>367</v>
      </c>
      <c r="O2022" s="11" t="s">
        <v>19</v>
      </c>
      <c r="Q2022"/>
    </row>
    <row r="2023" spans="1:17" ht="15.6" x14ac:dyDescent="0.3">
      <c r="A2023" s="15">
        <v>10331</v>
      </c>
      <c r="B2023" s="14">
        <v>38308</v>
      </c>
      <c r="C2023" s="14" t="s">
        <v>284</v>
      </c>
      <c r="D2023" s="15" t="s">
        <v>77</v>
      </c>
      <c r="E2023" s="15" t="s">
        <v>78</v>
      </c>
      <c r="F2023" s="15" t="s">
        <v>15</v>
      </c>
      <c r="G2023" s="15" t="s">
        <v>16</v>
      </c>
      <c r="H2023" s="15" t="s">
        <v>32</v>
      </c>
      <c r="I2023" s="15" t="s">
        <v>44</v>
      </c>
      <c r="J2023" s="15" t="s">
        <v>252</v>
      </c>
      <c r="K2023" s="15">
        <v>27</v>
      </c>
      <c r="L2023" s="16">
        <v>55</v>
      </c>
      <c r="M2023" s="17">
        <v>1485</v>
      </c>
      <c r="N2023" s="15" t="s">
        <v>367</v>
      </c>
      <c r="O2023" s="15" t="s">
        <v>19</v>
      </c>
      <c r="Q2023"/>
    </row>
    <row r="2024" spans="1:17" ht="15.6" x14ac:dyDescent="0.3">
      <c r="A2024" s="11">
        <v>10331</v>
      </c>
      <c r="B2024" s="10">
        <v>38308</v>
      </c>
      <c r="C2024" s="10" t="s">
        <v>284</v>
      </c>
      <c r="D2024" s="11" t="s">
        <v>77</v>
      </c>
      <c r="E2024" s="11" t="s">
        <v>78</v>
      </c>
      <c r="F2024" s="11" t="s">
        <v>15</v>
      </c>
      <c r="G2024" s="11" t="s">
        <v>16</v>
      </c>
      <c r="H2024" s="11" t="s">
        <v>32</v>
      </c>
      <c r="I2024" s="11" t="s">
        <v>46</v>
      </c>
      <c r="J2024" s="11" t="s">
        <v>254</v>
      </c>
      <c r="K2024" s="11">
        <v>26</v>
      </c>
      <c r="L2024" s="12">
        <v>90</v>
      </c>
      <c r="M2024" s="13">
        <v>2340</v>
      </c>
      <c r="N2024" s="11" t="s">
        <v>367</v>
      </c>
      <c r="O2024" s="11" t="s">
        <v>19</v>
      </c>
      <c r="Q2024"/>
    </row>
    <row r="2025" spans="1:17" ht="15.6" x14ac:dyDescent="0.3">
      <c r="A2025" s="15">
        <v>10332</v>
      </c>
      <c r="B2025" s="14">
        <v>38308</v>
      </c>
      <c r="C2025" s="14" t="s">
        <v>285</v>
      </c>
      <c r="D2025" s="15" t="s">
        <v>79</v>
      </c>
      <c r="E2025" s="15" t="s">
        <v>80</v>
      </c>
      <c r="F2025" s="15" t="s">
        <v>81</v>
      </c>
      <c r="G2025" s="15" t="s">
        <v>25</v>
      </c>
      <c r="H2025" s="15" t="s">
        <v>17</v>
      </c>
      <c r="I2025" s="15" t="s">
        <v>20</v>
      </c>
      <c r="J2025" s="15" t="s">
        <v>242</v>
      </c>
      <c r="K2025" s="15">
        <v>50</v>
      </c>
      <c r="L2025" s="16">
        <v>48</v>
      </c>
      <c r="M2025" s="17">
        <v>2400</v>
      </c>
      <c r="N2025" s="15" t="s">
        <v>368</v>
      </c>
      <c r="O2025" s="15" t="s">
        <v>19</v>
      </c>
      <c r="Q2025"/>
    </row>
    <row r="2026" spans="1:17" ht="15.6" x14ac:dyDescent="0.3">
      <c r="A2026" s="11">
        <v>10332</v>
      </c>
      <c r="B2026" s="10">
        <v>38308</v>
      </c>
      <c r="C2026" s="10" t="s">
        <v>285</v>
      </c>
      <c r="D2026" s="11" t="s">
        <v>79</v>
      </c>
      <c r="E2026" s="11" t="s">
        <v>80</v>
      </c>
      <c r="F2026" s="11" t="s">
        <v>81</v>
      </c>
      <c r="G2026" s="11" t="s">
        <v>25</v>
      </c>
      <c r="H2026" s="11" t="s">
        <v>32</v>
      </c>
      <c r="I2026" s="11" t="s">
        <v>46</v>
      </c>
      <c r="J2026" s="11" t="s">
        <v>254</v>
      </c>
      <c r="K2026" s="11">
        <v>21</v>
      </c>
      <c r="L2026" s="12">
        <v>90</v>
      </c>
      <c r="M2026" s="13">
        <v>1890</v>
      </c>
      <c r="N2026" s="11" t="s">
        <v>367</v>
      </c>
      <c r="O2026" s="11" t="s">
        <v>19</v>
      </c>
      <c r="Q2026"/>
    </row>
    <row r="2027" spans="1:17" ht="15.6" x14ac:dyDescent="0.3">
      <c r="A2027" s="15">
        <v>10332</v>
      </c>
      <c r="B2027" s="14">
        <v>38308</v>
      </c>
      <c r="C2027" s="14" t="s">
        <v>285</v>
      </c>
      <c r="D2027" s="15" t="s">
        <v>79</v>
      </c>
      <c r="E2027" s="15" t="s">
        <v>80</v>
      </c>
      <c r="F2027" s="15" t="s">
        <v>81</v>
      </c>
      <c r="G2027" s="15" t="s">
        <v>25</v>
      </c>
      <c r="H2027" s="15" t="s">
        <v>32</v>
      </c>
      <c r="I2027" s="15" t="s">
        <v>34</v>
      </c>
      <c r="J2027" s="15" t="s">
        <v>246</v>
      </c>
      <c r="K2027" s="15">
        <v>23</v>
      </c>
      <c r="L2027" s="16">
        <v>80</v>
      </c>
      <c r="M2027" s="17">
        <v>1840</v>
      </c>
      <c r="N2027" s="15" t="s">
        <v>367</v>
      </c>
      <c r="O2027" s="15" t="s">
        <v>19</v>
      </c>
      <c r="Q2027"/>
    </row>
    <row r="2028" spans="1:17" ht="15.6" x14ac:dyDescent="0.3">
      <c r="A2028" s="11">
        <v>10332</v>
      </c>
      <c r="B2028" s="10">
        <v>38308</v>
      </c>
      <c r="C2028" s="10" t="s">
        <v>285</v>
      </c>
      <c r="D2028" s="11" t="s">
        <v>79</v>
      </c>
      <c r="E2028" s="11" t="s">
        <v>80</v>
      </c>
      <c r="F2028" s="11" t="s">
        <v>81</v>
      </c>
      <c r="G2028" s="11" t="s">
        <v>25</v>
      </c>
      <c r="H2028" s="11" t="s">
        <v>32</v>
      </c>
      <c r="I2028" s="11" t="s">
        <v>34</v>
      </c>
      <c r="J2028" s="11" t="s">
        <v>246</v>
      </c>
      <c r="K2028" s="11">
        <v>20</v>
      </c>
      <c r="L2028" s="12">
        <v>80</v>
      </c>
      <c r="M2028" s="13">
        <v>1600</v>
      </c>
      <c r="N2028" s="11" t="s">
        <v>367</v>
      </c>
      <c r="O2028" s="11" t="s">
        <v>19</v>
      </c>
      <c r="Q2028"/>
    </row>
    <row r="2029" spans="1:17" ht="15.6" x14ac:dyDescent="0.3">
      <c r="A2029" s="15">
        <v>10332</v>
      </c>
      <c r="B2029" s="14">
        <v>38308</v>
      </c>
      <c r="C2029" s="14" t="s">
        <v>285</v>
      </c>
      <c r="D2029" s="15" t="s">
        <v>79</v>
      </c>
      <c r="E2029" s="15" t="s">
        <v>80</v>
      </c>
      <c r="F2029" s="15" t="s">
        <v>81</v>
      </c>
      <c r="G2029" s="15" t="s">
        <v>25</v>
      </c>
      <c r="H2029" s="15" t="s">
        <v>17</v>
      </c>
      <c r="I2029" s="15" t="s">
        <v>20</v>
      </c>
      <c r="J2029" s="15" t="s">
        <v>242</v>
      </c>
      <c r="K2029" s="15">
        <v>45</v>
      </c>
      <c r="L2029" s="16">
        <v>48</v>
      </c>
      <c r="M2029" s="17">
        <v>2160</v>
      </c>
      <c r="N2029" s="15" t="s">
        <v>367</v>
      </c>
      <c r="O2029" s="15" t="s">
        <v>19</v>
      </c>
      <c r="Q2029"/>
    </row>
    <row r="2030" spans="1:17" ht="15.6" x14ac:dyDescent="0.3">
      <c r="A2030" s="11">
        <v>10332</v>
      </c>
      <c r="B2030" s="10">
        <v>38308</v>
      </c>
      <c r="C2030" s="10" t="s">
        <v>285</v>
      </c>
      <c r="D2030" s="11" t="s">
        <v>79</v>
      </c>
      <c r="E2030" s="11" t="s">
        <v>80</v>
      </c>
      <c r="F2030" s="11" t="s">
        <v>81</v>
      </c>
      <c r="G2030" s="11" t="s">
        <v>25</v>
      </c>
      <c r="H2030" s="11" t="s">
        <v>17</v>
      </c>
      <c r="I2030" s="11" t="s">
        <v>20</v>
      </c>
      <c r="J2030" s="11" t="s">
        <v>242</v>
      </c>
      <c r="K2030" s="11">
        <v>26</v>
      </c>
      <c r="L2030" s="12">
        <v>48</v>
      </c>
      <c r="M2030" s="13">
        <v>1248</v>
      </c>
      <c r="N2030" s="11" t="s">
        <v>367</v>
      </c>
      <c r="O2030" s="11" t="s">
        <v>19</v>
      </c>
      <c r="Q2030"/>
    </row>
    <row r="2031" spans="1:17" ht="15.6" x14ac:dyDescent="0.3">
      <c r="A2031" s="15">
        <v>10332</v>
      </c>
      <c r="B2031" s="14">
        <v>38308</v>
      </c>
      <c r="C2031" s="14" t="s">
        <v>285</v>
      </c>
      <c r="D2031" s="15" t="s">
        <v>79</v>
      </c>
      <c r="E2031" s="15" t="s">
        <v>80</v>
      </c>
      <c r="F2031" s="15" t="s">
        <v>81</v>
      </c>
      <c r="G2031" s="15" t="s">
        <v>25</v>
      </c>
      <c r="H2031" s="15" t="s">
        <v>32</v>
      </c>
      <c r="I2031" s="15" t="s">
        <v>33</v>
      </c>
      <c r="J2031" s="15" t="s">
        <v>245</v>
      </c>
      <c r="K2031" s="15">
        <v>39</v>
      </c>
      <c r="L2031" s="16">
        <v>85</v>
      </c>
      <c r="M2031" s="17">
        <v>3315</v>
      </c>
      <c r="N2031" s="15" t="s">
        <v>367</v>
      </c>
      <c r="O2031" s="15" t="s">
        <v>19</v>
      </c>
      <c r="Q2031"/>
    </row>
    <row r="2032" spans="1:17" ht="15.6" x14ac:dyDescent="0.3">
      <c r="A2032" s="11">
        <v>10332</v>
      </c>
      <c r="B2032" s="10">
        <v>38308</v>
      </c>
      <c r="C2032" s="10" t="s">
        <v>285</v>
      </c>
      <c r="D2032" s="11" t="s">
        <v>79</v>
      </c>
      <c r="E2032" s="11" t="s">
        <v>80</v>
      </c>
      <c r="F2032" s="11" t="s">
        <v>81</v>
      </c>
      <c r="G2032" s="11" t="s">
        <v>25</v>
      </c>
      <c r="H2032" s="11" t="s">
        <v>32</v>
      </c>
      <c r="I2032" s="11" t="s">
        <v>44</v>
      </c>
      <c r="J2032" s="11" t="s">
        <v>252</v>
      </c>
      <c r="K2032" s="11">
        <v>44</v>
      </c>
      <c r="L2032" s="12">
        <v>55</v>
      </c>
      <c r="M2032" s="13">
        <v>2420</v>
      </c>
      <c r="N2032" s="11" t="s">
        <v>367</v>
      </c>
      <c r="O2032" s="11" t="s">
        <v>19</v>
      </c>
      <c r="Q2032"/>
    </row>
    <row r="2033" spans="1:17" ht="15.6" x14ac:dyDescent="0.3">
      <c r="A2033" s="15">
        <v>10331</v>
      </c>
      <c r="B2033" s="14">
        <v>38308</v>
      </c>
      <c r="C2033" s="14" t="s">
        <v>284</v>
      </c>
      <c r="D2033" s="15" t="s">
        <v>77</v>
      </c>
      <c r="E2033" s="15" t="s">
        <v>78</v>
      </c>
      <c r="F2033" s="15" t="s">
        <v>15</v>
      </c>
      <c r="G2033" s="15" t="s">
        <v>16</v>
      </c>
      <c r="H2033" s="15" t="s">
        <v>32</v>
      </c>
      <c r="I2033" s="15" t="s">
        <v>34</v>
      </c>
      <c r="J2033" s="15" t="s">
        <v>246</v>
      </c>
      <c r="K2033" s="15">
        <v>27</v>
      </c>
      <c r="L2033" s="16">
        <v>80</v>
      </c>
      <c r="M2033" s="17">
        <v>2160</v>
      </c>
      <c r="N2033" s="15" t="s">
        <v>367</v>
      </c>
      <c r="O2033" s="15" t="s">
        <v>19</v>
      </c>
      <c r="Q2033"/>
    </row>
    <row r="2034" spans="1:17" ht="15.6" x14ac:dyDescent="0.3">
      <c r="A2034" s="11">
        <v>10332</v>
      </c>
      <c r="B2034" s="10">
        <v>38308</v>
      </c>
      <c r="C2034" s="10" t="s">
        <v>285</v>
      </c>
      <c r="D2034" s="11" t="s">
        <v>79</v>
      </c>
      <c r="E2034" s="11" t="s">
        <v>80</v>
      </c>
      <c r="F2034" s="11" t="s">
        <v>81</v>
      </c>
      <c r="G2034" s="11" t="s">
        <v>25</v>
      </c>
      <c r="H2034" s="11" t="s">
        <v>32</v>
      </c>
      <c r="I2034" s="11" t="s">
        <v>44</v>
      </c>
      <c r="J2034" s="11" t="s">
        <v>252</v>
      </c>
      <c r="K2034" s="11">
        <v>45</v>
      </c>
      <c r="L2034" s="12">
        <v>55</v>
      </c>
      <c r="M2034" s="13">
        <v>2475</v>
      </c>
      <c r="N2034" s="11" t="s">
        <v>367</v>
      </c>
      <c r="O2034" s="11" t="s">
        <v>19</v>
      </c>
      <c r="Q2034"/>
    </row>
    <row r="2035" spans="1:17" ht="15.6" x14ac:dyDescent="0.3">
      <c r="A2035" s="15">
        <v>10331</v>
      </c>
      <c r="B2035" s="14">
        <v>38308</v>
      </c>
      <c r="C2035" s="14" t="s">
        <v>284</v>
      </c>
      <c r="D2035" s="15" t="s">
        <v>77</v>
      </c>
      <c r="E2035" s="15" t="s">
        <v>78</v>
      </c>
      <c r="F2035" s="15" t="s">
        <v>15</v>
      </c>
      <c r="G2035" s="15" t="s">
        <v>16</v>
      </c>
      <c r="H2035" s="15" t="s">
        <v>32</v>
      </c>
      <c r="I2035" s="15" t="s">
        <v>33</v>
      </c>
      <c r="J2035" s="15" t="s">
        <v>245</v>
      </c>
      <c r="K2035" s="15">
        <v>25</v>
      </c>
      <c r="L2035" s="16">
        <v>85</v>
      </c>
      <c r="M2035" s="17">
        <v>2125</v>
      </c>
      <c r="N2035" s="15" t="s">
        <v>367</v>
      </c>
      <c r="O2035" s="15" t="s">
        <v>19</v>
      </c>
      <c r="Q2035"/>
    </row>
    <row r="2036" spans="1:17" ht="15.6" x14ac:dyDescent="0.3">
      <c r="A2036" s="11">
        <v>10332</v>
      </c>
      <c r="B2036" s="10">
        <v>38308</v>
      </c>
      <c r="C2036" s="10" t="s">
        <v>285</v>
      </c>
      <c r="D2036" s="11" t="s">
        <v>79</v>
      </c>
      <c r="E2036" s="11" t="s">
        <v>80</v>
      </c>
      <c r="F2036" s="11" t="s">
        <v>81</v>
      </c>
      <c r="G2036" s="11" t="s">
        <v>25</v>
      </c>
      <c r="H2036" s="11" t="s">
        <v>32</v>
      </c>
      <c r="I2036" s="11" t="s">
        <v>33</v>
      </c>
      <c r="J2036" s="11" t="s">
        <v>245</v>
      </c>
      <c r="K2036" s="11">
        <v>31</v>
      </c>
      <c r="L2036" s="12">
        <v>85</v>
      </c>
      <c r="M2036" s="13">
        <v>2635</v>
      </c>
      <c r="N2036" s="11" t="s">
        <v>367</v>
      </c>
      <c r="O2036" s="11" t="s">
        <v>19</v>
      </c>
      <c r="Q2036"/>
    </row>
    <row r="2037" spans="1:17" ht="15.6" x14ac:dyDescent="0.3">
      <c r="A2037" s="15">
        <v>10331</v>
      </c>
      <c r="B2037" s="14">
        <v>38308</v>
      </c>
      <c r="C2037" s="14" t="s">
        <v>284</v>
      </c>
      <c r="D2037" s="15" t="s">
        <v>77</v>
      </c>
      <c r="E2037" s="15" t="s">
        <v>78</v>
      </c>
      <c r="F2037" s="15" t="s">
        <v>15</v>
      </c>
      <c r="G2037" s="15" t="s">
        <v>16</v>
      </c>
      <c r="H2037" s="15" t="s">
        <v>32</v>
      </c>
      <c r="I2037" s="15" t="s">
        <v>33</v>
      </c>
      <c r="J2037" s="15" t="s">
        <v>245</v>
      </c>
      <c r="K2037" s="15">
        <v>21</v>
      </c>
      <c r="L2037" s="16">
        <v>85</v>
      </c>
      <c r="M2037" s="17">
        <v>1785</v>
      </c>
      <c r="N2037" s="15" t="s">
        <v>367</v>
      </c>
      <c r="O2037" s="15" t="s">
        <v>19</v>
      </c>
      <c r="Q2037"/>
    </row>
    <row r="2038" spans="1:17" ht="15.6" x14ac:dyDescent="0.3">
      <c r="A2038" s="11">
        <v>10332</v>
      </c>
      <c r="B2038" s="10">
        <v>38308</v>
      </c>
      <c r="C2038" s="10" t="s">
        <v>285</v>
      </c>
      <c r="D2038" s="11" t="s">
        <v>79</v>
      </c>
      <c r="E2038" s="11" t="s">
        <v>80</v>
      </c>
      <c r="F2038" s="11" t="s">
        <v>81</v>
      </c>
      <c r="G2038" s="11" t="s">
        <v>25</v>
      </c>
      <c r="H2038" s="11" t="s">
        <v>17</v>
      </c>
      <c r="I2038" s="11" t="s">
        <v>26</v>
      </c>
      <c r="J2038" s="11" t="s">
        <v>244</v>
      </c>
      <c r="K2038" s="11">
        <v>41</v>
      </c>
      <c r="L2038" s="12">
        <v>60</v>
      </c>
      <c r="M2038" s="13">
        <v>2460</v>
      </c>
      <c r="N2038" s="11" t="s">
        <v>367</v>
      </c>
      <c r="O2038" s="11" t="s">
        <v>19</v>
      </c>
      <c r="Q2038"/>
    </row>
    <row r="2039" spans="1:17" ht="15.6" x14ac:dyDescent="0.3">
      <c r="A2039" s="15">
        <v>10331</v>
      </c>
      <c r="B2039" s="14">
        <v>38308</v>
      </c>
      <c r="C2039" s="14" t="s">
        <v>284</v>
      </c>
      <c r="D2039" s="15" t="s">
        <v>77</v>
      </c>
      <c r="E2039" s="15" t="s">
        <v>78</v>
      </c>
      <c r="F2039" s="15" t="s">
        <v>15</v>
      </c>
      <c r="G2039" s="15" t="s">
        <v>16</v>
      </c>
      <c r="H2039" s="15" t="s">
        <v>32</v>
      </c>
      <c r="I2039" s="15" t="s">
        <v>33</v>
      </c>
      <c r="J2039" s="15" t="s">
        <v>245</v>
      </c>
      <c r="K2039" s="15">
        <v>41</v>
      </c>
      <c r="L2039" s="16">
        <v>85</v>
      </c>
      <c r="M2039" s="17">
        <v>3485</v>
      </c>
      <c r="N2039" s="15" t="s">
        <v>367</v>
      </c>
      <c r="O2039" s="15" t="s">
        <v>19</v>
      </c>
      <c r="Q2039"/>
    </row>
    <row r="2040" spans="1:17" ht="15.6" x14ac:dyDescent="0.3">
      <c r="A2040" s="11">
        <v>10331</v>
      </c>
      <c r="B2040" s="10">
        <v>38308</v>
      </c>
      <c r="C2040" s="10" t="s">
        <v>284</v>
      </c>
      <c r="D2040" s="11" t="s">
        <v>77</v>
      </c>
      <c r="E2040" s="11" t="s">
        <v>78</v>
      </c>
      <c r="F2040" s="11" t="s">
        <v>15</v>
      </c>
      <c r="G2040" s="11" t="s">
        <v>16</v>
      </c>
      <c r="H2040" s="11" t="s">
        <v>68</v>
      </c>
      <c r="I2040" s="11" t="s">
        <v>108</v>
      </c>
      <c r="J2040" s="11" t="s">
        <v>271</v>
      </c>
      <c r="K2040" s="11">
        <v>28</v>
      </c>
      <c r="L2040" s="12">
        <v>45</v>
      </c>
      <c r="M2040" s="13">
        <v>1260</v>
      </c>
      <c r="N2040" s="11" t="s">
        <v>367</v>
      </c>
      <c r="O2040" s="11" t="s">
        <v>19</v>
      </c>
      <c r="Q2040"/>
    </row>
    <row r="2041" spans="1:17" ht="15.6" x14ac:dyDescent="0.3">
      <c r="A2041" s="15">
        <v>10331</v>
      </c>
      <c r="B2041" s="14">
        <v>38308</v>
      </c>
      <c r="C2041" s="14" t="s">
        <v>284</v>
      </c>
      <c r="D2041" s="15" t="s">
        <v>77</v>
      </c>
      <c r="E2041" s="15" t="s">
        <v>78</v>
      </c>
      <c r="F2041" s="15" t="s">
        <v>15</v>
      </c>
      <c r="G2041" s="15" t="s">
        <v>16</v>
      </c>
      <c r="H2041" s="15" t="s">
        <v>68</v>
      </c>
      <c r="I2041" s="15" t="s">
        <v>70</v>
      </c>
      <c r="J2041" s="15" t="s">
        <v>267</v>
      </c>
      <c r="K2041" s="15">
        <v>32</v>
      </c>
      <c r="L2041" s="16">
        <v>50</v>
      </c>
      <c r="M2041" s="17">
        <v>1600</v>
      </c>
      <c r="N2041" s="15" t="s">
        <v>367</v>
      </c>
      <c r="O2041" s="15" t="s">
        <v>19</v>
      </c>
      <c r="Q2041"/>
    </row>
    <row r="2042" spans="1:17" ht="15.6" x14ac:dyDescent="0.3">
      <c r="A2042" s="11">
        <v>10331</v>
      </c>
      <c r="B2042" s="10">
        <v>38308</v>
      </c>
      <c r="C2042" s="10" t="s">
        <v>284</v>
      </c>
      <c r="D2042" s="11" t="s">
        <v>77</v>
      </c>
      <c r="E2042" s="11" t="s">
        <v>78</v>
      </c>
      <c r="F2042" s="11" t="s">
        <v>15</v>
      </c>
      <c r="G2042" s="11" t="s">
        <v>16</v>
      </c>
      <c r="H2042" s="11" t="s">
        <v>68</v>
      </c>
      <c r="I2042" s="11" t="s">
        <v>70</v>
      </c>
      <c r="J2042" s="11" t="s">
        <v>267</v>
      </c>
      <c r="K2042" s="11">
        <v>20</v>
      </c>
      <c r="L2042" s="12">
        <v>50</v>
      </c>
      <c r="M2042" s="13">
        <v>1000</v>
      </c>
      <c r="N2042" s="11" t="s">
        <v>367</v>
      </c>
      <c r="O2042" s="11" t="s">
        <v>19</v>
      </c>
      <c r="Q2042"/>
    </row>
    <row r="2043" spans="1:17" ht="15.6" x14ac:dyDescent="0.3">
      <c r="A2043" s="15">
        <v>10333</v>
      </c>
      <c r="B2043" s="14">
        <v>38309</v>
      </c>
      <c r="C2043" s="14" t="s">
        <v>287</v>
      </c>
      <c r="D2043" s="15" t="s">
        <v>86</v>
      </c>
      <c r="E2043" s="15" t="s">
        <v>87</v>
      </c>
      <c r="F2043" s="15" t="s">
        <v>15</v>
      </c>
      <c r="G2043" s="15" t="s">
        <v>16</v>
      </c>
      <c r="H2043" s="15" t="s">
        <v>32</v>
      </c>
      <c r="I2043" s="15" t="s">
        <v>33</v>
      </c>
      <c r="J2043" s="15" t="s">
        <v>245</v>
      </c>
      <c r="K2043" s="15">
        <v>26</v>
      </c>
      <c r="L2043" s="16">
        <v>85</v>
      </c>
      <c r="M2043" s="17">
        <v>2210</v>
      </c>
      <c r="N2043" s="15" t="s">
        <v>367</v>
      </c>
      <c r="O2043" s="15" t="s">
        <v>19</v>
      </c>
      <c r="Q2043"/>
    </row>
    <row r="2044" spans="1:17" ht="15.6" x14ac:dyDescent="0.3">
      <c r="A2044" s="11">
        <v>10333</v>
      </c>
      <c r="B2044" s="10">
        <v>38309</v>
      </c>
      <c r="C2044" s="10" t="s">
        <v>287</v>
      </c>
      <c r="D2044" s="11" t="s">
        <v>86</v>
      </c>
      <c r="E2044" s="11" t="s">
        <v>87</v>
      </c>
      <c r="F2044" s="11" t="s">
        <v>15</v>
      </c>
      <c r="G2044" s="11" t="s">
        <v>16</v>
      </c>
      <c r="H2044" s="11" t="s">
        <v>35</v>
      </c>
      <c r="I2044" s="11" t="s">
        <v>40</v>
      </c>
      <c r="J2044" s="11" t="s">
        <v>251</v>
      </c>
      <c r="K2044" s="11">
        <v>33</v>
      </c>
      <c r="L2044" s="12">
        <v>25</v>
      </c>
      <c r="M2044" s="13">
        <v>825</v>
      </c>
      <c r="N2044" s="11" t="s">
        <v>367</v>
      </c>
      <c r="O2044" s="11" t="s">
        <v>19</v>
      </c>
      <c r="Q2044"/>
    </row>
    <row r="2045" spans="1:17" ht="15.6" x14ac:dyDescent="0.3">
      <c r="A2045" s="15">
        <v>10333</v>
      </c>
      <c r="B2045" s="14">
        <v>38309</v>
      </c>
      <c r="C2045" s="14" t="s">
        <v>287</v>
      </c>
      <c r="D2045" s="15" t="s">
        <v>86</v>
      </c>
      <c r="E2045" s="15" t="s">
        <v>87</v>
      </c>
      <c r="F2045" s="15" t="s">
        <v>15</v>
      </c>
      <c r="G2045" s="15" t="s">
        <v>16</v>
      </c>
      <c r="H2045" s="15" t="s">
        <v>35</v>
      </c>
      <c r="I2045" s="15" t="s">
        <v>38</v>
      </c>
      <c r="J2045" s="15" t="s">
        <v>249</v>
      </c>
      <c r="K2045" s="15">
        <v>29</v>
      </c>
      <c r="L2045" s="16">
        <v>20</v>
      </c>
      <c r="M2045" s="17">
        <v>580</v>
      </c>
      <c r="N2045" s="15" t="s">
        <v>367</v>
      </c>
      <c r="O2045" s="15" t="s">
        <v>19</v>
      </c>
      <c r="Q2045"/>
    </row>
    <row r="2046" spans="1:17" ht="15.6" x14ac:dyDescent="0.3">
      <c r="A2046" s="11">
        <v>10333</v>
      </c>
      <c r="B2046" s="10">
        <v>38309</v>
      </c>
      <c r="C2046" s="10" t="s">
        <v>287</v>
      </c>
      <c r="D2046" s="11" t="s">
        <v>86</v>
      </c>
      <c r="E2046" s="11" t="s">
        <v>87</v>
      </c>
      <c r="F2046" s="11" t="s">
        <v>15</v>
      </c>
      <c r="G2046" s="11" t="s">
        <v>16</v>
      </c>
      <c r="H2046" s="11" t="s">
        <v>17</v>
      </c>
      <c r="I2046" s="11" t="s">
        <v>18</v>
      </c>
      <c r="J2046" s="11" t="s">
        <v>241</v>
      </c>
      <c r="K2046" s="11">
        <v>31</v>
      </c>
      <c r="L2046" s="12">
        <v>30</v>
      </c>
      <c r="M2046" s="13">
        <v>930</v>
      </c>
      <c r="N2046" s="11" t="s">
        <v>367</v>
      </c>
      <c r="O2046" s="11" t="s">
        <v>19</v>
      </c>
      <c r="Q2046"/>
    </row>
    <row r="2047" spans="1:17" ht="15.6" x14ac:dyDescent="0.3">
      <c r="A2047" s="15">
        <v>10333</v>
      </c>
      <c r="B2047" s="14">
        <v>38309</v>
      </c>
      <c r="C2047" s="14" t="s">
        <v>287</v>
      </c>
      <c r="D2047" s="15" t="s">
        <v>86</v>
      </c>
      <c r="E2047" s="15" t="s">
        <v>87</v>
      </c>
      <c r="F2047" s="15" t="s">
        <v>15</v>
      </c>
      <c r="G2047" s="15" t="s">
        <v>16</v>
      </c>
      <c r="H2047" s="15" t="s">
        <v>17</v>
      </c>
      <c r="I2047" s="15" t="s">
        <v>26</v>
      </c>
      <c r="J2047" s="15" t="s">
        <v>244</v>
      </c>
      <c r="K2047" s="15">
        <v>46</v>
      </c>
      <c r="L2047" s="16">
        <v>60</v>
      </c>
      <c r="M2047" s="17">
        <v>2760</v>
      </c>
      <c r="N2047" s="15" t="s">
        <v>367</v>
      </c>
      <c r="O2047" s="15" t="s">
        <v>19</v>
      </c>
      <c r="Q2047"/>
    </row>
    <row r="2048" spans="1:17" ht="15.6" x14ac:dyDescent="0.3">
      <c r="A2048" s="11">
        <v>10333</v>
      </c>
      <c r="B2048" s="10">
        <v>38309</v>
      </c>
      <c r="C2048" s="10" t="s">
        <v>287</v>
      </c>
      <c r="D2048" s="11" t="s">
        <v>86</v>
      </c>
      <c r="E2048" s="11" t="s">
        <v>87</v>
      </c>
      <c r="F2048" s="11" t="s">
        <v>15</v>
      </c>
      <c r="G2048" s="11" t="s">
        <v>16</v>
      </c>
      <c r="H2048" s="11" t="s">
        <v>17</v>
      </c>
      <c r="I2048" s="11" t="s">
        <v>26</v>
      </c>
      <c r="J2048" s="11" t="s">
        <v>244</v>
      </c>
      <c r="K2048" s="11">
        <v>24</v>
      </c>
      <c r="L2048" s="12">
        <v>60</v>
      </c>
      <c r="M2048" s="13">
        <v>1440</v>
      </c>
      <c r="N2048" s="11" t="s">
        <v>367</v>
      </c>
      <c r="O2048" s="11" t="s">
        <v>19</v>
      </c>
      <c r="Q2048"/>
    </row>
    <row r="2049" spans="1:17" ht="15.6" x14ac:dyDescent="0.3">
      <c r="A2049" s="15">
        <v>10333</v>
      </c>
      <c r="B2049" s="14">
        <v>38309</v>
      </c>
      <c r="C2049" s="14" t="s">
        <v>287</v>
      </c>
      <c r="D2049" s="15" t="s">
        <v>86</v>
      </c>
      <c r="E2049" s="15" t="s">
        <v>87</v>
      </c>
      <c r="F2049" s="15" t="s">
        <v>15</v>
      </c>
      <c r="G2049" s="15" t="s">
        <v>16</v>
      </c>
      <c r="H2049" s="15" t="s">
        <v>17</v>
      </c>
      <c r="I2049" s="15" t="s">
        <v>26</v>
      </c>
      <c r="J2049" s="15" t="s">
        <v>244</v>
      </c>
      <c r="K2049" s="15">
        <v>39</v>
      </c>
      <c r="L2049" s="16">
        <v>60</v>
      </c>
      <c r="M2049" s="17">
        <v>2340</v>
      </c>
      <c r="N2049" s="15" t="s">
        <v>367</v>
      </c>
      <c r="O2049" s="15" t="s">
        <v>19</v>
      </c>
      <c r="Q2049"/>
    </row>
    <row r="2050" spans="1:17" ht="15.6" x14ac:dyDescent="0.3">
      <c r="A2050" s="11">
        <v>10333</v>
      </c>
      <c r="B2050" s="10">
        <v>38309</v>
      </c>
      <c r="C2050" s="10" t="s">
        <v>287</v>
      </c>
      <c r="D2050" s="11" t="s">
        <v>86</v>
      </c>
      <c r="E2050" s="11" t="s">
        <v>87</v>
      </c>
      <c r="F2050" s="11" t="s">
        <v>15</v>
      </c>
      <c r="G2050" s="11" t="s">
        <v>16</v>
      </c>
      <c r="H2050" s="11" t="s">
        <v>35</v>
      </c>
      <c r="I2050" s="11" t="s">
        <v>39</v>
      </c>
      <c r="J2050" s="11" t="s">
        <v>250</v>
      </c>
      <c r="K2050" s="11">
        <v>33</v>
      </c>
      <c r="L2050" s="12">
        <v>20</v>
      </c>
      <c r="M2050" s="13">
        <v>660</v>
      </c>
      <c r="N2050" s="11" t="s">
        <v>367</v>
      </c>
      <c r="O2050" s="11" t="s">
        <v>19</v>
      </c>
      <c r="Q2050"/>
    </row>
    <row r="2051" spans="1:17" ht="15.6" x14ac:dyDescent="0.3">
      <c r="A2051" s="15">
        <v>10335</v>
      </c>
      <c r="B2051" s="14">
        <v>38310</v>
      </c>
      <c r="C2051" s="14" t="s">
        <v>288</v>
      </c>
      <c r="D2051" s="15" t="s">
        <v>88</v>
      </c>
      <c r="E2051" s="15" t="s">
        <v>89</v>
      </c>
      <c r="F2051" s="15" t="s">
        <v>15</v>
      </c>
      <c r="G2051" s="15" t="s">
        <v>16</v>
      </c>
      <c r="H2051" s="15" t="s">
        <v>32</v>
      </c>
      <c r="I2051" s="15" t="s">
        <v>34</v>
      </c>
      <c r="J2051" s="15" t="s">
        <v>246</v>
      </c>
      <c r="K2051" s="15">
        <v>33</v>
      </c>
      <c r="L2051" s="16">
        <v>80</v>
      </c>
      <c r="M2051" s="17">
        <v>2640</v>
      </c>
      <c r="N2051" s="15" t="s">
        <v>367</v>
      </c>
      <c r="O2051" s="15" t="s">
        <v>19</v>
      </c>
      <c r="Q2051"/>
    </row>
    <row r="2052" spans="1:17" ht="15.6" x14ac:dyDescent="0.3">
      <c r="A2052" s="11">
        <v>10335</v>
      </c>
      <c r="B2052" s="10">
        <v>38310</v>
      </c>
      <c r="C2052" s="10" t="s">
        <v>288</v>
      </c>
      <c r="D2052" s="11" t="s">
        <v>88</v>
      </c>
      <c r="E2052" s="11" t="s">
        <v>89</v>
      </c>
      <c r="F2052" s="11" t="s">
        <v>15</v>
      </c>
      <c r="G2052" s="11" t="s">
        <v>16</v>
      </c>
      <c r="H2052" s="11" t="s">
        <v>35</v>
      </c>
      <c r="I2052" s="11" t="s">
        <v>38</v>
      </c>
      <c r="J2052" s="11" t="s">
        <v>249</v>
      </c>
      <c r="K2052" s="11">
        <v>44</v>
      </c>
      <c r="L2052" s="12">
        <v>20</v>
      </c>
      <c r="M2052" s="13">
        <v>880</v>
      </c>
      <c r="N2052" s="11" t="s">
        <v>367</v>
      </c>
      <c r="O2052" s="11" t="s">
        <v>19</v>
      </c>
      <c r="Q2052"/>
    </row>
    <row r="2053" spans="1:17" ht="15.6" x14ac:dyDescent="0.3">
      <c r="A2053" s="15">
        <v>10335</v>
      </c>
      <c r="B2053" s="14">
        <v>38310</v>
      </c>
      <c r="C2053" s="14" t="s">
        <v>288</v>
      </c>
      <c r="D2053" s="15" t="s">
        <v>88</v>
      </c>
      <c r="E2053" s="15" t="s">
        <v>89</v>
      </c>
      <c r="F2053" s="15" t="s">
        <v>15</v>
      </c>
      <c r="G2053" s="15" t="s">
        <v>16</v>
      </c>
      <c r="H2053" s="15" t="s">
        <v>35</v>
      </c>
      <c r="I2053" s="15" t="s">
        <v>40</v>
      </c>
      <c r="J2053" s="15" t="s">
        <v>251</v>
      </c>
      <c r="K2053" s="15">
        <v>40</v>
      </c>
      <c r="L2053" s="16">
        <v>25</v>
      </c>
      <c r="M2053" s="17">
        <v>1000</v>
      </c>
      <c r="N2053" s="15" t="s">
        <v>367</v>
      </c>
      <c r="O2053" s="15" t="s">
        <v>19</v>
      </c>
      <c r="Q2053"/>
    </row>
    <row r="2054" spans="1:17" ht="15.6" x14ac:dyDescent="0.3">
      <c r="A2054" s="11">
        <v>10336</v>
      </c>
      <c r="B2054" s="10">
        <v>38311</v>
      </c>
      <c r="C2054" s="10" t="s">
        <v>289</v>
      </c>
      <c r="D2054" s="11" t="s">
        <v>90</v>
      </c>
      <c r="E2054" s="11" t="s">
        <v>91</v>
      </c>
      <c r="F2054" s="11" t="s">
        <v>92</v>
      </c>
      <c r="G2054" s="11" t="s">
        <v>25</v>
      </c>
      <c r="H2054" s="11" t="s">
        <v>32</v>
      </c>
      <c r="I2054" s="11" t="s">
        <v>34</v>
      </c>
      <c r="J2054" s="11" t="s">
        <v>246</v>
      </c>
      <c r="K2054" s="11">
        <v>33</v>
      </c>
      <c r="L2054" s="12">
        <v>80</v>
      </c>
      <c r="M2054" s="13">
        <v>2640</v>
      </c>
      <c r="N2054" s="11" t="s">
        <v>367</v>
      </c>
      <c r="O2054" s="11" t="s">
        <v>19</v>
      </c>
      <c r="Q2054"/>
    </row>
    <row r="2055" spans="1:17" ht="15.6" x14ac:dyDescent="0.3">
      <c r="A2055" s="15">
        <v>10336</v>
      </c>
      <c r="B2055" s="14">
        <v>38311</v>
      </c>
      <c r="C2055" s="14" t="s">
        <v>289</v>
      </c>
      <c r="D2055" s="15" t="s">
        <v>90</v>
      </c>
      <c r="E2055" s="15" t="s">
        <v>91</v>
      </c>
      <c r="F2055" s="15" t="s">
        <v>92</v>
      </c>
      <c r="G2055" s="15" t="s">
        <v>25</v>
      </c>
      <c r="H2055" s="15" t="s">
        <v>32</v>
      </c>
      <c r="I2055" s="15" t="s">
        <v>45</v>
      </c>
      <c r="J2055" s="15" t="s">
        <v>253</v>
      </c>
      <c r="K2055" s="15">
        <v>33</v>
      </c>
      <c r="L2055" s="16">
        <v>35</v>
      </c>
      <c r="M2055" s="17">
        <v>1155</v>
      </c>
      <c r="N2055" s="15" t="s">
        <v>367</v>
      </c>
      <c r="O2055" s="15" t="s">
        <v>19</v>
      </c>
      <c r="Q2055"/>
    </row>
    <row r="2056" spans="1:17" ht="15.6" x14ac:dyDescent="0.3">
      <c r="A2056" s="11">
        <v>10336</v>
      </c>
      <c r="B2056" s="10">
        <v>38311</v>
      </c>
      <c r="C2056" s="10" t="s">
        <v>289</v>
      </c>
      <c r="D2056" s="11" t="s">
        <v>90</v>
      </c>
      <c r="E2056" s="11" t="s">
        <v>91</v>
      </c>
      <c r="F2056" s="11" t="s">
        <v>92</v>
      </c>
      <c r="G2056" s="11" t="s">
        <v>25</v>
      </c>
      <c r="H2056" s="11" t="s">
        <v>32</v>
      </c>
      <c r="I2056" s="11" t="s">
        <v>33</v>
      </c>
      <c r="J2056" s="11" t="s">
        <v>245</v>
      </c>
      <c r="K2056" s="11">
        <v>49</v>
      </c>
      <c r="L2056" s="12">
        <v>85</v>
      </c>
      <c r="M2056" s="13">
        <v>4165</v>
      </c>
      <c r="N2056" s="11" t="s">
        <v>367</v>
      </c>
      <c r="O2056" s="11" t="s">
        <v>19</v>
      </c>
      <c r="Q2056"/>
    </row>
    <row r="2057" spans="1:17" ht="15.6" x14ac:dyDescent="0.3">
      <c r="A2057" s="15">
        <v>10336</v>
      </c>
      <c r="B2057" s="14">
        <v>38311</v>
      </c>
      <c r="C2057" s="14" t="s">
        <v>289</v>
      </c>
      <c r="D2057" s="15" t="s">
        <v>90</v>
      </c>
      <c r="E2057" s="15" t="s">
        <v>91</v>
      </c>
      <c r="F2057" s="15" t="s">
        <v>92</v>
      </c>
      <c r="G2057" s="15" t="s">
        <v>25</v>
      </c>
      <c r="H2057" s="15" t="s">
        <v>35</v>
      </c>
      <c r="I2057" s="15" t="s">
        <v>40</v>
      </c>
      <c r="J2057" s="15" t="s">
        <v>251</v>
      </c>
      <c r="K2057" s="15">
        <v>38</v>
      </c>
      <c r="L2057" s="16">
        <v>25</v>
      </c>
      <c r="M2057" s="17">
        <v>950</v>
      </c>
      <c r="N2057" s="15" t="s">
        <v>367</v>
      </c>
      <c r="O2057" s="15" t="s">
        <v>19</v>
      </c>
      <c r="Q2057"/>
    </row>
    <row r="2058" spans="1:17" ht="15.6" x14ac:dyDescent="0.3">
      <c r="A2058" s="11">
        <v>10336</v>
      </c>
      <c r="B2058" s="10">
        <v>38311</v>
      </c>
      <c r="C2058" s="10" t="s">
        <v>289</v>
      </c>
      <c r="D2058" s="11" t="s">
        <v>90</v>
      </c>
      <c r="E2058" s="11" t="s">
        <v>91</v>
      </c>
      <c r="F2058" s="11" t="s">
        <v>92</v>
      </c>
      <c r="G2058" s="11" t="s">
        <v>25</v>
      </c>
      <c r="H2058" s="11" t="s">
        <v>32</v>
      </c>
      <c r="I2058" s="11" t="s">
        <v>33</v>
      </c>
      <c r="J2058" s="11" t="s">
        <v>245</v>
      </c>
      <c r="K2058" s="11">
        <v>49</v>
      </c>
      <c r="L2058" s="12">
        <v>85</v>
      </c>
      <c r="M2058" s="13">
        <v>4165</v>
      </c>
      <c r="N2058" s="11" t="s">
        <v>367</v>
      </c>
      <c r="O2058" s="11" t="s">
        <v>19</v>
      </c>
      <c r="Q2058"/>
    </row>
    <row r="2059" spans="1:17" ht="15.6" x14ac:dyDescent="0.3">
      <c r="A2059" s="15">
        <v>10336</v>
      </c>
      <c r="B2059" s="14">
        <v>38311</v>
      </c>
      <c r="C2059" s="14" t="s">
        <v>289</v>
      </c>
      <c r="D2059" s="15" t="s">
        <v>90</v>
      </c>
      <c r="E2059" s="15" t="s">
        <v>91</v>
      </c>
      <c r="F2059" s="15" t="s">
        <v>92</v>
      </c>
      <c r="G2059" s="15" t="s">
        <v>25</v>
      </c>
      <c r="H2059" s="15" t="s">
        <v>17</v>
      </c>
      <c r="I2059" s="15" t="s">
        <v>21</v>
      </c>
      <c r="J2059" s="15" t="s">
        <v>243</v>
      </c>
      <c r="K2059" s="15">
        <v>48</v>
      </c>
      <c r="L2059" s="16">
        <v>110</v>
      </c>
      <c r="M2059" s="17">
        <v>5280</v>
      </c>
      <c r="N2059" s="15" t="s">
        <v>367</v>
      </c>
      <c r="O2059" s="15" t="s">
        <v>19</v>
      </c>
      <c r="Q2059"/>
    </row>
    <row r="2060" spans="1:17" ht="15.6" x14ac:dyDescent="0.3">
      <c r="A2060" s="11">
        <v>10336</v>
      </c>
      <c r="B2060" s="10">
        <v>38311</v>
      </c>
      <c r="C2060" s="10" t="s">
        <v>289</v>
      </c>
      <c r="D2060" s="11" t="s">
        <v>90</v>
      </c>
      <c r="E2060" s="11" t="s">
        <v>91</v>
      </c>
      <c r="F2060" s="11" t="s">
        <v>92</v>
      </c>
      <c r="G2060" s="11" t="s">
        <v>25</v>
      </c>
      <c r="H2060" s="11" t="s">
        <v>47</v>
      </c>
      <c r="I2060" s="11" t="s">
        <v>48</v>
      </c>
      <c r="J2060" s="11" t="s">
        <v>255</v>
      </c>
      <c r="K2060" s="11">
        <v>21</v>
      </c>
      <c r="L2060" s="12">
        <v>70</v>
      </c>
      <c r="M2060" s="13">
        <v>1470</v>
      </c>
      <c r="N2060" s="11" t="s">
        <v>367</v>
      </c>
      <c r="O2060" s="11" t="s">
        <v>19</v>
      </c>
      <c r="Q2060"/>
    </row>
    <row r="2061" spans="1:17" ht="15.6" x14ac:dyDescent="0.3">
      <c r="A2061" s="15">
        <v>10336</v>
      </c>
      <c r="B2061" s="14">
        <v>38311</v>
      </c>
      <c r="C2061" s="14" t="s">
        <v>289</v>
      </c>
      <c r="D2061" s="15" t="s">
        <v>90</v>
      </c>
      <c r="E2061" s="15" t="s">
        <v>91</v>
      </c>
      <c r="F2061" s="15" t="s">
        <v>92</v>
      </c>
      <c r="G2061" s="15" t="s">
        <v>25</v>
      </c>
      <c r="H2061" s="15" t="s">
        <v>32</v>
      </c>
      <c r="I2061" s="15" t="s">
        <v>34</v>
      </c>
      <c r="J2061" s="15" t="s">
        <v>246</v>
      </c>
      <c r="K2061" s="15">
        <v>45</v>
      </c>
      <c r="L2061" s="16">
        <v>80</v>
      </c>
      <c r="M2061" s="17">
        <v>3600</v>
      </c>
      <c r="N2061" s="15" t="s">
        <v>367</v>
      </c>
      <c r="O2061" s="15" t="s">
        <v>19</v>
      </c>
      <c r="Q2061"/>
    </row>
    <row r="2062" spans="1:17" ht="15.6" x14ac:dyDescent="0.3">
      <c r="A2062" s="11">
        <v>10336</v>
      </c>
      <c r="B2062" s="10">
        <v>38311</v>
      </c>
      <c r="C2062" s="10" t="s">
        <v>289</v>
      </c>
      <c r="D2062" s="11" t="s">
        <v>90</v>
      </c>
      <c r="E2062" s="11" t="s">
        <v>91</v>
      </c>
      <c r="F2062" s="11" t="s">
        <v>92</v>
      </c>
      <c r="G2062" s="11" t="s">
        <v>25</v>
      </c>
      <c r="H2062" s="11" t="s">
        <v>32</v>
      </c>
      <c r="I2062" s="11" t="s">
        <v>33</v>
      </c>
      <c r="J2062" s="11" t="s">
        <v>245</v>
      </c>
      <c r="K2062" s="11">
        <v>31</v>
      </c>
      <c r="L2062" s="12">
        <v>85</v>
      </c>
      <c r="M2062" s="13">
        <v>2635</v>
      </c>
      <c r="N2062" s="11" t="s">
        <v>367</v>
      </c>
      <c r="O2062" s="11" t="s">
        <v>19</v>
      </c>
      <c r="Q2062"/>
    </row>
    <row r="2063" spans="1:17" ht="15.6" x14ac:dyDescent="0.3">
      <c r="A2063" s="15">
        <v>10336</v>
      </c>
      <c r="B2063" s="14">
        <v>38311</v>
      </c>
      <c r="C2063" s="14" t="s">
        <v>289</v>
      </c>
      <c r="D2063" s="15" t="s">
        <v>90</v>
      </c>
      <c r="E2063" s="15" t="s">
        <v>91</v>
      </c>
      <c r="F2063" s="15" t="s">
        <v>92</v>
      </c>
      <c r="G2063" s="15" t="s">
        <v>25</v>
      </c>
      <c r="H2063" s="15" t="s">
        <v>47</v>
      </c>
      <c r="I2063" s="15" t="s">
        <v>53</v>
      </c>
      <c r="J2063" s="15" t="s">
        <v>257</v>
      </c>
      <c r="K2063" s="15">
        <v>31</v>
      </c>
      <c r="L2063" s="16">
        <v>90</v>
      </c>
      <c r="M2063" s="17">
        <v>2790</v>
      </c>
      <c r="N2063" s="15" t="s">
        <v>367</v>
      </c>
      <c r="O2063" s="15" t="s">
        <v>19</v>
      </c>
      <c r="Q2063"/>
    </row>
    <row r="2064" spans="1:17" ht="15.6" x14ac:dyDescent="0.3">
      <c r="A2064" s="11">
        <v>10336</v>
      </c>
      <c r="B2064" s="10">
        <v>38311</v>
      </c>
      <c r="C2064" s="10" t="s">
        <v>289</v>
      </c>
      <c r="D2064" s="11" t="s">
        <v>90</v>
      </c>
      <c r="E2064" s="11" t="s">
        <v>91</v>
      </c>
      <c r="F2064" s="11" t="s">
        <v>92</v>
      </c>
      <c r="G2064" s="11" t="s">
        <v>25</v>
      </c>
      <c r="H2064" s="11" t="s">
        <v>35</v>
      </c>
      <c r="I2064" s="11" t="s">
        <v>39</v>
      </c>
      <c r="J2064" s="11" t="s">
        <v>250</v>
      </c>
      <c r="K2064" s="11">
        <v>23</v>
      </c>
      <c r="L2064" s="12">
        <v>20</v>
      </c>
      <c r="M2064" s="13">
        <v>460</v>
      </c>
      <c r="N2064" s="11" t="s">
        <v>367</v>
      </c>
      <c r="O2064" s="11" t="s">
        <v>19</v>
      </c>
      <c r="Q2064"/>
    </row>
    <row r="2065" spans="1:17" ht="15.6" x14ac:dyDescent="0.3">
      <c r="A2065" s="15">
        <v>10336</v>
      </c>
      <c r="B2065" s="14">
        <v>38311</v>
      </c>
      <c r="C2065" s="14" t="s">
        <v>289</v>
      </c>
      <c r="D2065" s="15" t="s">
        <v>90</v>
      </c>
      <c r="E2065" s="15" t="s">
        <v>91</v>
      </c>
      <c r="F2065" s="15" t="s">
        <v>92</v>
      </c>
      <c r="G2065" s="15" t="s">
        <v>25</v>
      </c>
      <c r="H2065" s="15" t="s">
        <v>32</v>
      </c>
      <c r="I2065" s="15" t="s">
        <v>34</v>
      </c>
      <c r="J2065" s="15" t="s">
        <v>246</v>
      </c>
      <c r="K2065" s="15">
        <v>46</v>
      </c>
      <c r="L2065" s="16">
        <v>80</v>
      </c>
      <c r="M2065" s="17">
        <v>3680</v>
      </c>
      <c r="N2065" s="15" t="s">
        <v>367</v>
      </c>
      <c r="O2065" s="15" t="s">
        <v>19</v>
      </c>
      <c r="Q2065"/>
    </row>
    <row r="2066" spans="1:17" ht="15.6" x14ac:dyDescent="0.3">
      <c r="A2066" s="11">
        <v>10337</v>
      </c>
      <c r="B2066" s="10">
        <v>38312</v>
      </c>
      <c r="C2066" s="10" t="s">
        <v>290</v>
      </c>
      <c r="D2066" s="11" t="s">
        <v>93</v>
      </c>
      <c r="E2066" s="11" t="s">
        <v>28</v>
      </c>
      <c r="F2066" s="11" t="s">
        <v>15</v>
      </c>
      <c r="G2066" s="11" t="s">
        <v>16</v>
      </c>
      <c r="H2066" s="11" t="s">
        <v>32</v>
      </c>
      <c r="I2066" s="11" t="s">
        <v>46</v>
      </c>
      <c r="J2066" s="11" t="s">
        <v>254</v>
      </c>
      <c r="K2066" s="11">
        <v>25</v>
      </c>
      <c r="L2066" s="12">
        <v>90</v>
      </c>
      <c r="M2066" s="13">
        <v>2250</v>
      </c>
      <c r="N2066" s="11" t="s">
        <v>367</v>
      </c>
      <c r="O2066" s="11" t="s">
        <v>19</v>
      </c>
      <c r="Q2066"/>
    </row>
    <row r="2067" spans="1:17" ht="15.6" x14ac:dyDescent="0.3">
      <c r="A2067" s="15">
        <v>10337</v>
      </c>
      <c r="B2067" s="14">
        <v>38312</v>
      </c>
      <c r="C2067" s="14" t="s">
        <v>290</v>
      </c>
      <c r="D2067" s="15" t="s">
        <v>93</v>
      </c>
      <c r="E2067" s="15" t="s">
        <v>28</v>
      </c>
      <c r="F2067" s="15" t="s">
        <v>15</v>
      </c>
      <c r="G2067" s="15" t="s">
        <v>16</v>
      </c>
      <c r="H2067" s="15" t="s">
        <v>32</v>
      </c>
      <c r="I2067" s="15" t="s">
        <v>34</v>
      </c>
      <c r="J2067" s="15" t="s">
        <v>246</v>
      </c>
      <c r="K2067" s="15">
        <v>36</v>
      </c>
      <c r="L2067" s="16">
        <v>80</v>
      </c>
      <c r="M2067" s="17">
        <v>2880</v>
      </c>
      <c r="N2067" s="15" t="s">
        <v>367</v>
      </c>
      <c r="O2067" s="15" t="s">
        <v>19</v>
      </c>
      <c r="Q2067"/>
    </row>
    <row r="2068" spans="1:17" ht="15.6" x14ac:dyDescent="0.3">
      <c r="A2068" s="11">
        <v>10337</v>
      </c>
      <c r="B2068" s="10">
        <v>38312</v>
      </c>
      <c r="C2068" s="10" t="s">
        <v>290</v>
      </c>
      <c r="D2068" s="11" t="s">
        <v>93</v>
      </c>
      <c r="E2068" s="11" t="s">
        <v>28</v>
      </c>
      <c r="F2068" s="11" t="s">
        <v>15</v>
      </c>
      <c r="G2068" s="11" t="s">
        <v>16</v>
      </c>
      <c r="H2068" s="11" t="s">
        <v>17</v>
      </c>
      <c r="I2068" s="11" t="s">
        <v>20</v>
      </c>
      <c r="J2068" s="11" t="s">
        <v>242</v>
      </c>
      <c r="K2068" s="11">
        <v>29</v>
      </c>
      <c r="L2068" s="12">
        <v>48</v>
      </c>
      <c r="M2068" s="13">
        <v>1392</v>
      </c>
      <c r="N2068" s="11" t="s">
        <v>367</v>
      </c>
      <c r="O2068" s="11" t="s">
        <v>19</v>
      </c>
      <c r="Q2068"/>
    </row>
    <row r="2069" spans="1:17" ht="15.6" x14ac:dyDescent="0.3">
      <c r="A2069" s="15">
        <v>10337</v>
      </c>
      <c r="B2069" s="14">
        <v>38312</v>
      </c>
      <c r="C2069" s="14" t="s">
        <v>290</v>
      </c>
      <c r="D2069" s="15" t="s">
        <v>93</v>
      </c>
      <c r="E2069" s="15" t="s">
        <v>28</v>
      </c>
      <c r="F2069" s="15" t="s">
        <v>15</v>
      </c>
      <c r="G2069" s="15" t="s">
        <v>16</v>
      </c>
      <c r="H2069" s="15" t="s">
        <v>54</v>
      </c>
      <c r="I2069" s="15" t="s">
        <v>57</v>
      </c>
      <c r="J2069" s="15" t="s">
        <v>260</v>
      </c>
      <c r="K2069" s="15">
        <v>29</v>
      </c>
      <c r="L2069" s="16">
        <v>220</v>
      </c>
      <c r="M2069" s="17">
        <v>6380</v>
      </c>
      <c r="N2069" s="15" t="s">
        <v>367</v>
      </c>
      <c r="O2069" s="15" t="s">
        <v>19</v>
      </c>
      <c r="Q2069"/>
    </row>
    <row r="2070" spans="1:17" ht="15.6" x14ac:dyDescent="0.3">
      <c r="A2070" s="11">
        <v>10337</v>
      </c>
      <c r="B2070" s="10">
        <v>38312</v>
      </c>
      <c r="C2070" s="10" t="s">
        <v>290</v>
      </c>
      <c r="D2070" s="11" t="s">
        <v>93</v>
      </c>
      <c r="E2070" s="11" t="s">
        <v>28</v>
      </c>
      <c r="F2070" s="11" t="s">
        <v>15</v>
      </c>
      <c r="G2070" s="11" t="s">
        <v>16</v>
      </c>
      <c r="H2070" s="11" t="s">
        <v>47</v>
      </c>
      <c r="I2070" s="11" t="s">
        <v>53</v>
      </c>
      <c r="J2070" s="11" t="s">
        <v>257</v>
      </c>
      <c r="K2070" s="11">
        <v>21</v>
      </c>
      <c r="L2070" s="12">
        <v>90</v>
      </c>
      <c r="M2070" s="13">
        <v>1890</v>
      </c>
      <c r="N2070" s="11" t="s">
        <v>367</v>
      </c>
      <c r="O2070" s="11" t="s">
        <v>19</v>
      </c>
      <c r="Q2070"/>
    </row>
    <row r="2071" spans="1:17" ht="15.6" x14ac:dyDescent="0.3">
      <c r="A2071" s="15">
        <v>10337</v>
      </c>
      <c r="B2071" s="14">
        <v>38312</v>
      </c>
      <c r="C2071" s="14" t="s">
        <v>290</v>
      </c>
      <c r="D2071" s="15" t="s">
        <v>93</v>
      </c>
      <c r="E2071" s="15" t="s">
        <v>28</v>
      </c>
      <c r="F2071" s="15" t="s">
        <v>15</v>
      </c>
      <c r="G2071" s="15" t="s">
        <v>16</v>
      </c>
      <c r="H2071" s="15" t="s">
        <v>54</v>
      </c>
      <c r="I2071" s="15" t="s">
        <v>56</v>
      </c>
      <c r="J2071" s="15" t="s">
        <v>259</v>
      </c>
      <c r="K2071" s="15">
        <v>36</v>
      </c>
      <c r="L2071" s="16">
        <v>250</v>
      </c>
      <c r="M2071" s="17">
        <v>9000</v>
      </c>
      <c r="N2071" s="15" t="s">
        <v>367</v>
      </c>
      <c r="O2071" s="15" t="s">
        <v>19</v>
      </c>
      <c r="Q2071"/>
    </row>
    <row r="2072" spans="1:17" ht="15.6" x14ac:dyDescent="0.3">
      <c r="A2072" s="11">
        <v>10337</v>
      </c>
      <c r="B2072" s="10">
        <v>38312</v>
      </c>
      <c r="C2072" s="10" t="s">
        <v>290</v>
      </c>
      <c r="D2072" s="11" t="s">
        <v>93</v>
      </c>
      <c r="E2072" s="11" t="s">
        <v>28</v>
      </c>
      <c r="F2072" s="11" t="s">
        <v>15</v>
      </c>
      <c r="G2072" s="11" t="s">
        <v>16</v>
      </c>
      <c r="H2072" s="11" t="s">
        <v>54</v>
      </c>
      <c r="I2072" s="11" t="s">
        <v>56</v>
      </c>
      <c r="J2072" s="11" t="s">
        <v>259</v>
      </c>
      <c r="K2072" s="11">
        <v>31</v>
      </c>
      <c r="L2072" s="12">
        <v>250</v>
      </c>
      <c r="M2072" s="13">
        <v>7750</v>
      </c>
      <c r="N2072" s="11" t="s">
        <v>367</v>
      </c>
      <c r="O2072" s="11" t="s">
        <v>19</v>
      </c>
      <c r="Q2072"/>
    </row>
    <row r="2073" spans="1:17" ht="15.6" x14ac:dyDescent="0.3">
      <c r="A2073" s="15">
        <v>10337</v>
      </c>
      <c r="B2073" s="14">
        <v>38312</v>
      </c>
      <c r="C2073" s="14" t="s">
        <v>290</v>
      </c>
      <c r="D2073" s="15" t="s">
        <v>93</v>
      </c>
      <c r="E2073" s="15" t="s">
        <v>28</v>
      </c>
      <c r="F2073" s="15" t="s">
        <v>15</v>
      </c>
      <c r="G2073" s="15" t="s">
        <v>16</v>
      </c>
      <c r="H2073" s="15" t="s">
        <v>54</v>
      </c>
      <c r="I2073" s="15" t="s">
        <v>56</v>
      </c>
      <c r="J2073" s="15" t="s">
        <v>259</v>
      </c>
      <c r="K2073" s="15">
        <v>36</v>
      </c>
      <c r="L2073" s="16">
        <v>250</v>
      </c>
      <c r="M2073" s="17">
        <v>9000</v>
      </c>
      <c r="N2073" s="15" t="s">
        <v>367</v>
      </c>
      <c r="O2073" s="15" t="s">
        <v>19</v>
      </c>
      <c r="Q2073"/>
    </row>
    <row r="2074" spans="1:17" ht="15.6" x14ac:dyDescent="0.3">
      <c r="A2074" s="11">
        <v>10337</v>
      </c>
      <c r="B2074" s="10">
        <v>38312</v>
      </c>
      <c r="C2074" s="10" t="s">
        <v>290</v>
      </c>
      <c r="D2074" s="11" t="s">
        <v>93</v>
      </c>
      <c r="E2074" s="11" t="s">
        <v>28</v>
      </c>
      <c r="F2074" s="11" t="s">
        <v>15</v>
      </c>
      <c r="G2074" s="11" t="s">
        <v>16</v>
      </c>
      <c r="H2074" s="11" t="s">
        <v>54</v>
      </c>
      <c r="I2074" s="11" t="s">
        <v>55</v>
      </c>
      <c r="J2074" s="11" t="s">
        <v>258</v>
      </c>
      <c r="K2074" s="11">
        <v>42</v>
      </c>
      <c r="L2074" s="12">
        <v>180</v>
      </c>
      <c r="M2074" s="13">
        <v>7560</v>
      </c>
      <c r="N2074" s="11" t="s">
        <v>367</v>
      </c>
      <c r="O2074" s="11" t="s">
        <v>19</v>
      </c>
      <c r="Q2074"/>
    </row>
    <row r="2075" spans="1:17" ht="15.6" x14ac:dyDescent="0.3">
      <c r="A2075" s="15">
        <v>10338</v>
      </c>
      <c r="B2075" s="14">
        <v>38313</v>
      </c>
      <c r="C2075" s="14" t="s">
        <v>291</v>
      </c>
      <c r="D2075" s="15" t="s">
        <v>94</v>
      </c>
      <c r="E2075" s="15" t="s">
        <v>95</v>
      </c>
      <c r="F2075" s="15" t="s">
        <v>96</v>
      </c>
      <c r="G2075" s="15" t="s">
        <v>25</v>
      </c>
      <c r="H2075" s="15" t="s">
        <v>61</v>
      </c>
      <c r="I2075" s="15" t="s">
        <v>64</v>
      </c>
      <c r="J2075" s="15" t="s">
        <v>263</v>
      </c>
      <c r="K2075" s="15">
        <v>41</v>
      </c>
      <c r="L2075" s="16">
        <v>35</v>
      </c>
      <c r="M2075" s="17">
        <v>1435</v>
      </c>
      <c r="N2075" s="15" t="s">
        <v>367</v>
      </c>
      <c r="O2075" s="15" t="s">
        <v>19</v>
      </c>
      <c r="Q2075"/>
    </row>
    <row r="2076" spans="1:17" ht="15.6" x14ac:dyDescent="0.3">
      <c r="A2076" s="11">
        <v>10338</v>
      </c>
      <c r="B2076" s="10">
        <v>38313</v>
      </c>
      <c r="C2076" s="10" t="s">
        <v>291</v>
      </c>
      <c r="D2076" s="11" t="s">
        <v>94</v>
      </c>
      <c r="E2076" s="11" t="s">
        <v>95</v>
      </c>
      <c r="F2076" s="11" t="s">
        <v>96</v>
      </c>
      <c r="G2076" s="11" t="s">
        <v>25</v>
      </c>
      <c r="H2076" s="11" t="s">
        <v>54</v>
      </c>
      <c r="I2076" s="11" t="s">
        <v>56</v>
      </c>
      <c r="J2076" s="11" t="s">
        <v>259</v>
      </c>
      <c r="K2076" s="11">
        <v>28</v>
      </c>
      <c r="L2076" s="12">
        <v>250</v>
      </c>
      <c r="M2076" s="13">
        <v>7000</v>
      </c>
      <c r="N2076" s="11" t="s">
        <v>367</v>
      </c>
      <c r="O2076" s="11" t="s">
        <v>19</v>
      </c>
      <c r="Q2076"/>
    </row>
    <row r="2077" spans="1:17" ht="15.6" x14ac:dyDescent="0.3">
      <c r="A2077" s="15">
        <v>10338</v>
      </c>
      <c r="B2077" s="14">
        <v>38313</v>
      </c>
      <c r="C2077" s="14" t="s">
        <v>291</v>
      </c>
      <c r="D2077" s="15" t="s">
        <v>94</v>
      </c>
      <c r="E2077" s="15" t="s">
        <v>95</v>
      </c>
      <c r="F2077" s="15" t="s">
        <v>96</v>
      </c>
      <c r="G2077" s="15" t="s">
        <v>25</v>
      </c>
      <c r="H2077" s="15" t="s">
        <v>17</v>
      </c>
      <c r="I2077" s="15" t="s">
        <v>20</v>
      </c>
      <c r="J2077" s="15" t="s">
        <v>242</v>
      </c>
      <c r="K2077" s="15">
        <v>45</v>
      </c>
      <c r="L2077" s="16">
        <v>48</v>
      </c>
      <c r="M2077" s="17">
        <v>2160</v>
      </c>
      <c r="N2077" s="15" t="s">
        <v>367</v>
      </c>
      <c r="O2077" s="15" t="s">
        <v>19</v>
      </c>
      <c r="Q2077"/>
    </row>
    <row r="2078" spans="1:17" ht="15.6" x14ac:dyDescent="0.3">
      <c r="A2078" s="11">
        <v>10339</v>
      </c>
      <c r="B2078" s="10">
        <v>38314</v>
      </c>
      <c r="C2078" s="10" t="s">
        <v>359</v>
      </c>
      <c r="D2078" s="11" t="s">
        <v>228</v>
      </c>
      <c r="E2078" s="11" t="s">
        <v>229</v>
      </c>
      <c r="F2078" s="11" t="s">
        <v>74</v>
      </c>
      <c r="G2078" s="11" t="s">
        <v>74</v>
      </c>
      <c r="H2078" s="11" t="s">
        <v>68</v>
      </c>
      <c r="I2078" s="11" t="s">
        <v>70</v>
      </c>
      <c r="J2078" s="11" t="s">
        <v>267</v>
      </c>
      <c r="K2078" s="11">
        <v>40</v>
      </c>
      <c r="L2078" s="12">
        <v>50</v>
      </c>
      <c r="M2078" s="13">
        <v>2000</v>
      </c>
      <c r="N2078" s="11" t="s">
        <v>367</v>
      </c>
      <c r="O2078" s="11" t="s">
        <v>19</v>
      </c>
      <c r="Q2078"/>
    </row>
    <row r="2079" spans="1:17" ht="15.6" x14ac:dyDescent="0.3">
      <c r="A2079" s="15">
        <v>10339</v>
      </c>
      <c r="B2079" s="14">
        <v>38314</v>
      </c>
      <c r="C2079" s="14" t="s">
        <v>359</v>
      </c>
      <c r="D2079" s="15" t="s">
        <v>228</v>
      </c>
      <c r="E2079" s="15" t="s">
        <v>229</v>
      </c>
      <c r="F2079" s="15" t="s">
        <v>74</v>
      </c>
      <c r="G2079" s="15" t="s">
        <v>74</v>
      </c>
      <c r="H2079" s="15" t="s">
        <v>68</v>
      </c>
      <c r="I2079" s="15" t="s">
        <v>70</v>
      </c>
      <c r="J2079" s="15" t="s">
        <v>267</v>
      </c>
      <c r="K2079" s="15">
        <v>39</v>
      </c>
      <c r="L2079" s="16">
        <v>50</v>
      </c>
      <c r="M2079" s="17">
        <v>1950</v>
      </c>
      <c r="N2079" s="15" t="s">
        <v>367</v>
      </c>
      <c r="O2079" s="15" t="s">
        <v>19</v>
      </c>
      <c r="Q2079"/>
    </row>
    <row r="2080" spans="1:17" ht="15.6" x14ac:dyDescent="0.3">
      <c r="A2080" s="11">
        <v>10339</v>
      </c>
      <c r="B2080" s="10">
        <v>38314</v>
      </c>
      <c r="C2080" s="10" t="s">
        <v>359</v>
      </c>
      <c r="D2080" s="11" t="s">
        <v>228</v>
      </c>
      <c r="E2080" s="11" t="s">
        <v>229</v>
      </c>
      <c r="F2080" s="11" t="s">
        <v>74</v>
      </c>
      <c r="G2080" s="11" t="s">
        <v>74</v>
      </c>
      <c r="H2080" s="11" t="s">
        <v>61</v>
      </c>
      <c r="I2080" s="11" t="s">
        <v>62</v>
      </c>
      <c r="J2080" s="11" t="s">
        <v>261</v>
      </c>
      <c r="K2080" s="11">
        <v>27</v>
      </c>
      <c r="L2080" s="12">
        <v>15</v>
      </c>
      <c r="M2080" s="13">
        <v>405</v>
      </c>
      <c r="N2080" s="11" t="s">
        <v>367</v>
      </c>
      <c r="O2080" s="11" t="s">
        <v>19</v>
      </c>
      <c r="Q2080"/>
    </row>
    <row r="2081" spans="1:17" ht="15.6" x14ac:dyDescent="0.3">
      <c r="A2081" s="15">
        <v>10339</v>
      </c>
      <c r="B2081" s="14">
        <v>38314</v>
      </c>
      <c r="C2081" s="14" t="s">
        <v>359</v>
      </c>
      <c r="D2081" s="15" t="s">
        <v>228</v>
      </c>
      <c r="E2081" s="15" t="s">
        <v>229</v>
      </c>
      <c r="F2081" s="15" t="s">
        <v>74</v>
      </c>
      <c r="G2081" s="15" t="s">
        <v>74</v>
      </c>
      <c r="H2081" s="15" t="s">
        <v>68</v>
      </c>
      <c r="I2081" s="15" t="s">
        <v>69</v>
      </c>
      <c r="J2081" s="15" t="s">
        <v>266</v>
      </c>
      <c r="K2081" s="15">
        <v>30</v>
      </c>
      <c r="L2081" s="16">
        <v>25</v>
      </c>
      <c r="M2081" s="17">
        <v>750</v>
      </c>
      <c r="N2081" s="15" t="s">
        <v>367</v>
      </c>
      <c r="O2081" s="15" t="s">
        <v>19</v>
      </c>
      <c r="Q2081"/>
    </row>
    <row r="2082" spans="1:17" ht="15.6" x14ac:dyDescent="0.3">
      <c r="A2082" s="11">
        <v>10339</v>
      </c>
      <c r="B2082" s="10">
        <v>38314</v>
      </c>
      <c r="C2082" s="10" t="s">
        <v>359</v>
      </c>
      <c r="D2082" s="11" t="s">
        <v>228</v>
      </c>
      <c r="E2082" s="11" t="s">
        <v>229</v>
      </c>
      <c r="F2082" s="11" t="s">
        <v>74</v>
      </c>
      <c r="G2082" s="11" t="s">
        <v>74</v>
      </c>
      <c r="H2082" s="11" t="s">
        <v>68</v>
      </c>
      <c r="I2082" s="11" t="s">
        <v>69</v>
      </c>
      <c r="J2082" s="11" t="s">
        <v>266</v>
      </c>
      <c r="K2082" s="11">
        <v>27</v>
      </c>
      <c r="L2082" s="12">
        <v>25</v>
      </c>
      <c r="M2082" s="13">
        <v>675</v>
      </c>
      <c r="N2082" s="11" t="s">
        <v>367</v>
      </c>
      <c r="O2082" s="11" t="s">
        <v>19</v>
      </c>
      <c r="Q2082"/>
    </row>
    <row r="2083" spans="1:17" ht="15.6" x14ac:dyDescent="0.3">
      <c r="A2083" s="15">
        <v>10339</v>
      </c>
      <c r="B2083" s="14">
        <v>38314</v>
      </c>
      <c r="C2083" s="14" t="s">
        <v>359</v>
      </c>
      <c r="D2083" s="15" t="s">
        <v>228</v>
      </c>
      <c r="E2083" s="15" t="s">
        <v>229</v>
      </c>
      <c r="F2083" s="15" t="s">
        <v>74</v>
      </c>
      <c r="G2083" s="15" t="s">
        <v>74</v>
      </c>
      <c r="H2083" s="15" t="s">
        <v>61</v>
      </c>
      <c r="I2083" s="15" t="s">
        <v>62</v>
      </c>
      <c r="J2083" s="15" t="s">
        <v>261</v>
      </c>
      <c r="K2083" s="15">
        <v>21</v>
      </c>
      <c r="L2083" s="16">
        <v>15</v>
      </c>
      <c r="M2083" s="17">
        <v>315</v>
      </c>
      <c r="N2083" s="15" t="s">
        <v>367</v>
      </c>
      <c r="O2083" s="15" t="s">
        <v>19</v>
      </c>
      <c r="Q2083"/>
    </row>
    <row r="2084" spans="1:17" ht="15.6" x14ac:dyDescent="0.3">
      <c r="A2084" s="11">
        <v>10339</v>
      </c>
      <c r="B2084" s="10">
        <v>38314</v>
      </c>
      <c r="C2084" s="10" t="s">
        <v>359</v>
      </c>
      <c r="D2084" s="11" t="s">
        <v>228</v>
      </c>
      <c r="E2084" s="11" t="s">
        <v>229</v>
      </c>
      <c r="F2084" s="11" t="s">
        <v>74</v>
      </c>
      <c r="G2084" s="11" t="s">
        <v>74</v>
      </c>
      <c r="H2084" s="11" t="s">
        <v>61</v>
      </c>
      <c r="I2084" s="11" t="s">
        <v>66</v>
      </c>
      <c r="J2084" s="11" t="s">
        <v>265</v>
      </c>
      <c r="K2084" s="11">
        <v>55</v>
      </c>
      <c r="L2084" s="12">
        <v>35</v>
      </c>
      <c r="M2084" s="13">
        <v>1925</v>
      </c>
      <c r="N2084" s="11" t="s">
        <v>368</v>
      </c>
      <c r="O2084" s="11" t="s">
        <v>19</v>
      </c>
      <c r="Q2084"/>
    </row>
    <row r="2085" spans="1:17" ht="15.6" x14ac:dyDescent="0.3">
      <c r="A2085" s="15">
        <v>10339</v>
      </c>
      <c r="B2085" s="14">
        <v>38314</v>
      </c>
      <c r="C2085" s="14" t="s">
        <v>359</v>
      </c>
      <c r="D2085" s="15" t="s">
        <v>228</v>
      </c>
      <c r="E2085" s="15" t="s">
        <v>229</v>
      </c>
      <c r="F2085" s="15" t="s">
        <v>74</v>
      </c>
      <c r="G2085" s="15" t="s">
        <v>74</v>
      </c>
      <c r="H2085" s="15" t="s">
        <v>17</v>
      </c>
      <c r="I2085" s="15" t="s">
        <v>26</v>
      </c>
      <c r="J2085" s="15" t="s">
        <v>244</v>
      </c>
      <c r="K2085" s="15">
        <v>55</v>
      </c>
      <c r="L2085" s="16">
        <v>60</v>
      </c>
      <c r="M2085" s="17">
        <v>3300</v>
      </c>
      <c r="N2085" s="15" t="s">
        <v>368</v>
      </c>
      <c r="O2085" s="15" t="s">
        <v>19</v>
      </c>
      <c r="Q2085"/>
    </row>
    <row r="2086" spans="1:17" ht="15.6" x14ac:dyDescent="0.3">
      <c r="A2086" s="11">
        <v>10339</v>
      </c>
      <c r="B2086" s="10">
        <v>38314</v>
      </c>
      <c r="C2086" s="10" t="s">
        <v>359</v>
      </c>
      <c r="D2086" s="11" t="s">
        <v>228</v>
      </c>
      <c r="E2086" s="11" t="s">
        <v>229</v>
      </c>
      <c r="F2086" s="11" t="s">
        <v>74</v>
      </c>
      <c r="G2086" s="11" t="s">
        <v>74</v>
      </c>
      <c r="H2086" s="11" t="s">
        <v>17</v>
      </c>
      <c r="I2086" s="11" t="s">
        <v>18</v>
      </c>
      <c r="J2086" s="11" t="s">
        <v>241</v>
      </c>
      <c r="K2086" s="11">
        <v>29</v>
      </c>
      <c r="L2086" s="12">
        <v>30</v>
      </c>
      <c r="M2086" s="13">
        <v>870</v>
      </c>
      <c r="N2086" s="11" t="s">
        <v>367</v>
      </c>
      <c r="O2086" s="11" t="s">
        <v>19</v>
      </c>
      <c r="Q2086"/>
    </row>
    <row r="2087" spans="1:17" ht="15.6" x14ac:dyDescent="0.3">
      <c r="A2087" s="15">
        <v>10339</v>
      </c>
      <c r="B2087" s="14">
        <v>38314</v>
      </c>
      <c r="C2087" s="14" t="s">
        <v>359</v>
      </c>
      <c r="D2087" s="15" t="s">
        <v>228</v>
      </c>
      <c r="E2087" s="15" t="s">
        <v>229</v>
      </c>
      <c r="F2087" s="15" t="s">
        <v>74</v>
      </c>
      <c r="G2087" s="15" t="s">
        <v>74</v>
      </c>
      <c r="H2087" s="15" t="s">
        <v>17</v>
      </c>
      <c r="I2087" s="15" t="s">
        <v>20</v>
      </c>
      <c r="J2087" s="15" t="s">
        <v>242</v>
      </c>
      <c r="K2087" s="15">
        <v>42</v>
      </c>
      <c r="L2087" s="16">
        <v>48</v>
      </c>
      <c r="M2087" s="17">
        <v>2016</v>
      </c>
      <c r="N2087" s="15" t="s">
        <v>367</v>
      </c>
      <c r="O2087" s="15" t="s">
        <v>19</v>
      </c>
      <c r="Q2087"/>
    </row>
    <row r="2088" spans="1:17" ht="15.6" x14ac:dyDescent="0.3">
      <c r="A2088" s="11">
        <v>10339</v>
      </c>
      <c r="B2088" s="10">
        <v>38314</v>
      </c>
      <c r="C2088" s="10" t="s">
        <v>359</v>
      </c>
      <c r="D2088" s="11" t="s">
        <v>228</v>
      </c>
      <c r="E2088" s="11" t="s">
        <v>229</v>
      </c>
      <c r="F2088" s="11" t="s">
        <v>74</v>
      </c>
      <c r="G2088" s="11" t="s">
        <v>74</v>
      </c>
      <c r="H2088" s="11" t="s">
        <v>61</v>
      </c>
      <c r="I2088" s="11" t="s">
        <v>62</v>
      </c>
      <c r="J2088" s="11" t="s">
        <v>261</v>
      </c>
      <c r="K2088" s="11">
        <v>45</v>
      </c>
      <c r="L2088" s="12">
        <v>15</v>
      </c>
      <c r="M2088" s="13">
        <v>675</v>
      </c>
      <c r="N2088" s="11" t="s">
        <v>367</v>
      </c>
      <c r="O2088" s="11" t="s">
        <v>19</v>
      </c>
      <c r="Q2088"/>
    </row>
    <row r="2089" spans="1:17" ht="15.6" x14ac:dyDescent="0.3">
      <c r="A2089" s="15">
        <v>10339</v>
      </c>
      <c r="B2089" s="14">
        <v>38314</v>
      </c>
      <c r="C2089" s="14" t="s">
        <v>359</v>
      </c>
      <c r="D2089" s="15" t="s">
        <v>228</v>
      </c>
      <c r="E2089" s="15" t="s">
        <v>229</v>
      </c>
      <c r="F2089" s="15" t="s">
        <v>74</v>
      </c>
      <c r="G2089" s="15" t="s">
        <v>74</v>
      </c>
      <c r="H2089" s="15" t="s">
        <v>54</v>
      </c>
      <c r="I2089" s="15" t="s">
        <v>57</v>
      </c>
      <c r="J2089" s="15" t="s">
        <v>260</v>
      </c>
      <c r="K2089" s="15">
        <v>22</v>
      </c>
      <c r="L2089" s="16">
        <v>220</v>
      </c>
      <c r="M2089" s="17">
        <v>4840</v>
      </c>
      <c r="N2089" s="15" t="s">
        <v>367</v>
      </c>
      <c r="O2089" s="15" t="s">
        <v>19</v>
      </c>
      <c r="Q2089"/>
    </row>
    <row r="2090" spans="1:17" ht="15.6" x14ac:dyDescent="0.3">
      <c r="A2090" s="11">
        <v>10339</v>
      </c>
      <c r="B2090" s="10">
        <v>38314</v>
      </c>
      <c r="C2090" s="10" t="s">
        <v>359</v>
      </c>
      <c r="D2090" s="11" t="s">
        <v>228</v>
      </c>
      <c r="E2090" s="11" t="s">
        <v>229</v>
      </c>
      <c r="F2090" s="11" t="s">
        <v>74</v>
      </c>
      <c r="G2090" s="11" t="s">
        <v>74</v>
      </c>
      <c r="H2090" s="11" t="s">
        <v>54</v>
      </c>
      <c r="I2090" s="11" t="s">
        <v>55</v>
      </c>
      <c r="J2090" s="11" t="s">
        <v>258</v>
      </c>
      <c r="K2090" s="11">
        <v>55</v>
      </c>
      <c r="L2090" s="12">
        <v>180</v>
      </c>
      <c r="M2090" s="13">
        <v>9900</v>
      </c>
      <c r="N2090" s="11" t="s">
        <v>368</v>
      </c>
      <c r="O2090" s="11" t="s">
        <v>19</v>
      </c>
      <c r="Q2090"/>
    </row>
    <row r="2091" spans="1:17" ht="15.6" x14ac:dyDescent="0.3">
      <c r="A2091" s="15">
        <v>10339</v>
      </c>
      <c r="B2091" s="14">
        <v>38314</v>
      </c>
      <c r="C2091" s="14" t="s">
        <v>359</v>
      </c>
      <c r="D2091" s="15" t="s">
        <v>228</v>
      </c>
      <c r="E2091" s="15" t="s">
        <v>229</v>
      </c>
      <c r="F2091" s="15" t="s">
        <v>74</v>
      </c>
      <c r="G2091" s="15" t="s">
        <v>74</v>
      </c>
      <c r="H2091" s="15" t="s">
        <v>54</v>
      </c>
      <c r="I2091" s="15" t="s">
        <v>57</v>
      </c>
      <c r="J2091" s="15" t="s">
        <v>260</v>
      </c>
      <c r="K2091" s="15">
        <v>50</v>
      </c>
      <c r="L2091" s="16">
        <v>220</v>
      </c>
      <c r="M2091" s="17">
        <v>11000</v>
      </c>
      <c r="N2091" s="15" t="s">
        <v>368</v>
      </c>
      <c r="O2091" s="15" t="s">
        <v>19</v>
      </c>
      <c r="Q2091"/>
    </row>
    <row r="2092" spans="1:17" ht="15.6" x14ac:dyDescent="0.3">
      <c r="A2092" s="11">
        <v>10339</v>
      </c>
      <c r="B2092" s="10">
        <v>38314</v>
      </c>
      <c r="C2092" s="10" t="s">
        <v>359</v>
      </c>
      <c r="D2092" s="11" t="s">
        <v>228</v>
      </c>
      <c r="E2092" s="11" t="s">
        <v>229</v>
      </c>
      <c r="F2092" s="11" t="s">
        <v>74</v>
      </c>
      <c r="G2092" s="11" t="s">
        <v>74</v>
      </c>
      <c r="H2092" s="11" t="s">
        <v>61</v>
      </c>
      <c r="I2092" s="11" t="s">
        <v>66</v>
      </c>
      <c r="J2092" s="11" t="s">
        <v>265</v>
      </c>
      <c r="K2092" s="11">
        <v>50</v>
      </c>
      <c r="L2092" s="12">
        <v>35</v>
      </c>
      <c r="M2092" s="13">
        <v>1750</v>
      </c>
      <c r="N2092" s="11" t="s">
        <v>368</v>
      </c>
      <c r="O2092" s="11" t="s">
        <v>19</v>
      </c>
      <c r="Q2092"/>
    </row>
    <row r="2093" spans="1:17" ht="15.6" x14ac:dyDescent="0.3">
      <c r="A2093" s="15">
        <v>10339</v>
      </c>
      <c r="B2093" s="14">
        <v>38314</v>
      </c>
      <c r="C2093" s="14" t="s">
        <v>359</v>
      </c>
      <c r="D2093" s="15" t="s">
        <v>228</v>
      </c>
      <c r="E2093" s="15" t="s">
        <v>229</v>
      </c>
      <c r="F2093" s="15" t="s">
        <v>74</v>
      </c>
      <c r="G2093" s="15" t="s">
        <v>74</v>
      </c>
      <c r="H2093" s="15" t="s">
        <v>61</v>
      </c>
      <c r="I2093" s="15" t="s">
        <v>66</v>
      </c>
      <c r="J2093" s="15" t="s">
        <v>265</v>
      </c>
      <c r="K2093" s="15">
        <v>27</v>
      </c>
      <c r="L2093" s="16">
        <v>35</v>
      </c>
      <c r="M2093" s="17">
        <v>945</v>
      </c>
      <c r="N2093" s="15" t="s">
        <v>367</v>
      </c>
      <c r="O2093" s="15" t="s">
        <v>19</v>
      </c>
      <c r="Q2093"/>
    </row>
    <row r="2094" spans="1:17" ht="15.6" x14ac:dyDescent="0.3">
      <c r="A2094" s="11">
        <v>10341</v>
      </c>
      <c r="B2094" s="10">
        <v>38315</v>
      </c>
      <c r="C2094" s="10" t="s">
        <v>294</v>
      </c>
      <c r="D2094" s="11" t="s">
        <v>101</v>
      </c>
      <c r="E2094" s="11" t="s">
        <v>102</v>
      </c>
      <c r="F2094" s="11" t="s">
        <v>103</v>
      </c>
      <c r="G2094" s="11" t="s">
        <v>25</v>
      </c>
      <c r="H2094" s="11" t="s">
        <v>68</v>
      </c>
      <c r="I2094" s="11" t="s">
        <v>69</v>
      </c>
      <c r="J2094" s="11" t="s">
        <v>266</v>
      </c>
      <c r="K2094" s="11">
        <v>41</v>
      </c>
      <c r="L2094" s="12">
        <v>25</v>
      </c>
      <c r="M2094" s="13">
        <v>1025</v>
      </c>
      <c r="N2094" s="11" t="s">
        <v>367</v>
      </c>
      <c r="O2094" s="11" t="s">
        <v>19</v>
      </c>
      <c r="Q2094"/>
    </row>
    <row r="2095" spans="1:17" ht="15.6" x14ac:dyDescent="0.3">
      <c r="A2095" s="15">
        <v>10341</v>
      </c>
      <c r="B2095" s="14">
        <v>38315</v>
      </c>
      <c r="C2095" s="14" t="s">
        <v>294</v>
      </c>
      <c r="D2095" s="15" t="s">
        <v>101</v>
      </c>
      <c r="E2095" s="15" t="s">
        <v>102</v>
      </c>
      <c r="F2095" s="15" t="s">
        <v>103</v>
      </c>
      <c r="G2095" s="15" t="s">
        <v>25</v>
      </c>
      <c r="H2095" s="15" t="s">
        <v>32</v>
      </c>
      <c r="I2095" s="15" t="s">
        <v>34</v>
      </c>
      <c r="J2095" s="15" t="s">
        <v>246</v>
      </c>
      <c r="K2095" s="15">
        <v>45</v>
      </c>
      <c r="L2095" s="16">
        <v>80</v>
      </c>
      <c r="M2095" s="17">
        <v>3600</v>
      </c>
      <c r="N2095" s="15" t="s">
        <v>367</v>
      </c>
      <c r="O2095" s="15" t="s">
        <v>19</v>
      </c>
      <c r="Q2095"/>
    </row>
    <row r="2096" spans="1:17" ht="15.6" x14ac:dyDescent="0.3">
      <c r="A2096" s="11">
        <v>10341</v>
      </c>
      <c r="B2096" s="10">
        <v>38315</v>
      </c>
      <c r="C2096" s="10" t="s">
        <v>294</v>
      </c>
      <c r="D2096" s="11" t="s">
        <v>101</v>
      </c>
      <c r="E2096" s="11" t="s">
        <v>102</v>
      </c>
      <c r="F2096" s="11" t="s">
        <v>103</v>
      </c>
      <c r="G2096" s="11" t="s">
        <v>25</v>
      </c>
      <c r="H2096" s="11" t="s">
        <v>68</v>
      </c>
      <c r="I2096" s="11" t="s">
        <v>69</v>
      </c>
      <c r="J2096" s="11" t="s">
        <v>266</v>
      </c>
      <c r="K2096" s="11">
        <v>55</v>
      </c>
      <c r="L2096" s="12">
        <v>25</v>
      </c>
      <c r="M2096" s="13">
        <v>1375</v>
      </c>
      <c r="N2096" s="11" t="s">
        <v>368</v>
      </c>
      <c r="O2096" s="11" t="s">
        <v>19</v>
      </c>
      <c r="Q2096"/>
    </row>
    <row r="2097" spans="1:17" ht="15.6" x14ac:dyDescent="0.3">
      <c r="A2097" s="15">
        <v>10341</v>
      </c>
      <c r="B2097" s="14">
        <v>38315</v>
      </c>
      <c r="C2097" s="14" t="s">
        <v>294</v>
      </c>
      <c r="D2097" s="15" t="s">
        <v>101</v>
      </c>
      <c r="E2097" s="15" t="s">
        <v>102</v>
      </c>
      <c r="F2097" s="15" t="s">
        <v>103</v>
      </c>
      <c r="G2097" s="15" t="s">
        <v>25</v>
      </c>
      <c r="H2097" s="15" t="s">
        <v>32</v>
      </c>
      <c r="I2097" s="15" t="s">
        <v>33</v>
      </c>
      <c r="J2097" s="15" t="s">
        <v>245</v>
      </c>
      <c r="K2097" s="15">
        <v>44</v>
      </c>
      <c r="L2097" s="16">
        <v>85</v>
      </c>
      <c r="M2097" s="17">
        <v>3740</v>
      </c>
      <c r="N2097" s="15" t="s">
        <v>367</v>
      </c>
      <c r="O2097" s="15" t="s">
        <v>19</v>
      </c>
      <c r="Q2097"/>
    </row>
    <row r="2098" spans="1:17" ht="15.6" x14ac:dyDescent="0.3">
      <c r="A2098" s="11">
        <v>10341</v>
      </c>
      <c r="B2098" s="10">
        <v>38315</v>
      </c>
      <c r="C2098" s="10" t="s">
        <v>294</v>
      </c>
      <c r="D2098" s="11" t="s">
        <v>101</v>
      </c>
      <c r="E2098" s="11" t="s">
        <v>102</v>
      </c>
      <c r="F2098" s="11" t="s">
        <v>103</v>
      </c>
      <c r="G2098" s="11" t="s">
        <v>25</v>
      </c>
      <c r="H2098" s="11" t="s">
        <v>32</v>
      </c>
      <c r="I2098" s="11" t="s">
        <v>46</v>
      </c>
      <c r="J2098" s="11" t="s">
        <v>254</v>
      </c>
      <c r="K2098" s="11">
        <v>36</v>
      </c>
      <c r="L2098" s="12">
        <v>90</v>
      </c>
      <c r="M2098" s="13">
        <v>3240</v>
      </c>
      <c r="N2098" s="11" t="s">
        <v>367</v>
      </c>
      <c r="O2098" s="11" t="s">
        <v>19</v>
      </c>
      <c r="Q2098"/>
    </row>
    <row r="2099" spans="1:17" ht="15.6" x14ac:dyDescent="0.3">
      <c r="A2099" s="15">
        <v>10341</v>
      </c>
      <c r="B2099" s="14">
        <v>38315</v>
      </c>
      <c r="C2099" s="14" t="s">
        <v>294</v>
      </c>
      <c r="D2099" s="15" t="s">
        <v>101</v>
      </c>
      <c r="E2099" s="15" t="s">
        <v>102</v>
      </c>
      <c r="F2099" s="15" t="s">
        <v>103</v>
      </c>
      <c r="G2099" s="15" t="s">
        <v>25</v>
      </c>
      <c r="H2099" s="15" t="s">
        <v>32</v>
      </c>
      <c r="I2099" s="15" t="s">
        <v>44</v>
      </c>
      <c r="J2099" s="15" t="s">
        <v>252</v>
      </c>
      <c r="K2099" s="15">
        <v>55</v>
      </c>
      <c r="L2099" s="16">
        <v>55</v>
      </c>
      <c r="M2099" s="17">
        <v>3025</v>
      </c>
      <c r="N2099" s="15" t="s">
        <v>368</v>
      </c>
      <c r="O2099" s="15" t="s">
        <v>19</v>
      </c>
      <c r="Q2099"/>
    </row>
    <row r="2100" spans="1:17" ht="15.6" x14ac:dyDescent="0.3">
      <c r="A2100" s="11">
        <v>10342</v>
      </c>
      <c r="B2100" s="10">
        <v>38315</v>
      </c>
      <c r="C2100" s="10" t="s">
        <v>295</v>
      </c>
      <c r="D2100" s="11" t="s">
        <v>104</v>
      </c>
      <c r="E2100" s="11" t="s">
        <v>105</v>
      </c>
      <c r="F2100" s="11" t="s">
        <v>106</v>
      </c>
      <c r="G2100" s="11" t="s">
        <v>107</v>
      </c>
      <c r="H2100" s="11" t="s">
        <v>32</v>
      </c>
      <c r="I2100" s="11" t="s">
        <v>46</v>
      </c>
      <c r="J2100" s="11" t="s">
        <v>254</v>
      </c>
      <c r="K2100" s="11">
        <v>40</v>
      </c>
      <c r="L2100" s="12">
        <v>90</v>
      </c>
      <c r="M2100" s="13">
        <v>3600</v>
      </c>
      <c r="N2100" s="11" t="s">
        <v>367</v>
      </c>
      <c r="O2100" s="11" t="s">
        <v>19</v>
      </c>
      <c r="Q2100"/>
    </row>
    <row r="2101" spans="1:17" ht="15.6" x14ac:dyDescent="0.3">
      <c r="A2101" s="15">
        <v>10343</v>
      </c>
      <c r="B2101" s="14">
        <v>38315</v>
      </c>
      <c r="C2101" s="14" t="s">
        <v>296</v>
      </c>
      <c r="D2101" s="15" t="s">
        <v>109</v>
      </c>
      <c r="E2101" s="15" t="s">
        <v>110</v>
      </c>
      <c r="F2101" s="15" t="s">
        <v>92</v>
      </c>
      <c r="G2101" s="15" t="s">
        <v>25</v>
      </c>
      <c r="H2101" s="15" t="s">
        <v>32</v>
      </c>
      <c r="I2101" s="15" t="s">
        <v>33</v>
      </c>
      <c r="J2101" s="15" t="s">
        <v>245</v>
      </c>
      <c r="K2101" s="15">
        <v>36</v>
      </c>
      <c r="L2101" s="16">
        <v>85</v>
      </c>
      <c r="M2101" s="17">
        <v>3060</v>
      </c>
      <c r="N2101" s="15" t="s">
        <v>367</v>
      </c>
      <c r="O2101" s="15" t="s">
        <v>19</v>
      </c>
      <c r="Q2101"/>
    </row>
    <row r="2102" spans="1:17" ht="15.6" x14ac:dyDescent="0.3">
      <c r="A2102" s="11">
        <v>10342</v>
      </c>
      <c r="B2102" s="10">
        <v>38315</v>
      </c>
      <c r="C2102" s="10" t="s">
        <v>295</v>
      </c>
      <c r="D2102" s="11" t="s">
        <v>104</v>
      </c>
      <c r="E2102" s="11" t="s">
        <v>105</v>
      </c>
      <c r="F2102" s="11" t="s">
        <v>106</v>
      </c>
      <c r="G2102" s="11" t="s">
        <v>107</v>
      </c>
      <c r="H2102" s="11" t="s">
        <v>32</v>
      </c>
      <c r="I2102" s="11" t="s">
        <v>44</v>
      </c>
      <c r="J2102" s="11" t="s">
        <v>252</v>
      </c>
      <c r="K2102" s="11">
        <v>55</v>
      </c>
      <c r="L2102" s="12">
        <v>55</v>
      </c>
      <c r="M2102" s="13">
        <v>3025</v>
      </c>
      <c r="N2102" s="11" t="s">
        <v>368</v>
      </c>
      <c r="O2102" s="11" t="s">
        <v>19</v>
      </c>
      <c r="Q2102"/>
    </row>
    <row r="2103" spans="1:17" ht="15.6" x14ac:dyDescent="0.3">
      <c r="A2103" s="15">
        <v>10342</v>
      </c>
      <c r="B2103" s="14">
        <v>38315</v>
      </c>
      <c r="C2103" s="14" t="s">
        <v>295</v>
      </c>
      <c r="D2103" s="15" t="s">
        <v>104</v>
      </c>
      <c r="E2103" s="15" t="s">
        <v>105</v>
      </c>
      <c r="F2103" s="15" t="s">
        <v>106</v>
      </c>
      <c r="G2103" s="15" t="s">
        <v>107</v>
      </c>
      <c r="H2103" s="15" t="s">
        <v>32</v>
      </c>
      <c r="I2103" s="15" t="s">
        <v>44</v>
      </c>
      <c r="J2103" s="15" t="s">
        <v>252</v>
      </c>
      <c r="K2103" s="15">
        <v>22</v>
      </c>
      <c r="L2103" s="16">
        <v>55</v>
      </c>
      <c r="M2103" s="17">
        <v>1210</v>
      </c>
      <c r="N2103" s="15" t="s">
        <v>367</v>
      </c>
      <c r="O2103" s="15" t="s">
        <v>19</v>
      </c>
      <c r="Q2103"/>
    </row>
    <row r="2104" spans="1:17" ht="15.6" x14ac:dyDescent="0.3">
      <c r="A2104" s="11">
        <v>10343</v>
      </c>
      <c r="B2104" s="10">
        <v>38315</v>
      </c>
      <c r="C2104" s="10" t="s">
        <v>296</v>
      </c>
      <c r="D2104" s="11" t="s">
        <v>109</v>
      </c>
      <c r="E2104" s="11" t="s">
        <v>110</v>
      </c>
      <c r="F2104" s="11" t="s">
        <v>92</v>
      </c>
      <c r="G2104" s="11" t="s">
        <v>25</v>
      </c>
      <c r="H2104" s="11" t="s">
        <v>32</v>
      </c>
      <c r="I2104" s="11" t="s">
        <v>34</v>
      </c>
      <c r="J2104" s="11" t="s">
        <v>246</v>
      </c>
      <c r="K2104" s="11">
        <v>25</v>
      </c>
      <c r="L2104" s="12">
        <v>80</v>
      </c>
      <c r="M2104" s="13">
        <v>2000</v>
      </c>
      <c r="N2104" s="11" t="s">
        <v>367</v>
      </c>
      <c r="O2104" s="11" t="s">
        <v>19</v>
      </c>
      <c r="Q2104"/>
    </row>
    <row r="2105" spans="1:17" ht="15.6" x14ac:dyDescent="0.3">
      <c r="A2105" s="15">
        <v>10342</v>
      </c>
      <c r="B2105" s="14">
        <v>38315</v>
      </c>
      <c r="C2105" s="14" t="s">
        <v>295</v>
      </c>
      <c r="D2105" s="15" t="s">
        <v>104</v>
      </c>
      <c r="E2105" s="15" t="s">
        <v>105</v>
      </c>
      <c r="F2105" s="15" t="s">
        <v>106</v>
      </c>
      <c r="G2105" s="15" t="s">
        <v>107</v>
      </c>
      <c r="H2105" s="15" t="s">
        <v>32</v>
      </c>
      <c r="I2105" s="15" t="s">
        <v>46</v>
      </c>
      <c r="J2105" s="15" t="s">
        <v>254</v>
      </c>
      <c r="K2105" s="15">
        <v>30</v>
      </c>
      <c r="L2105" s="16">
        <v>90</v>
      </c>
      <c r="M2105" s="17">
        <v>2700</v>
      </c>
      <c r="N2105" s="15" t="s">
        <v>367</v>
      </c>
      <c r="O2105" s="15" t="s">
        <v>19</v>
      </c>
      <c r="Q2105"/>
    </row>
    <row r="2106" spans="1:17" ht="15.6" x14ac:dyDescent="0.3">
      <c r="A2106" s="11">
        <v>10342</v>
      </c>
      <c r="B2106" s="10">
        <v>38315</v>
      </c>
      <c r="C2106" s="10" t="s">
        <v>295</v>
      </c>
      <c r="D2106" s="11" t="s">
        <v>104</v>
      </c>
      <c r="E2106" s="11" t="s">
        <v>105</v>
      </c>
      <c r="F2106" s="11" t="s">
        <v>106</v>
      </c>
      <c r="G2106" s="11" t="s">
        <v>107</v>
      </c>
      <c r="H2106" s="11" t="s">
        <v>32</v>
      </c>
      <c r="I2106" s="11" t="s">
        <v>45</v>
      </c>
      <c r="J2106" s="11" t="s">
        <v>253</v>
      </c>
      <c r="K2106" s="11">
        <v>25</v>
      </c>
      <c r="L2106" s="12">
        <v>35</v>
      </c>
      <c r="M2106" s="13">
        <v>875</v>
      </c>
      <c r="N2106" s="11" t="s">
        <v>367</v>
      </c>
      <c r="O2106" s="11" t="s">
        <v>19</v>
      </c>
      <c r="Q2106"/>
    </row>
    <row r="2107" spans="1:17" ht="15.6" x14ac:dyDescent="0.3">
      <c r="A2107" s="15">
        <v>10342</v>
      </c>
      <c r="B2107" s="14">
        <v>38315</v>
      </c>
      <c r="C2107" s="14" t="s">
        <v>295</v>
      </c>
      <c r="D2107" s="15" t="s">
        <v>104</v>
      </c>
      <c r="E2107" s="15" t="s">
        <v>105</v>
      </c>
      <c r="F2107" s="15" t="s">
        <v>106</v>
      </c>
      <c r="G2107" s="15" t="s">
        <v>107</v>
      </c>
      <c r="H2107" s="15" t="s">
        <v>32</v>
      </c>
      <c r="I2107" s="15" t="s">
        <v>45</v>
      </c>
      <c r="J2107" s="15" t="s">
        <v>253</v>
      </c>
      <c r="K2107" s="15">
        <v>55</v>
      </c>
      <c r="L2107" s="16">
        <v>35</v>
      </c>
      <c r="M2107" s="17">
        <v>1925</v>
      </c>
      <c r="N2107" s="15" t="s">
        <v>368</v>
      </c>
      <c r="O2107" s="15" t="s">
        <v>19</v>
      </c>
      <c r="Q2107"/>
    </row>
    <row r="2108" spans="1:17" ht="15.6" x14ac:dyDescent="0.3">
      <c r="A2108" s="11">
        <v>10343</v>
      </c>
      <c r="B2108" s="10">
        <v>38315</v>
      </c>
      <c r="C2108" s="10" t="s">
        <v>296</v>
      </c>
      <c r="D2108" s="11" t="s">
        <v>109</v>
      </c>
      <c r="E2108" s="11" t="s">
        <v>110</v>
      </c>
      <c r="F2108" s="11" t="s">
        <v>92</v>
      </c>
      <c r="G2108" s="11" t="s">
        <v>25</v>
      </c>
      <c r="H2108" s="11" t="s">
        <v>32</v>
      </c>
      <c r="I2108" s="11" t="s">
        <v>44</v>
      </c>
      <c r="J2108" s="11" t="s">
        <v>252</v>
      </c>
      <c r="K2108" s="11">
        <v>44</v>
      </c>
      <c r="L2108" s="12">
        <v>55</v>
      </c>
      <c r="M2108" s="13">
        <v>2420</v>
      </c>
      <c r="N2108" s="11" t="s">
        <v>367</v>
      </c>
      <c r="O2108" s="11" t="s">
        <v>19</v>
      </c>
      <c r="Q2108"/>
    </row>
    <row r="2109" spans="1:17" ht="15.6" x14ac:dyDescent="0.3">
      <c r="A2109" s="15">
        <v>10342</v>
      </c>
      <c r="B2109" s="14">
        <v>38315</v>
      </c>
      <c r="C2109" s="14" t="s">
        <v>295</v>
      </c>
      <c r="D2109" s="15" t="s">
        <v>104</v>
      </c>
      <c r="E2109" s="15" t="s">
        <v>105</v>
      </c>
      <c r="F2109" s="15" t="s">
        <v>106</v>
      </c>
      <c r="G2109" s="15" t="s">
        <v>107</v>
      </c>
      <c r="H2109" s="15" t="s">
        <v>68</v>
      </c>
      <c r="I2109" s="15" t="s">
        <v>76</v>
      </c>
      <c r="J2109" s="15" t="s">
        <v>269</v>
      </c>
      <c r="K2109" s="15">
        <v>26</v>
      </c>
      <c r="L2109" s="16">
        <v>30</v>
      </c>
      <c r="M2109" s="17">
        <v>780</v>
      </c>
      <c r="N2109" s="15" t="s">
        <v>367</v>
      </c>
      <c r="O2109" s="15" t="s">
        <v>19</v>
      </c>
      <c r="Q2109"/>
    </row>
    <row r="2110" spans="1:17" ht="15.6" x14ac:dyDescent="0.3">
      <c r="A2110" s="11">
        <v>10342</v>
      </c>
      <c r="B2110" s="10">
        <v>38315</v>
      </c>
      <c r="C2110" s="10" t="s">
        <v>295</v>
      </c>
      <c r="D2110" s="11" t="s">
        <v>104</v>
      </c>
      <c r="E2110" s="11" t="s">
        <v>105</v>
      </c>
      <c r="F2110" s="11" t="s">
        <v>106</v>
      </c>
      <c r="G2110" s="11" t="s">
        <v>107</v>
      </c>
      <c r="H2110" s="11" t="s">
        <v>32</v>
      </c>
      <c r="I2110" s="11" t="s">
        <v>33</v>
      </c>
      <c r="J2110" s="11" t="s">
        <v>245</v>
      </c>
      <c r="K2110" s="11">
        <v>38</v>
      </c>
      <c r="L2110" s="12">
        <v>85</v>
      </c>
      <c r="M2110" s="13">
        <v>3230</v>
      </c>
      <c r="N2110" s="11" t="s">
        <v>367</v>
      </c>
      <c r="O2110" s="11" t="s">
        <v>19</v>
      </c>
      <c r="Q2110"/>
    </row>
    <row r="2111" spans="1:17" ht="15.6" x14ac:dyDescent="0.3">
      <c r="A2111" s="15">
        <v>10343</v>
      </c>
      <c r="B2111" s="14">
        <v>38315</v>
      </c>
      <c r="C2111" s="14" t="s">
        <v>296</v>
      </c>
      <c r="D2111" s="15" t="s">
        <v>109</v>
      </c>
      <c r="E2111" s="15" t="s">
        <v>110</v>
      </c>
      <c r="F2111" s="15" t="s">
        <v>92</v>
      </c>
      <c r="G2111" s="15" t="s">
        <v>25</v>
      </c>
      <c r="H2111" s="15" t="s">
        <v>32</v>
      </c>
      <c r="I2111" s="15" t="s">
        <v>46</v>
      </c>
      <c r="J2111" s="15" t="s">
        <v>254</v>
      </c>
      <c r="K2111" s="15">
        <v>27</v>
      </c>
      <c r="L2111" s="16">
        <v>90</v>
      </c>
      <c r="M2111" s="17">
        <v>2430</v>
      </c>
      <c r="N2111" s="15" t="s">
        <v>367</v>
      </c>
      <c r="O2111" s="15" t="s">
        <v>19</v>
      </c>
      <c r="Q2111"/>
    </row>
    <row r="2112" spans="1:17" ht="15.6" x14ac:dyDescent="0.3">
      <c r="A2112" s="11">
        <v>10340</v>
      </c>
      <c r="B2112" s="10">
        <v>38315</v>
      </c>
      <c r="C2112" s="10" t="s">
        <v>293</v>
      </c>
      <c r="D2112" s="11" t="s">
        <v>99</v>
      </c>
      <c r="E2112" s="11" t="s">
        <v>100</v>
      </c>
      <c r="F2112" s="11" t="s">
        <v>43</v>
      </c>
      <c r="G2112" s="11" t="s">
        <v>25</v>
      </c>
      <c r="H2112" s="11" t="s">
        <v>68</v>
      </c>
      <c r="I2112" s="11" t="s">
        <v>69</v>
      </c>
      <c r="J2112" s="11" t="s">
        <v>266</v>
      </c>
      <c r="K2112" s="11">
        <v>55</v>
      </c>
      <c r="L2112" s="12">
        <v>25</v>
      </c>
      <c r="M2112" s="13">
        <v>1375</v>
      </c>
      <c r="N2112" s="11" t="s">
        <v>368</v>
      </c>
      <c r="O2112" s="11" t="s">
        <v>19</v>
      </c>
      <c r="Q2112"/>
    </row>
    <row r="2113" spans="1:17" ht="15.6" x14ac:dyDescent="0.3">
      <c r="A2113" s="15">
        <v>10341</v>
      </c>
      <c r="B2113" s="14">
        <v>38315</v>
      </c>
      <c r="C2113" s="14" t="s">
        <v>294</v>
      </c>
      <c r="D2113" s="15" t="s">
        <v>101</v>
      </c>
      <c r="E2113" s="15" t="s">
        <v>102</v>
      </c>
      <c r="F2113" s="15" t="s">
        <v>103</v>
      </c>
      <c r="G2113" s="15" t="s">
        <v>25</v>
      </c>
      <c r="H2113" s="15" t="s">
        <v>68</v>
      </c>
      <c r="I2113" s="15" t="s">
        <v>69</v>
      </c>
      <c r="J2113" s="15" t="s">
        <v>266</v>
      </c>
      <c r="K2113" s="15">
        <v>32</v>
      </c>
      <c r="L2113" s="16">
        <v>25</v>
      </c>
      <c r="M2113" s="17">
        <v>800</v>
      </c>
      <c r="N2113" s="15" t="s">
        <v>367</v>
      </c>
      <c r="O2113" s="15" t="s">
        <v>19</v>
      </c>
      <c r="Q2113"/>
    </row>
    <row r="2114" spans="1:17" ht="15.6" x14ac:dyDescent="0.3">
      <c r="A2114" s="11">
        <v>10342</v>
      </c>
      <c r="B2114" s="10">
        <v>38315</v>
      </c>
      <c r="C2114" s="10" t="s">
        <v>295</v>
      </c>
      <c r="D2114" s="11" t="s">
        <v>104</v>
      </c>
      <c r="E2114" s="11" t="s">
        <v>105</v>
      </c>
      <c r="F2114" s="11" t="s">
        <v>106</v>
      </c>
      <c r="G2114" s="11" t="s">
        <v>107</v>
      </c>
      <c r="H2114" s="11" t="s">
        <v>32</v>
      </c>
      <c r="I2114" s="11" t="s">
        <v>34</v>
      </c>
      <c r="J2114" s="11" t="s">
        <v>246</v>
      </c>
      <c r="K2114" s="11">
        <v>39</v>
      </c>
      <c r="L2114" s="12">
        <v>80</v>
      </c>
      <c r="M2114" s="13">
        <v>3120</v>
      </c>
      <c r="N2114" s="11" t="s">
        <v>367</v>
      </c>
      <c r="O2114" s="11" t="s">
        <v>19</v>
      </c>
      <c r="Q2114"/>
    </row>
    <row r="2115" spans="1:17" ht="15.6" x14ac:dyDescent="0.3">
      <c r="A2115" s="15">
        <v>10342</v>
      </c>
      <c r="B2115" s="14">
        <v>38315</v>
      </c>
      <c r="C2115" s="14" t="s">
        <v>295</v>
      </c>
      <c r="D2115" s="15" t="s">
        <v>104</v>
      </c>
      <c r="E2115" s="15" t="s">
        <v>105</v>
      </c>
      <c r="F2115" s="15" t="s">
        <v>106</v>
      </c>
      <c r="G2115" s="15" t="s">
        <v>107</v>
      </c>
      <c r="H2115" s="15" t="s">
        <v>32</v>
      </c>
      <c r="I2115" s="15" t="s">
        <v>33</v>
      </c>
      <c r="J2115" s="15" t="s">
        <v>245</v>
      </c>
      <c r="K2115" s="15">
        <v>48</v>
      </c>
      <c r="L2115" s="16">
        <v>85</v>
      </c>
      <c r="M2115" s="17">
        <v>4080</v>
      </c>
      <c r="N2115" s="15" t="s">
        <v>367</v>
      </c>
      <c r="O2115" s="15" t="s">
        <v>19</v>
      </c>
      <c r="Q2115"/>
    </row>
    <row r="2116" spans="1:17" ht="15.6" x14ac:dyDescent="0.3">
      <c r="A2116" s="11">
        <v>10342</v>
      </c>
      <c r="B2116" s="10">
        <v>38315</v>
      </c>
      <c r="C2116" s="10" t="s">
        <v>295</v>
      </c>
      <c r="D2116" s="11" t="s">
        <v>104</v>
      </c>
      <c r="E2116" s="11" t="s">
        <v>105</v>
      </c>
      <c r="F2116" s="11" t="s">
        <v>106</v>
      </c>
      <c r="G2116" s="11" t="s">
        <v>107</v>
      </c>
      <c r="H2116" s="11" t="s">
        <v>32</v>
      </c>
      <c r="I2116" s="11" t="s">
        <v>34</v>
      </c>
      <c r="J2116" s="11" t="s">
        <v>246</v>
      </c>
      <c r="K2116" s="11">
        <v>42</v>
      </c>
      <c r="L2116" s="12">
        <v>80</v>
      </c>
      <c r="M2116" s="13">
        <v>3360</v>
      </c>
      <c r="N2116" s="11" t="s">
        <v>367</v>
      </c>
      <c r="O2116" s="11" t="s">
        <v>19</v>
      </c>
      <c r="Q2116"/>
    </row>
    <row r="2117" spans="1:17" ht="15.6" x14ac:dyDescent="0.3">
      <c r="A2117" s="15">
        <v>10340</v>
      </c>
      <c r="B2117" s="14">
        <v>38315</v>
      </c>
      <c r="C2117" s="14" t="s">
        <v>293</v>
      </c>
      <c r="D2117" s="15" t="s">
        <v>99</v>
      </c>
      <c r="E2117" s="15" t="s">
        <v>100</v>
      </c>
      <c r="F2117" s="15" t="s">
        <v>43</v>
      </c>
      <c r="G2117" s="15" t="s">
        <v>25</v>
      </c>
      <c r="H2117" s="15" t="s">
        <v>61</v>
      </c>
      <c r="I2117" s="15" t="s">
        <v>66</v>
      </c>
      <c r="J2117" s="15" t="s">
        <v>265</v>
      </c>
      <c r="K2117" s="15">
        <v>40</v>
      </c>
      <c r="L2117" s="16">
        <v>35</v>
      </c>
      <c r="M2117" s="17">
        <v>1400</v>
      </c>
      <c r="N2117" s="15" t="s">
        <v>367</v>
      </c>
      <c r="O2117" s="15" t="s">
        <v>19</v>
      </c>
      <c r="Q2117"/>
    </row>
    <row r="2118" spans="1:17" ht="15.6" x14ac:dyDescent="0.3">
      <c r="A2118" s="11">
        <v>10343</v>
      </c>
      <c r="B2118" s="10">
        <v>38315</v>
      </c>
      <c r="C2118" s="10" t="s">
        <v>296</v>
      </c>
      <c r="D2118" s="11" t="s">
        <v>109</v>
      </c>
      <c r="E2118" s="11" t="s">
        <v>110</v>
      </c>
      <c r="F2118" s="11" t="s">
        <v>92</v>
      </c>
      <c r="G2118" s="11" t="s">
        <v>25</v>
      </c>
      <c r="H2118" s="11" t="s">
        <v>32</v>
      </c>
      <c r="I2118" s="11" t="s">
        <v>33</v>
      </c>
      <c r="J2118" s="11" t="s">
        <v>245</v>
      </c>
      <c r="K2118" s="11">
        <v>30</v>
      </c>
      <c r="L2118" s="12">
        <v>85</v>
      </c>
      <c r="M2118" s="13">
        <v>2550</v>
      </c>
      <c r="N2118" s="11" t="s">
        <v>367</v>
      </c>
      <c r="O2118" s="11" t="s">
        <v>19</v>
      </c>
      <c r="Q2118"/>
    </row>
    <row r="2119" spans="1:17" ht="15.6" x14ac:dyDescent="0.3">
      <c r="A2119" s="15">
        <v>10340</v>
      </c>
      <c r="B2119" s="14">
        <v>38315</v>
      </c>
      <c r="C2119" s="14" t="s">
        <v>293</v>
      </c>
      <c r="D2119" s="15" t="s">
        <v>99</v>
      </c>
      <c r="E2119" s="15" t="s">
        <v>100</v>
      </c>
      <c r="F2119" s="15" t="s">
        <v>43</v>
      </c>
      <c r="G2119" s="15" t="s">
        <v>25</v>
      </c>
      <c r="H2119" s="15" t="s">
        <v>68</v>
      </c>
      <c r="I2119" s="15" t="s">
        <v>70</v>
      </c>
      <c r="J2119" s="15" t="s">
        <v>267</v>
      </c>
      <c r="K2119" s="15">
        <v>55</v>
      </c>
      <c r="L2119" s="16">
        <v>50</v>
      </c>
      <c r="M2119" s="17">
        <v>2750</v>
      </c>
      <c r="N2119" s="15" t="s">
        <v>368</v>
      </c>
      <c r="O2119" s="15" t="s">
        <v>19</v>
      </c>
      <c r="Q2119"/>
    </row>
    <row r="2120" spans="1:17" ht="15.6" x14ac:dyDescent="0.3">
      <c r="A2120" s="11">
        <v>10343</v>
      </c>
      <c r="B2120" s="10">
        <v>38315</v>
      </c>
      <c r="C2120" s="10" t="s">
        <v>296</v>
      </c>
      <c r="D2120" s="11" t="s">
        <v>109</v>
      </c>
      <c r="E2120" s="11" t="s">
        <v>110</v>
      </c>
      <c r="F2120" s="11" t="s">
        <v>92</v>
      </c>
      <c r="G2120" s="11" t="s">
        <v>25</v>
      </c>
      <c r="H2120" s="11" t="s">
        <v>68</v>
      </c>
      <c r="I2120" s="11" t="s">
        <v>75</v>
      </c>
      <c r="J2120" s="11" t="s">
        <v>268</v>
      </c>
      <c r="K2120" s="11">
        <v>29</v>
      </c>
      <c r="L2120" s="12">
        <v>35</v>
      </c>
      <c r="M2120" s="13">
        <v>1015</v>
      </c>
      <c r="N2120" s="11" t="s">
        <v>367</v>
      </c>
      <c r="O2120" s="11" t="s">
        <v>19</v>
      </c>
      <c r="Q2120"/>
    </row>
    <row r="2121" spans="1:17" ht="15.6" x14ac:dyDescent="0.3">
      <c r="A2121" s="15">
        <v>10340</v>
      </c>
      <c r="B2121" s="14">
        <v>38315</v>
      </c>
      <c r="C2121" s="14" t="s">
        <v>293</v>
      </c>
      <c r="D2121" s="15" t="s">
        <v>99</v>
      </c>
      <c r="E2121" s="15" t="s">
        <v>100</v>
      </c>
      <c r="F2121" s="15" t="s">
        <v>43</v>
      </c>
      <c r="G2121" s="15" t="s">
        <v>25</v>
      </c>
      <c r="H2121" s="15" t="s">
        <v>17</v>
      </c>
      <c r="I2121" s="15" t="s">
        <v>18</v>
      </c>
      <c r="J2121" s="15" t="s">
        <v>241</v>
      </c>
      <c r="K2121" s="15">
        <v>39</v>
      </c>
      <c r="L2121" s="16">
        <v>30</v>
      </c>
      <c r="M2121" s="17">
        <v>1170</v>
      </c>
      <c r="N2121" s="15" t="s">
        <v>367</v>
      </c>
      <c r="O2121" s="15" t="s">
        <v>19</v>
      </c>
      <c r="Q2121"/>
    </row>
    <row r="2122" spans="1:17" ht="15.6" x14ac:dyDescent="0.3">
      <c r="A2122" s="11">
        <v>10341</v>
      </c>
      <c r="B2122" s="10">
        <v>38315</v>
      </c>
      <c r="C2122" s="10" t="s">
        <v>294</v>
      </c>
      <c r="D2122" s="11" t="s">
        <v>101</v>
      </c>
      <c r="E2122" s="11" t="s">
        <v>102</v>
      </c>
      <c r="F2122" s="11" t="s">
        <v>103</v>
      </c>
      <c r="G2122" s="11" t="s">
        <v>25</v>
      </c>
      <c r="H2122" s="11" t="s">
        <v>68</v>
      </c>
      <c r="I2122" s="11" t="s">
        <v>70</v>
      </c>
      <c r="J2122" s="11" t="s">
        <v>267</v>
      </c>
      <c r="K2122" s="11">
        <v>31</v>
      </c>
      <c r="L2122" s="12">
        <v>50</v>
      </c>
      <c r="M2122" s="13">
        <v>1550</v>
      </c>
      <c r="N2122" s="11" t="s">
        <v>367</v>
      </c>
      <c r="O2122" s="11" t="s">
        <v>19</v>
      </c>
      <c r="Q2122"/>
    </row>
    <row r="2123" spans="1:17" ht="15.6" x14ac:dyDescent="0.3">
      <c r="A2123" s="15">
        <v>10340</v>
      </c>
      <c r="B2123" s="14">
        <v>38315</v>
      </c>
      <c r="C2123" s="14" t="s">
        <v>293</v>
      </c>
      <c r="D2123" s="15" t="s">
        <v>99</v>
      </c>
      <c r="E2123" s="15" t="s">
        <v>100</v>
      </c>
      <c r="F2123" s="15" t="s">
        <v>43</v>
      </c>
      <c r="G2123" s="15" t="s">
        <v>25</v>
      </c>
      <c r="H2123" s="15" t="s">
        <v>17</v>
      </c>
      <c r="I2123" s="15" t="s">
        <v>20</v>
      </c>
      <c r="J2123" s="15" t="s">
        <v>242</v>
      </c>
      <c r="K2123" s="15">
        <v>40</v>
      </c>
      <c r="L2123" s="16">
        <v>48</v>
      </c>
      <c r="M2123" s="17">
        <v>1920</v>
      </c>
      <c r="N2123" s="15" t="s">
        <v>367</v>
      </c>
      <c r="O2123" s="15" t="s">
        <v>19</v>
      </c>
      <c r="Q2123"/>
    </row>
    <row r="2124" spans="1:17" ht="15.6" x14ac:dyDescent="0.3">
      <c r="A2124" s="11">
        <v>10341</v>
      </c>
      <c r="B2124" s="10">
        <v>38315</v>
      </c>
      <c r="C2124" s="10" t="s">
        <v>294</v>
      </c>
      <c r="D2124" s="11" t="s">
        <v>101</v>
      </c>
      <c r="E2124" s="11" t="s">
        <v>102</v>
      </c>
      <c r="F2124" s="11" t="s">
        <v>103</v>
      </c>
      <c r="G2124" s="11" t="s">
        <v>25</v>
      </c>
      <c r="H2124" s="11" t="s">
        <v>68</v>
      </c>
      <c r="I2124" s="11" t="s">
        <v>69</v>
      </c>
      <c r="J2124" s="11" t="s">
        <v>266</v>
      </c>
      <c r="K2124" s="11">
        <v>38</v>
      </c>
      <c r="L2124" s="12">
        <v>25</v>
      </c>
      <c r="M2124" s="13">
        <v>950</v>
      </c>
      <c r="N2124" s="11" t="s">
        <v>367</v>
      </c>
      <c r="O2124" s="11" t="s">
        <v>19</v>
      </c>
      <c r="Q2124"/>
    </row>
    <row r="2125" spans="1:17" ht="15.6" x14ac:dyDescent="0.3">
      <c r="A2125" s="15">
        <v>10340</v>
      </c>
      <c r="B2125" s="14">
        <v>38315</v>
      </c>
      <c r="C2125" s="14" t="s">
        <v>293</v>
      </c>
      <c r="D2125" s="15" t="s">
        <v>99</v>
      </c>
      <c r="E2125" s="15" t="s">
        <v>100</v>
      </c>
      <c r="F2125" s="15" t="s">
        <v>43</v>
      </c>
      <c r="G2125" s="15" t="s">
        <v>25</v>
      </c>
      <c r="H2125" s="15" t="s">
        <v>61</v>
      </c>
      <c r="I2125" s="15" t="s">
        <v>62</v>
      </c>
      <c r="J2125" s="15" t="s">
        <v>261</v>
      </c>
      <c r="K2125" s="15">
        <v>30</v>
      </c>
      <c r="L2125" s="16">
        <v>15</v>
      </c>
      <c r="M2125" s="17">
        <v>450</v>
      </c>
      <c r="N2125" s="15" t="s">
        <v>367</v>
      </c>
      <c r="O2125" s="15" t="s">
        <v>19</v>
      </c>
      <c r="Q2125"/>
    </row>
    <row r="2126" spans="1:17" ht="15.6" x14ac:dyDescent="0.3">
      <c r="A2126" s="11">
        <v>10340</v>
      </c>
      <c r="B2126" s="10">
        <v>38315</v>
      </c>
      <c r="C2126" s="10" t="s">
        <v>293</v>
      </c>
      <c r="D2126" s="11" t="s">
        <v>99</v>
      </c>
      <c r="E2126" s="11" t="s">
        <v>100</v>
      </c>
      <c r="F2126" s="11" t="s">
        <v>43</v>
      </c>
      <c r="G2126" s="11" t="s">
        <v>25</v>
      </c>
      <c r="H2126" s="11" t="s">
        <v>61</v>
      </c>
      <c r="I2126" s="11" t="s">
        <v>64</v>
      </c>
      <c r="J2126" s="11" t="s">
        <v>263</v>
      </c>
      <c r="K2126" s="11">
        <v>55</v>
      </c>
      <c r="L2126" s="12">
        <v>35</v>
      </c>
      <c r="M2126" s="13">
        <v>1925</v>
      </c>
      <c r="N2126" s="11" t="s">
        <v>368</v>
      </c>
      <c r="O2126" s="11" t="s">
        <v>19</v>
      </c>
      <c r="Q2126"/>
    </row>
    <row r="2127" spans="1:17" ht="15.6" x14ac:dyDescent="0.3">
      <c r="A2127" s="15">
        <v>10340</v>
      </c>
      <c r="B2127" s="14">
        <v>38315</v>
      </c>
      <c r="C2127" s="14" t="s">
        <v>293</v>
      </c>
      <c r="D2127" s="15" t="s">
        <v>99</v>
      </c>
      <c r="E2127" s="15" t="s">
        <v>100</v>
      </c>
      <c r="F2127" s="15" t="s">
        <v>43</v>
      </c>
      <c r="G2127" s="15" t="s">
        <v>25</v>
      </c>
      <c r="H2127" s="15" t="s">
        <v>61</v>
      </c>
      <c r="I2127" s="15" t="s">
        <v>63</v>
      </c>
      <c r="J2127" s="15" t="s">
        <v>262</v>
      </c>
      <c r="K2127" s="15">
        <v>29</v>
      </c>
      <c r="L2127" s="16">
        <v>40</v>
      </c>
      <c r="M2127" s="17">
        <v>1160</v>
      </c>
      <c r="N2127" s="15" t="s">
        <v>367</v>
      </c>
      <c r="O2127" s="15" t="s">
        <v>19</v>
      </c>
      <c r="Q2127"/>
    </row>
    <row r="2128" spans="1:17" ht="15.6" x14ac:dyDescent="0.3">
      <c r="A2128" s="11">
        <v>10341</v>
      </c>
      <c r="B2128" s="10">
        <v>38315</v>
      </c>
      <c r="C2128" s="10" t="s">
        <v>294</v>
      </c>
      <c r="D2128" s="11" t="s">
        <v>101</v>
      </c>
      <c r="E2128" s="11" t="s">
        <v>102</v>
      </c>
      <c r="F2128" s="11" t="s">
        <v>103</v>
      </c>
      <c r="G2128" s="11" t="s">
        <v>25</v>
      </c>
      <c r="H2128" s="11" t="s">
        <v>61</v>
      </c>
      <c r="I2128" s="11" t="s">
        <v>62</v>
      </c>
      <c r="J2128" s="11" t="s">
        <v>261</v>
      </c>
      <c r="K2128" s="11">
        <v>34</v>
      </c>
      <c r="L2128" s="12">
        <v>15</v>
      </c>
      <c r="M2128" s="13">
        <v>510</v>
      </c>
      <c r="N2128" s="11" t="s">
        <v>367</v>
      </c>
      <c r="O2128" s="11" t="s">
        <v>19</v>
      </c>
      <c r="Q2128"/>
    </row>
    <row r="2129" spans="1:17" ht="15.6" x14ac:dyDescent="0.3">
      <c r="A2129" s="15">
        <v>10344</v>
      </c>
      <c r="B2129" s="14">
        <v>38316</v>
      </c>
      <c r="C2129" s="14" t="s">
        <v>297</v>
      </c>
      <c r="D2129" s="15" t="s">
        <v>111</v>
      </c>
      <c r="E2129" s="15" t="s">
        <v>112</v>
      </c>
      <c r="F2129" s="15" t="s">
        <v>92</v>
      </c>
      <c r="G2129" s="15" t="s">
        <v>25</v>
      </c>
      <c r="H2129" s="15" t="s">
        <v>17</v>
      </c>
      <c r="I2129" s="15" t="s">
        <v>82</v>
      </c>
      <c r="J2129" s="15" t="s">
        <v>270</v>
      </c>
      <c r="K2129" s="15">
        <v>45</v>
      </c>
      <c r="L2129" s="16">
        <v>75</v>
      </c>
      <c r="M2129" s="17">
        <v>3375</v>
      </c>
      <c r="N2129" s="15" t="s">
        <v>367</v>
      </c>
      <c r="O2129" s="15" t="s">
        <v>19</v>
      </c>
      <c r="Q2129"/>
    </row>
    <row r="2130" spans="1:17" ht="15.6" x14ac:dyDescent="0.3">
      <c r="A2130" s="11">
        <v>10344</v>
      </c>
      <c r="B2130" s="10">
        <v>38316</v>
      </c>
      <c r="C2130" s="10" t="s">
        <v>297</v>
      </c>
      <c r="D2130" s="11" t="s">
        <v>111</v>
      </c>
      <c r="E2130" s="11" t="s">
        <v>112</v>
      </c>
      <c r="F2130" s="11" t="s">
        <v>92</v>
      </c>
      <c r="G2130" s="11" t="s">
        <v>25</v>
      </c>
      <c r="H2130" s="11" t="s">
        <v>17</v>
      </c>
      <c r="I2130" s="11" t="s">
        <v>26</v>
      </c>
      <c r="J2130" s="11" t="s">
        <v>244</v>
      </c>
      <c r="K2130" s="11">
        <v>40</v>
      </c>
      <c r="L2130" s="12">
        <v>60</v>
      </c>
      <c r="M2130" s="13">
        <v>2400</v>
      </c>
      <c r="N2130" s="11" t="s">
        <v>367</v>
      </c>
      <c r="O2130" s="11" t="s">
        <v>19</v>
      </c>
      <c r="Q2130"/>
    </row>
    <row r="2131" spans="1:17" ht="15.6" x14ac:dyDescent="0.3">
      <c r="A2131" s="15">
        <v>10344</v>
      </c>
      <c r="B2131" s="14">
        <v>38316</v>
      </c>
      <c r="C2131" s="14" t="s">
        <v>297</v>
      </c>
      <c r="D2131" s="15" t="s">
        <v>111</v>
      </c>
      <c r="E2131" s="15" t="s">
        <v>112</v>
      </c>
      <c r="F2131" s="15" t="s">
        <v>92</v>
      </c>
      <c r="G2131" s="15" t="s">
        <v>25</v>
      </c>
      <c r="H2131" s="15" t="s">
        <v>17</v>
      </c>
      <c r="I2131" s="15" t="s">
        <v>26</v>
      </c>
      <c r="J2131" s="15" t="s">
        <v>244</v>
      </c>
      <c r="K2131" s="15">
        <v>30</v>
      </c>
      <c r="L2131" s="16">
        <v>60</v>
      </c>
      <c r="M2131" s="17">
        <v>1800</v>
      </c>
      <c r="N2131" s="15" t="s">
        <v>367</v>
      </c>
      <c r="O2131" s="15" t="s">
        <v>19</v>
      </c>
      <c r="Q2131"/>
    </row>
    <row r="2132" spans="1:17" ht="15.6" x14ac:dyDescent="0.3">
      <c r="A2132" s="11">
        <v>10344</v>
      </c>
      <c r="B2132" s="10">
        <v>38316</v>
      </c>
      <c r="C2132" s="10" t="s">
        <v>297</v>
      </c>
      <c r="D2132" s="11" t="s">
        <v>111</v>
      </c>
      <c r="E2132" s="11" t="s">
        <v>112</v>
      </c>
      <c r="F2132" s="11" t="s">
        <v>92</v>
      </c>
      <c r="G2132" s="11" t="s">
        <v>25</v>
      </c>
      <c r="H2132" s="11" t="s">
        <v>17</v>
      </c>
      <c r="I2132" s="11" t="s">
        <v>20</v>
      </c>
      <c r="J2132" s="11" t="s">
        <v>242</v>
      </c>
      <c r="K2132" s="11">
        <v>21</v>
      </c>
      <c r="L2132" s="12">
        <v>48</v>
      </c>
      <c r="M2132" s="13">
        <v>1008</v>
      </c>
      <c r="N2132" s="11" t="s">
        <v>367</v>
      </c>
      <c r="O2132" s="11" t="s">
        <v>19</v>
      </c>
      <c r="Q2132"/>
    </row>
    <row r="2133" spans="1:17" ht="15.6" x14ac:dyDescent="0.3">
      <c r="A2133" s="15">
        <v>10344</v>
      </c>
      <c r="B2133" s="14">
        <v>38316</v>
      </c>
      <c r="C2133" s="14" t="s">
        <v>297</v>
      </c>
      <c r="D2133" s="15" t="s">
        <v>111</v>
      </c>
      <c r="E2133" s="15" t="s">
        <v>112</v>
      </c>
      <c r="F2133" s="15" t="s">
        <v>92</v>
      </c>
      <c r="G2133" s="15" t="s">
        <v>25</v>
      </c>
      <c r="H2133" s="15" t="s">
        <v>32</v>
      </c>
      <c r="I2133" s="15" t="s">
        <v>34</v>
      </c>
      <c r="J2133" s="15" t="s">
        <v>246</v>
      </c>
      <c r="K2133" s="15">
        <v>26</v>
      </c>
      <c r="L2133" s="16">
        <v>80</v>
      </c>
      <c r="M2133" s="17">
        <v>2080</v>
      </c>
      <c r="N2133" s="15" t="s">
        <v>367</v>
      </c>
      <c r="O2133" s="15" t="s">
        <v>19</v>
      </c>
      <c r="Q2133"/>
    </row>
    <row r="2134" spans="1:17" ht="15.6" x14ac:dyDescent="0.3">
      <c r="A2134" s="11">
        <v>10344</v>
      </c>
      <c r="B2134" s="10">
        <v>38316</v>
      </c>
      <c r="C2134" s="10" t="s">
        <v>297</v>
      </c>
      <c r="D2134" s="11" t="s">
        <v>111</v>
      </c>
      <c r="E2134" s="11" t="s">
        <v>112</v>
      </c>
      <c r="F2134" s="11" t="s">
        <v>92</v>
      </c>
      <c r="G2134" s="11" t="s">
        <v>25</v>
      </c>
      <c r="H2134" s="11" t="s">
        <v>32</v>
      </c>
      <c r="I2134" s="11" t="s">
        <v>34</v>
      </c>
      <c r="J2134" s="11" t="s">
        <v>246</v>
      </c>
      <c r="K2134" s="11">
        <v>29</v>
      </c>
      <c r="L2134" s="12">
        <v>80</v>
      </c>
      <c r="M2134" s="13">
        <v>2320</v>
      </c>
      <c r="N2134" s="11" t="s">
        <v>367</v>
      </c>
      <c r="O2134" s="11" t="s">
        <v>19</v>
      </c>
      <c r="Q2134"/>
    </row>
    <row r="2135" spans="1:17" ht="15.6" x14ac:dyDescent="0.3">
      <c r="A2135" s="15">
        <v>10344</v>
      </c>
      <c r="B2135" s="14">
        <v>38316</v>
      </c>
      <c r="C2135" s="14" t="s">
        <v>297</v>
      </c>
      <c r="D2135" s="15" t="s">
        <v>111</v>
      </c>
      <c r="E2135" s="15" t="s">
        <v>112</v>
      </c>
      <c r="F2135" s="15" t="s">
        <v>92</v>
      </c>
      <c r="G2135" s="15" t="s">
        <v>25</v>
      </c>
      <c r="H2135" s="15" t="s">
        <v>17</v>
      </c>
      <c r="I2135" s="15" t="s">
        <v>20</v>
      </c>
      <c r="J2135" s="15" t="s">
        <v>242</v>
      </c>
      <c r="K2135" s="15">
        <v>20</v>
      </c>
      <c r="L2135" s="16">
        <v>48</v>
      </c>
      <c r="M2135" s="17">
        <v>960</v>
      </c>
      <c r="N2135" s="15" t="s">
        <v>367</v>
      </c>
      <c r="O2135" s="15" t="s">
        <v>19</v>
      </c>
      <c r="Q2135"/>
    </row>
    <row r="2136" spans="1:17" ht="15.6" x14ac:dyDescent="0.3">
      <c r="A2136" s="11">
        <v>10345</v>
      </c>
      <c r="B2136" s="10">
        <v>38316</v>
      </c>
      <c r="C2136" s="10" t="s">
        <v>298</v>
      </c>
      <c r="D2136" s="11" t="s">
        <v>113</v>
      </c>
      <c r="E2136" s="11" t="s">
        <v>114</v>
      </c>
      <c r="F2136" s="11" t="s">
        <v>92</v>
      </c>
      <c r="G2136" s="11" t="s">
        <v>25</v>
      </c>
      <c r="H2136" s="11" t="s">
        <v>17</v>
      </c>
      <c r="I2136" s="11" t="s">
        <v>20</v>
      </c>
      <c r="J2136" s="11" t="s">
        <v>242</v>
      </c>
      <c r="K2136" s="11">
        <v>43</v>
      </c>
      <c r="L2136" s="12">
        <v>48</v>
      </c>
      <c r="M2136" s="13">
        <v>2064</v>
      </c>
      <c r="N2136" s="11" t="s">
        <v>367</v>
      </c>
      <c r="O2136" s="11" t="s">
        <v>19</v>
      </c>
      <c r="Q2136"/>
    </row>
    <row r="2137" spans="1:17" ht="15.6" x14ac:dyDescent="0.3">
      <c r="A2137" s="15">
        <v>10347</v>
      </c>
      <c r="B2137" s="14">
        <v>38320</v>
      </c>
      <c r="C2137" s="14" t="s">
        <v>295</v>
      </c>
      <c r="D2137" s="15" t="s">
        <v>104</v>
      </c>
      <c r="E2137" s="15" t="s">
        <v>105</v>
      </c>
      <c r="F2137" s="15" t="s">
        <v>106</v>
      </c>
      <c r="G2137" s="15" t="s">
        <v>107</v>
      </c>
      <c r="H2137" s="15" t="s">
        <v>32</v>
      </c>
      <c r="I2137" s="15" t="s">
        <v>45</v>
      </c>
      <c r="J2137" s="15" t="s">
        <v>253</v>
      </c>
      <c r="K2137" s="15">
        <v>30</v>
      </c>
      <c r="L2137" s="16">
        <v>35</v>
      </c>
      <c r="M2137" s="17">
        <v>1050</v>
      </c>
      <c r="N2137" s="15" t="s">
        <v>367</v>
      </c>
      <c r="O2137" s="15" t="s">
        <v>19</v>
      </c>
      <c r="Q2137"/>
    </row>
    <row r="2138" spans="1:17" ht="15.6" x14ac:dyDescent="0.3">
      <c r="A2138" s="11">
        <v>10347</v>
      </c>
      <c r="B2138" s="10">
        <v>38320</v>
      </c>
      <c r="C2138" s="10" t="s">
        <v>295</v>
      </c>
      <c r="D2138" s="11" t="s">
        <v>104</v>
      </c>
      <c r="E2138" s="11" t="s">
        <v>105</v>
      </c>
      <c r="F2138" s="11" t="s">
        <v>106</v>
      </c>
      <c r="G2138" s="11" t="s">
        <v>107</v>
      </c>
      <c r="H2138" s="11" t="s">
        <v>32</v>
      </c>
      <c r="I2138" s="11" t="s">
        <v>34</v>
      </c>
      <c r="J2138" s="11" t="s">
        <v>246</v>
      </c>
      <c r="K2138" s="11">
        <v>27</v>
      </c>
      <c r="L2138" s="12">
        <v>80</v>
      </c>
      <c r="M2138" s="13">
        <v>2160</v>
      </c>
      <c r="N2138" s="11" t="s">
        <v>367</v>
      </c>
      <c r="O2138" s="11" t="s">
        <v>19</v>
      </c>
      <c r="Q2138"/>
    </row>
    <row r="2139" spans="1:17" ht="15.6" x14ac:dyDescent="0.3">
      <c r="A2139" s="15">
        <v>10347</v>
      </c>
      <c r="B2139" s="14">
        <v>38320</v>
      </c>
      <c r="C2139" s="14" t="s">
        <v>295</v>
      </c>
      <c r="D2139" s="15" t="s">
        <v>104</v>
      </c>
      <c r="E2139" s="15" t="s">
        <v>105</v>
      </c>
      <c r="F2139" s="15" t="s">
        <v>106</v>
      </c>
      <c r="G2139" s="15" t="s">
        <v>107</v>
      </c>
      <c r="H2139" s="15" t="s">
        <v>35</v>
      </c>
      <c r="I2139" s="15" t="s">
        <v>38</v>
      </c>
      <c r="J2139" s="15" t="s">
        <v>249</v>
      </c>
      <c r="K2139" s="15">
        <v>29</v>
      </c>
      <c r="L2139" s="16">
        <v>20</v>
      </c>
      <c r="M2139" s="17">
        <v>580</v>
      </c>
      <c r="N2139" s="15" t="s">
        <v>367</v>
      </c>
      <c r="O2139" s="15" t="s">
        <v>19</v>
      </c>
      <c r="Q2139"/>
    </row>
    <row r="2140" spans="1:17" ht="15.6" x14ac:dyDescent="0.3">
      <c r="A2140" s="11">
        <v>10347</v>
      </c>
      <c r="B2140" s="10">
        <v>38320</v>
      </c>
      <c r="C2140" s="10" t="s">
        <v>295</v>
      </c>
      <c r="D2140" s="11" t="s">
        <v>104</v>
      </c>
      <c r="E2140" s="11" t="s">
        <v>105</v>
      </c>
      <c r="F2140" s="11" t="s">
        <v>106</v>
      </c>
      <c r="G2140" s="11" t="s">
        <v>107</v>
      </c>
      <c r="H2140" s="11" t="s">
        <v>35</v>
      </c>
      <c r="I2140" s="11" t="s">
        <v>39</v>
      </c>
      <c r="J2140" s="11" t="s">
        <v>250</v>
      </c>
      <c r="K2140" s="11">
        <v>42</v>
      </c>
      <c r="L2140" s="12">
        <v>20</v>
      </c>
      <c r="M2140" s="13">
        <v>840</v>
      </c>
      <c r="N2140" s="11" t="s">
        <v>367</v>
      </c>
      <c r="O2140" s="11" t="s">
        <v>19</v>
      </c>
      <c r="Q2140"/>
    </row>
    <row r="2141" spans="1:17" ht="15.6" x14ac:dyDescent="0.3">
      <c r="A2141" s="15">
        <v>10346</v>
      </c>
      <c r="B2141" s="14">
        <v>38320</v>
      </c>
      <c r="C2141" s="14" t="s">
        <v>299</v>
      </c>
      <c r="D2141" s="15" t="s">
        <v>115</v>
      </c>
      <c r="E2141" s="15" t="s">
        <v>116</v>
      </c>
      <c r="F2141" s="15" t="s">
        <v>15</v>
      </c>
      <c r="G2141" s="15" t="s">
        <v>16</v>
      </c>
      <c r="H2141" s="15" t="s">
        <v>17</v>
      </c>
      <c r="I2141" s="15" t="s">
        <v>52</v>
      </c>
      <c r="J2141" s="15" t="s">
        <v>256</v>
      </c>
      <c r="K2141" s="15">
        <v>42</v>
      </c>
      <c r="L2141" s="16">
        <v>45</v>
      </c>
      <c r="M2141" s="17">
        <v>1890</v>
      </c>
      <c r="N2141" s="15" t="s">
        <v>367</v>
      </c>
      <c r="O2141" s="15" t="s">
        <v>19</v>
      </c>
      <c r="Q2141"/>
    </row>
    <row r="2142" spans="1:17" ht="15.6" x14ac:dyDescent="0.3">
      <c r="A2142" s="11">
        <v>10347</v>
      </c>
      <c r="B2142" s="10">
        <v>38320</v>
      </c>
      <c r="C2142" s="10" t="s">
        <v>295</v>
      </c>
      <c r="D2142" s="11" t="s">
        <v>104</v>
      </c>
      <c r="E2142" s="11" t="s">
        <v>105</v>
      </c>
      <c r="F2142" s="11" t="s">
        <v>106</v>
      </c>
      <c r="G2142" s="11" t="s">
        <v>107</v>
      </c>
      <c r="H2142" s="11" t="s">
        <v>17</v>
      </c>
      <c r="I2142" s="11" t="s">
        <v>20</v>
      </c>
      <c r="J2142" s="11" t="s">
        <v>242</v>
      </c>
      <c r="K2142" s="11">
        <v>21</v>
      </c>
      <c r="L2142" s="12">
        <v>48</v>
      </c>
      <c r="M2142" s="13">
        <v>1008</v>
      </c>
      <c r="N2142" s="11" t="s">
        <v>367</v>
      </c>
      <c r="O2142" s="11" t="s">
        <v>19</v>
      </c>
      <c r="Q2142"/>
    </row>
    <row r="2143" spans="1:17" ht="15.6" x14ac:dyDescent="0.3">
      <c r="A2143" s="15">
        <v>10347</v>
      </c>
      <c r="B2143" s="14">
        <v>38320</v>
      </c>
      <c r="C2143" s="14" t="s">
        <v>295</v>
      </c>
      <c r="D2143" s="15" t="s">
        <v>104</v>
      </c>
      <c r="E2143" s="15" t="s">
        <v>105</v>
      </c>
      <c r="F2143" s="15" t="s">
        <v>106</v>
      </c>
      <c r="G2143" s="15" t="s">
        <v>107</v>
      </c>
      <c r="H2143" s="15" t="s">
        <v>35</v>
      </c>
      <c r="I2143" s="15" t="s">
        <v>39</v>
      </c>
      <c r="J2143" s="15" t="s">
        <v>250</v>
      </c>
      <c r="K2143" s="15">
        <v>50</v>
      </c>
      <c r="L2143" s="16">
        <v>20</v>
      </c>
      <c r="M2143" s="17">
        <v>1000</v>
      </c>
      <c r="N2143" s="15" t="s">
        <v>368</v>
      </c>
      <c r="O2143" s="15" t="s">
        <v>19</v>
      </c>
      <c r="Q2143"/>
    </row>
    <row r="2144" spans="1:17" ht="15.6" x14ac:dyDescent="0.3">
      <c r="A2144" s="11">
        <v>10347</v>
      </c>
      <c r="B2144" s="10">
        <v>38320</v>
      </c>
      <c r="C2144" s="10" t="s">
        <v>295</v>
      </c>
      <c r="D2144" s="11" t="s">
        <v>104</v>
      </c>
      <c r="E2144" s="11" t="s">
        <v>105</v>
      </c>
      <c r="F2144" s="11" t="s">
        <v>106</v>
      </c>
      <c r="G2144" s="11" t="s">
        <v>107</v>
      </c>
      <c r="H2144" s="11" t="s">
        <v>17</v>
      </c>
      <c r="I2144" s="11" t="s">
        <v>20</v>
      </c>
      <c r="J2144" s="11" t="s">
        <v>242</v>
      </c>
      <c r="K2144" s="11">
        <v>21</v>
      </c>
      <c r="L2144" s="12">
        <v>48</v>
      </c>
      <c r="M2144" s="13">
        <v>1008</v>
      </c>
      <c r="N2144" s="11" t="s">
        <v>367</v>
      </c>
      <c r="O2144" s="11" t="s">
        <v>19</v>
      </c>
      <c r="Q2144"/>
    </row>
    <row r="2145" spans="1:17" ht="15.6" x14ac:dyDescent="0.3">
      <c r="A2145" s="15">
        <v>10347</v>
      </c>
      <c r="B2145" s="14">
        <v>38320</v>
      </c>
      <c r="C2145" s="14" t="s">
        <v>295</v>
      </c>
      <c r="D2145" s="15" t="s">
        <v>104</v>
      </c>
      <c r="E2145" s="15" t="s">
        <v>105</v>
      </c>
      <c r="F2145" s="15" t="s">
        <v>106</v>
      </c>
      <c r="G2145" s="15" t="s">
        <v>107</v>
      </c>
      <c r="H2145" s="15" t="s">
        <v>17</v>
      </c>
      <c r="I2145" s="15" t="s">
        <v>20</v>
      </c>
      <c r="J2145" s="15" t="s">
        <v>242</v>
      </c>
      <c r="K2145" s="15">
        <v>48</v>
      </c>
      <c r="L2145" s="16">
        <v>48</v>
      </c>
      <c r="M2145" s="17">
        <v>2304</v>
      </c>
      <c r="N2145" s="15" t="s">
        <v>367</v>
      </c>
      <c r="O2145" s="15" t="s">
        <v>19</v>
      </c>
      <c r="Q2145"/>
    </row>
    <row r="2146" spans="1:17" ht="15.6" x14ac:dyDescent="0.3">
      <c r="A2146" s="11">
        <v>10347</v>
      </c>
      <c r="B2146" s="10">
        <v>38320</v>
      </c>
      <c r="C2146" s="10" t="s">
        <v>295</v>
      </c>
      <c r="D2146" s="11" t="s">
        <v>104</v>
      </c>
      <c r="E2146" s="11" t="s">
        <v>105</v>
      </c>
      <c r="F2146" s="11" t="s">
        <v>106</v>
      </c>
      <c r="G2146" s="11" t="s">
        <v>107</v>
      </c>
      <c r="H2146" s="11" t="s">
        <v>17</v>
      </c>
      <c r="I2146" s="11" t="s">
        <v>20</v>
      </c>
      <c r="J2146" s="11" t="s">
        <v>242</v>
      </c>
      <c r="K2146" s="11">
        <v>34</v>
      </c>
      <c r="L2146" s="12">
        <v>48</v>
      </c>
      <c r="M2146" s="13">
        <v>1632</v>
      </c>
      <c r="N2146" s="11" t="s">
        <v>367</v>
      </c>
      <c r="O2146" s="11" t="s">
        <v>19</v>
      </c>
      <c r="Q2146"/>
    </row>
    <row r="2147" spans="1:17" ht="15.6" x14ac:dyDescent="0.3">
      <c r="A2147" s="15">
        <v>10347</v>
      </c>
      <c r="B2147" s="14">
        <v>38320</v>
      </c>
      <c r="C2147" s="14" t="s">
        <v>295</v>
      </c>
      <c r="D2147" s="15" t="s">
        <v>104</v>
      </c>
      <c r="E2147" s="15" t="s">
        <v>105</v>
      </c>
      <c r="F2147" s="15" t="s">
        <v>106</v>
      </c>
      <c r="G2147" s="15" t="s">
        <v>107</v>
      </c>
      <c r="H2147" s="15" t="s">
        <v>17</v>
      </c>
      <c r="I2147" s="15" t="s">
        <v>20</v>
      </c>
      <c r="J2147" s="15" t="s">
        <v>242</v>
      </c>
      <c r="K2147" s="15">
        <v>45</v>
      </c>
      <c r="L2147" s="16">
        <v>48</v>
      </c>
      <c r="M2147" s="17">
        <v>2160</v>
      </c>
      <c r="N2147" s="15" t="s">
        <v>367</v>
      </c>
      <c r="O2147" s="15" t="s">
        <v>19</v>
      </c>
      <c r="Q2147"/>
    </row>
    <row r="2148" spans="1:17" ht="15.6" x14ac:dyDescent="0.3">
      <c r="A2148" s="11">
        <v>10347</v>
      </c>
      <c r="B2148" s="10">
        <v>38320</v>
      </c>
      <c r="C2148" s="10" t="s">
        <v>295</v>
      </c>
      <c r="D2148" s="11" t="s">
        <v>104</v>
      </c>
      <c r="E2148" s="11" t="s">
        <v>105</v>
      </c>
      <c r="F2148" s="11" t="s">
        <v>106</v>
      </c>
      <c r="G2148" s="11" t="s">
        <v>107</v>
      </c>
      <c r="H2148" s="11" t="s">
        <v>17</v>
      </c>
      <c r="I2148" s="11" t="s">
        <v>18</v>
      </c>
      <c r="J2148" s="11" t="s">
        <v>241</v>
      </c>
      <c r="K2148" s="11">
        <v>26</v>
      </c>
      <c r="L2148" s="12">
        <v>30</v>
      </c>
      <c r="M2148" s="13">
        <v>780</v>
      </c>
      <c r="N2148" s="11" t="s">
        <v>367</v>
      </c>
      <c r="O2148" s="11" t="s">
        <v>19</v>
      </c>
      <c r="Q2148"/>
    </row>
    <row r="2149" spans="1:17" ht="15.6" x14ac:dyDescent="0.3">
      <c r="A2149" s="15">
        <v>10347</v>
      </c>
      <c r="B2149" s="14">
        <v>38320</v>
      </c>
      <c r="C2149" s="14" t="s">
        <v>295</v>
      </c>
      <c r="D2149" s="15" t="s">
        <v>104</v>
      </c>
      <c r="E2149" s="15" t="s">
        <v>105</v>
      </c>
      <c r="F2149" s="15" t="s">
        <v>106</v>
      </c>
      <c r="G2149" s="15" t="s">
        <v>107</v>
      </c>
      <c r="H2149" s="15" t="s">
        <v>35</v>
      </c>
      <c r="I2149" s="15" t="s">
        <v>36</v>
      </c>
      <c r="J2149" s="15" t="s">
        <v>247</v>
      </c>
      <c r="K2149" s="15">
        <v>45</v>
      </c>
      <c r="L2149" s="16">
        <v>30</v>
      </c>
      <c r="M2149" s="17">
        <v>1350</v>
      </c>
      <c r="N2149" s="15" t="s">
        <v>367</v>
      </c>
      <c r="O2149" s="15" t="s">
        <v>19</v>
      </c>
      <c r="Q2149"/>
    </row>
    <row r="2150" spans="1:17" ht="15.6" x14ac:dyDescent="0.3">
      <c r="A2150" s="11">
        <v>10346</v>
      </c>
      <c r="B2150" s="10">
        <v>38320</v>
      </c>
      <c r="C2150" s="10" t="s">
        <v>299</v>
      </c>
      <c r="D2150" s="11" t="s">
        <v>115</v>
      </c>
      <c r="E2150" s="11" t="s">
        <v>116</v>
      </c>
      <c r="F2150" s="11" t="s">
        <v>15</v>
      </c>
      <c r="G2150" s="11" t="s">
        <v>16</v>
      </c>
      <c r="H2150" s="11" t="s">
        <v>32</v>
      </c>
      <c r="I2150" s="11" t="s">
        <v>44</v>
      </c>
      <c r="J2150" s="11" t="s">
        <v>252</v>
      </c>
      <c r="K2150" s="11">
        <v>25</v>
      </c>
      <c r="L2150" s="12">
        <v>55</v>
      </c>
      <c r="M2150" s="13">
        <v>1375</v>
      </c>
      <c r="N2150" s="11" t="s">
        <v>367</v>
      </c>
      <c r="O2150" s="11" t="s">
        <v>19</v>
      </c>
      <c r="Q2150"/>
    </row>
    <row r="2151" spans="1:17" ht="15.6" x14ac:dyDescent="0.3">
      <c r="A2151" s="15">
        <v>10346</v>
      </c>
      <c r="B2151" s="14">
        <v>38320</v>
      </c>
      <c r="C2151" s="14" t="s">
        <v>299</v>
      </c>
      <c r="D2151" s="15" t="s">
        <v>115</v>
      </c>
      <c r="E2151" s="15" t="s">
        <v>116</v>
      </c>
      <c r="F2151" s="15" t="s">
        <v>15</v>
      </c>
      <c r="G2151" s="15" t="s">
        <v>16</v>
      </c>
      <c r="H2151" s="15" t="s">
        <v>32</v>
      </c>
      <c r="I2151" s="15" t="s">
        <v>46</v>
      </c>
      <c r="J2151" s="15" t="s">
        <v>254</v>
      </c>
      <c r="K2151" s="15">
        <v>24</v>
      </c>
      <c r="L2151" s="16">
        <v>90</v>
      </c>
      <c r="M2151" s="17">
        <v>2160</v>
      </c>
      <c r="N2151" s="15" t="s">
        <v>367</v>
      </c>
      <c r="O2151" s="15" t="s">
        <v>19</v>
      </c>
      <c r="Q2151"/>
    </row>
    <row r="2152" spans="1:17" ht="15.6" x14ac:dyDescent="0.3">
      <c r="A2152" s="11">
        <v>10346</v>
      </c>
      <c r="B2152" s="10">
        <v>38320</v>
      </c>
      <c r="C2152" s="10" t="s">
        <v>299</v>
      </c>
      <c r="D2152" s="11" t="s">
        <v>115</v>
      </c>
      <c r="E2152" s="11" t="s">
        <v>116</v>
      </c>
      <c r="F2152" s="11" t="s">
        <v>15</v>
      </c>
      <c r="G2152" s="11" t="s">
        <v>16</v>
      </c>
      <c r="H2152" s="11" t="s">
        <v>32</v>
      </c>
      <c r="I2152" s="11" t="s">
        <v>34</v>
      </c>
      <c r="J2152" s="11" t="s">
        <v>246</v>
      </c>
      <c r="K2152" s="11">
        <v>24</v>
      </c>
      <c r="L2152" s="12">
        <v>80</v>
      </c>
      <c r="M2152" s="13">
        <v>1920</v>
      </c>
      <c r="N2152" s="11" t="s">
        <v>367</v>
      </c>
      <c r="O2152" s="11" t="s">
        <v>19</v>
      </c>
      <c r="Q2152"/>
    </row>
    <row r="2153" spans="1:17" ht="15.6" x14ac:dyDescent="0.3">
      <c r="A2153" s="15">
        <v>10346</v>
      </c>
      <c r="B2153" s="14">
        <v>38320</v>
      </c>
      <c r="C2153" s="14" t="s">
        <v>299</v>
      </c>
      <c r="D2153" s="15" t="s">
        <v>115</v>
      </c>
      <c r="E2153" s="15" t="s">
        <v>116</v>
      </c>
      <c r="F2153" s="15" t="s">
        <v>15</v>
      </c>
      <c r="G2153" s="15" t="s">
        <v>16</v>
      </c>
      <c r="H2153" s="15" t="s">
        <v>32</v>
      </c>
      <c r="I2153" s="15" t="s">
        <v>44</v>
      </c>
      <c r="J2153" s="15" t="s">
        <v>252</v>
      </c>
      <c r="K2153" s="15">
        <v>26</v>
      </c>
      <c r="L2153" s="16">
        <v>55</v>
      </c>
      <c r="M2153" s="17">
        <v>1430</v>
      </c>
      <c r="N2153" s="15" t="s">
        <v>367</v>
      </c>
      <c r="O2153" s="15" t="s">
        <v>19</v>
      </c>
      <c r="Q2153"/>
    </row>
    <row r="2154" spans="1:17" ht="15.6" x14ac:dyDescent="0.3">
      <c r="A2154" s="11">
        <v>10346</v>
      </c>
      <c r="B2154" s="10">
        <v>38320</v>
      </c>
      <c r="C2154" s="10" t="s">
        <v>299</v>
      </c>
      <c r="D2154" s="11" t="s">
        <v>115</v>
      </c>
      <c r="E2154" s="11" t="s">
        <v>116</v>
      </c>
      <c r="F2154" s="11" t="s">
        <v>15</v>
      </c>
      <c r="G2154" s="11" t="s">
        <v>16</v>
      </c>
      <c r="H2154" s="11" t="s">
        <v>17</v>
      </c>
      <c r="I2154" s="11" t="s">
        <v>21</v>
      </c>
      <c r="J2154" s="11" t="s">
        <v>243</v>
      </c>
      <c r="K2154" s="11">
        <v>22</v>
      </c>
      <c r="L2154" s="12">
        <v>110</v>
      </c>
      <c r="M2154" s="13">
        <v>2420</v>
      </c>
      <c r="N2154" s="11" t="s">
        <v>367</v>
      </c>
      <c r="O2154" s="11" t="s">
        <v>19</v>
      </c>
      <c r="Q2154"/>
    </row>
    <row r="2155" spans="1:17" ht="15.6" x14ac:dyDescent="0.3">
      <c r="A2155" s="15">
        <v>10349</v>
      </c>
      <c r="B2155" s="14">
        <v>38322</v>
      </c>
      <c r="C2155" s="14" t="s">
        <v>301</v>
      </c>
      <c r="D2155" s="15" t="s">
        <v>118</v>
      </c>
      <c r="E2155" s="15" t="s">
        <v>28</v>
      </c>
      <c r="F2155" s="15" t="s">
        <v>15</v>
      </c>
      <c r="G2155" s="15" t="s">
        <v>16</v>
      </c>
      <c r="H2155" s="15" t="s">
        <v>32</v>
      </c>
      <c r="I2155" s="15" t="s">
        <v>34</v>
      </c>
      <c r="J2155" s="15" t="s">
        <v>246</v>
      </c>
      <c r="K2155" s="15">
        <v>26</v>
      </c>
      <c r="L2155" s="16">
        <v>80</v>
      </c>
      <c r="M2155" s="17">
        <v>2080</v>
      </c>
      <c r="N2155" s="15" t="s">
        <v>367</v>
      </c>
      <c r="O2155" s="15" t="s">
        <v>19</v>
      </c>
      <c r="Q2155"/>
    </row>
    <row r="2156" spans="1:17" ht="15.6" x14ac:dyDescent="0.3">
      <c r="A2156" s="11">
        <v>10349</v>
      </c>
      <c r="B2156" s="10">
        <v>38322</v>
      </c>
      <c r="C2156" s="10" t="s">
        <v>301</v>
      </c>
      <c r="D2156" s="11" t="s">
        <v>118</v>
      </c>
      <c r="E2156" s="11" t="s">
        <v>28</v>
      </c>
      <c r="F2156" s="11" t="s">
        <v>15</v>
      </c>
      <c r="G2156" s="11" t="s">
        <v>16</v>
      </c>
      <c r="H2156" s="11" t="s">
        <v>35</v>
      </c>
      <c r="I2156" s="11" t="s">
        <v>38</v>
      </c>
      <c r="J2156" s="11" t="s">
        <v>249</v>
      </c>
      <c r="K2156" s="11">
        <v>48</v>
      </c>
      <c r="L2156" s="12">
        <v>20</v>
      </c>
      <c r="M2156" s="13">
        <v>960</v>
      </c>
      <c r="N2156" s="11" t="s">
        <v>367</v>
      </c>
      <c r="O2156" s="11" t="s">
        <v>19</v>
      </c>
      <c r="Q2156"/>
    </row>
    <row r="2157" spans="1:17" ht="15.6" x14ac:dyDescent="0.3">
      <c r="A2157" s="15">
        <v>10349</v>
      </c>
      <c r="B2157" s="14">
        <v>38322</v>
      </c>
      <c r="C2157" s="14" t="s">
        <v>301</v>
      </c>
      <c r="D2157" s="15" t="s">
        <v>118</v>
      </c>
      <c r="E2157" s="15" t="s">
        <v>28</v>
      </c>
      <c r="F2157" s="15" t="s">
        <v>15</v>
      </c>
      <c r="G2157" s="15" t="s">
        <v>16</v>
      </c>
      <c r="H2157" s="15" t="s">
        <v>32</v>
      </c>
      <c r="I2157" s="15" t="s">
        <v>46</v>
      </c>
      <c r="J2157" s="15" t="s">
        <v>254</v>
      </c>
      <c r="K2157" s="15">
        <v>38</v>
      </c>
      <c r="L2157" s="16">
        <v>90</v>
      </c>
      <c r="M2157" s="17">
        <v>3420</v>
      </c>
      <c r="N2157" s="15" t="s">
        <v>367</v>
      </c>
      <c r="O2157" s="15" t="s">
        <v>19</v>
      </c>
      <c r="Q2157"/>
    </row>
    <row r="2158" spans="1:17" ht="15.6" x14ac:dyDescent="0.3">
      <c r="A2158" s="11">
        <v>10349</v>
      </c>
      <c r="B2158" s="10">
        <v>38322</v>
      </c>
      <c r="C2158" s="10" t="s">
        <v>301</v>
      </c>
      <c r="D2158" s="11" t="s">
        <v>118</v>
      </c>
      <c r="E2158" s="11" t="s">
        <v>28</v>
      </c>
      <c r="F2158" s="11" t="s">
        <v>15</v>
      </c>
      <c r="G2158" s="11" t="s">
        <v>16</v>
      </c>
      <c r="H2158" s="11" t="s">
        <v>35</v>
      </c>
      <c r="I2158" s="11" t="s">
        <v>38</v>
      </c>
      <c r="J2158" s="11" t="s">
        <v>249</v>
      </c>
      <c r="K2158" s="11">
        <v>38</v>
      </c>
      <c r="L2158" s="12">
        <v>20</v>
      </c>
      <c r="M2158" s="13">
        <v>760</v>
      </c>
      <c r="N2158" s="11" t="s">
        <v>367</v>
      </c>
      <c r="O2158" s="11" t="s">
        <v>19</v>
      </c>
      <c r="Q2158"/>
    </row>
    <row r="2159" spans="1:17" ht="15.6" x14ac:dyDescent="0.3">
      <c r="A2159" s="15">
        <v>10349</v>
      </c>
      <c r="B2159" s="14">
        <v>38322</v>
      </c>
      <c r="C2159" s="14" t="s">
        <v>301</v>
      </c>
      <c r="D2159" s="15" t="s">
        <v>118</v>
      </c>
      <c r="E2159" s="15" t="s">
        <v>28</v>
      </c>
      <c r="F2159" s="15" t="s">
        <v>15</v>
      </c>
      <c r="G2159" s="15" t="s">
        <v>16</v>
      </c>
      <c r="H2159" s="15" t="s">
        <v>32</v>
      </c>
      <c r="I2159" s="15" t="s">
        <v>34</v>
      </c>
      <c r="J2159" s="15" t="s">
        <v>246</v>
      </c>
      <c r="K2159" s="15">
        <v>48</v>
      </c>
      <c r="L2159" s="16">
        <v>80</v>
      </c>
      <c r="M2159" s="17">
        <v>3840</v>
      </c>
      <c r="N2159" s="15" t="s">
        <v>367</v>
      </c>
      <c r="O2159" s="15" t="s">
        <v>19</v>
      </c>
      <c r="Q2159"/>
    </row>
    <row r="2160" spans="1:17" ht="15.6" x14ac:dyDescent="0.3">
      <c r="A2160" s="11">
        <v>10349</v>
      </c>
      <c r="B2160" s="10">
        <v>38322</v>
      </c>
      <c r="C2160" s="10" t="s">
        <v>301</v>
      </c>
      <c r="D2160" s="11" t="s">
        <v>118</v>
      </c>
      <c r="E2160" s="11" t="s">
        <v>28</v>
      </c>
      <c r="F2160" s="11" t="s">
        <v>15</v>
      </c>
      <c r="G2160" s="11" t="s">
        <v>16</v>
      </c>
      <c r="H2160" s="11" t="s">
        <v>32</v>
      </c>
      <c r="I2160" s="11" t="s">
        <v>33</v>
      </c>
      <c r="J2160" s="11" t="s">
        <v>245</v>
      </c>
      <c r="K2160" s="11">
        <v>34</v>
      </c>
      <c r="L2160" s="12">
        <v>85</v>
      </c>
      <c r="M2160" s="13">
        <v>2890</v>
      </c>
      <c r="N2160" s="11" t="s">
        <v>367</v>
      </c>
      <c r="O2160" s="11" t="s">
        <v>19</v>
      </c>
      <c r="Q2160"/>
    </row>
    <row r="2161" spans="1:17" ht="15.6" x14ac:dyDescent="0.3">
      <c r="A2161" s="15">
        <v>10349</v>
      </c>
      <c r="B2161" s="14">
        <v>38322</v>
      </c>
      <c r="C2161" s="14" t="s">
        <v>301</v>
      </c>
      <c r="D2161" s="15" t="s">
        <v>118</v>
      </c>
      <c r="E2161" s="15" t="s">
        <v>28</v>
      </c>
      <c r="F2161" s="15" t="s">
        <v>15</v>
      </c>
      <c r="G2161" s="15" t="s">
        <v>16</v>
      </c>
      <c r="H2161" s="15" t="s">
        <v>32</v>
      </c>
      <c r="I2161" s="15" t="s">
        <v>46</v>
      </c>
      <c r="J2161" s="15" t="s">
        <v>254</v>
      </c>
      <c r="K2161" s="15">
        <v>48</v>
      </c>
      <c r="L2161" s="16">
        <v>90</v>
      </c>
      <c r="M2161" s="17">
        <v>4320</v>
      </c>
      <c r="N2161" s="15" t="s">
        <v>367</v>
      </c>
      <c r="O2161" s="15" t="s">
        <v>19</v>
      </c>
      <c r="Q2161"/>
    </row>
    <row r="2162" spans="1:17" ht="15.6" x14ac:dyDescent="0.3">
      <c r="A2162" s="11">
        <v>10349</v>
      </c>
      <c r="B2162" s="10">
        <v>38322</v>
      </c>
      <c r="C2162" s="10" t="s">
        <v>301</v>
      </c>
      <c r="D2162" s="11" t="s">
        <v>118</v>
      </c>
      <c r="E2162" s="11" t="s">
        <v>28</v>
      </c>
      <c r="F2162" s="11" t="s">
        <v>15</v>
      </c>
      <c r="G2162" s="11" t="s">
        <v>16</v>
      </c>
      <c r="H2162" s="11" t="s">
        <v>32</v>
      </c>
      <c r="I2162" s="11" t="s">
        <v>46</v>
      </c>
      <c r="J2162" s="11" t="s">
        <v>254</v>
      </c>
      <c r="K2162" s="11">
        <v>36</v>
      </c>
      <c r="L2162" s="12">
        <v>90</v>
      </c>
      <c r="M2162" s="13">
        <v>3240</v>
      </c>
      <c r="N2162" s="11" t="s">
        <v>367</v>
      </c>
      <c r="O2162" s="11" t="s">
        <v>19</v>
      </c>
      <c r="Q2162"/>
    </row>
    <row r="2163" spans="1:17" ht="15.6" x14ac:dyDescent="0.3">
      <c r="A2163" s="15">
        <v>10349</v>
      </c>
      <c r="B2163" s="14">
        <v>38322</v>
      </c>
      <c r="C2163" s="14" t="s">
        <v>301</v>
      </c>
      <c r="D2163" s="15" t="s">
        <v>118</v>
      </c>
      <c r="E2163" s="15" t="s">
        <v>28</v>
      </c>
      <c r="F2163" s="15" t="s">
        <v>15</v>
      </c>
      <c r="G2163" s="15" t="s">
        <v>16</v>
      </c>
      <c r="H2163" s="15" t="s">
        <v>32</v>
      </c>
      <c r="I2163" s="15" t="s">
        <v>34</v>
      </c>
      <c r="J2163" s="15" t="s">
        <v>246</v>
      </c>
      <c r="K2163" s="15">
        <v>23</v>
      </c>
      <c r="L2163" s="16">
        <v>80</v>
      </c>
      <c r="M2163" s="17">
        <v>1840</v>
      </c>
      <c r="N2163" s="15" t="s">
        <v>367</v>
      </c>
      <c r="O2163" s="15" t="s">
        <v>19</v>
      </c>
      <c r="Q2163"/>
    </row>
    <row r="2164" spans="1:17" ht="15.6" x14ac:dyDescent="0.3">
      <c r="A2164" s="11">
        <v>10349</v>
      </c>
      <c r="B2164" s="10">
        <v>38322</v>
      </c>
      <c r="C2164" s="10" t="s">
        <v>301</v>
      </c>
      <c r="D2164" s="11" t="s">
        <v>118</v>
      </c>
      <c r="E2164" s="11" t="s">
        <v>28</v>
      </c>
      <c r="F2164" s="11" t="s">
        <v>15</v>
      </c>
      <c r="G2164" s="11" t="s">
        <v>16</v>
      </c>
      <c r="H2164" s="11" t="s">
        <v>35</v>
      </c>
      <c r="I2164" s="11" t="s">
        <v>38</v>
      </c>
      <c r="J2164" s="11" t="s">
        <v>249</v>
      </c>
      <c r="K2164" s="11">
        <v>33</v>
      </c>
      <c r="L2164" s="12">
        <v>20</v>
      </c>
      <c r="M2164" s="13">
        <v>660</v>
      </c>
      <c r="N2164" s="11" t="s">
        <v>367</v>
      </c>
      <c r="O2164" s="11" t="s">
        <v>19</v>
      </c>
      <c r="Q2164"/>
    </row>
    <row r="2165" spans="1:17" ht="15.6" x14ac:dyDescent="0.3">
      <c r="A2165" s="15">
        <v>10350</v>
      </c>
      <c r="B2165" s="14">
        <v>38323</v>
      </c>
      <c r="C2165" s="14" t="s">
        <v>279</v>
      </c>
      <c r="D2165" s="15" t="s">
        <v>41</v>
      </c>
      <c r="E2165" s="15" t="s">
        <v>42</v>
      </c>
      <c r="F2165" s="15" t="s">
        <v>43</v>
      </c>
      <c r="G2165" s="15" t="s">
        <v>25</v>
      </c>
      <c r="H2165" s="15" t="s">
        <v>32</v>
      </c>
      <c r="I2165" s="15" t="s">
        <v>33</v>
      </c>
      <c r="J2165" s="15" t="s">
        <v>245</v>
      </c>
      <c r="K2165" s="15">
        <v>26</v>
      </c>
      <c r="L2165" s="16">
        <v>85</v>
      </c>
      <c r="M2165" s="17">
        <v>2210</v>
      </c>
      <c r="N2165" s="15" t="s">
        <v>367</v>
      </c>
      <c r="O2165" s="15" t="s">
        <v>19</v>
      </c>
      <c r="Q2165"/>
    </row>
    <row r="2166" spans="1:17" ht="15.6" x14ac:dyDescent="0.3">
      <c r="A2166" s="11">
        <v>10350</v>
      </c>
      <c r="B2166" s="10">
        <v>38323</v>
      </c>
      <c r="C2166" s="10" t="s">
        <v>279</v>
      </c>
      <c r="D2166" s="11" t="s">
        <v>41</v>
      </c>
      <c r="E2166" s="11" t="s">
        <v>42</v>
      </c>
      <c r="F2166" s="11" t="s">
        <v>43</v>
      </c>
      <c r="G2166" s="11" t="s">
        <v>25</v>
      </c>
      <c r="H2166" s="11" t="s">
        <v>54</v>
      </c>
      <c r="I2166" s="11" t="s">
        <v>56</v>
      </c>
      <c r="J2166" s="11" t="s">
        <v>259</v>
      </c>
      <c r="K2166" s="11">
        <v>43</v>
      </c>
      <c r="L2166" s="12">
        <v>250</v>
      </c>
      <c r="M2166" s="13">
        <v>10750</v>
      </c>
      <c r="N2166" s="11" t="s">
        <v>367</v>
      </c>
      <c r="O2166" s="11" t="s">
        <v>19</v>
      </c>
      <c r="Q2166"/>
    </row>
    <row r="2167" spans="1:17" ht="15.6" x14ac:dyDescent="0.3">
      <c r="A2167" s="15">
        <v>10350</v>
      </c>
      <c r="B2167" s="14">
        <v>38323</v>
      </c>
      <c r="C2167" s="14" t="s">
        <v>279</v>
      </c>
      <c r="D2167" s="15" t="s">
        <v>41</v>
      </c>
      <c r="E2167" s="15" t="s">
        <v>42</v>
      </c>
      <c r="F2167" s="15" t="s">
        <v>43</v>
      </c>
      <c r="G2167" s="15" t="s">
        <v>25</v>
      </c>
      <c r="H2167" s="15" t="s">
        <v>17</v>
      </c>
      <c r="I2167" s="15" t="s">
        <v>20</v>
      </c>
      <c r="J2167" s="15" t="s">
        <v>242</v>
      </c>
      <c r="K2167" s="15">
        <v>44</v>
      </c>
      <c r="L2167" s="16">
        <v>48</v>
      </c>
      <c r="M2167" s="17">
        <v>2112</v>
      </c>
      <c r="N2167" s="15" t="s">
        <v>367</v>
      </c>
      <c r="O2167" s="15" t="s">
        <v>19</v>
      </c>
      <c r="Q2167"/>
    </row>
    <row r="2168" spans="1:17" ht="15.6" x14ac:dyDescent="0.3">
      <c r="A2168" s="11">
        <v>10350</v>
      </c>
      <c r="B2168" s="10">
        <v>38323</v>
      </c>
      <c r="C2168" s="10" t="s">
        <v>279</v>
      </c>
      <c r="D2168" s="11" t="s">
        <v>41</v>
      </c>
      <c r="E2168" s="11" t="s">
        <v>42</v>
      </c>
      <c r="F2168" s="11" t="s">
        <v>43</v>
      </c>
      <c r="G2168" s="11" t="s">
        <v>25</v>
      </c>
      <c r="H2168" s="11" t="s">
        <v>47</v>
      </c>
      <c r="I2168" s="11" t="s">
        <v>119</v>
      </c>
      <c r="J2168" s="11" t="s">
        <v>272</v>
      </c>
      <c r="K2168" s="11">
        <v>41</v>
      </c>
      <c r="L2168" s="12">
        <v>60</v>
      </c>
      <c r="M2168" s="13">
        <v>2460</v>
      </c>
      <c r="N2168" s="11" t="s">
        <v>367</v>
      </c>
      <c r="O2168" s="11" t="s">
        <v>19</v>
      </c>
      <c r="Q2168"/>
    </row>
    <row r="2169" spans="1:17" ht="15.6" x14ac:dyDescent="0.3">
      <c r="A2169" s="15">
        <v>10350</v>
      </c>
      <c r="B2169" s="14">
        <v>38323</v>
      </c>
      <c r="C2169" s="14" t="s">
        <v>279</v>
      </c>
      <c r="D2169" s="15" t="s">
        <v>41</v>
      </c>
      <c r="E2169" s="15" t="s">
        <v>42</v>
      </c>
      <c r="F2169" s="15" t="s">
        <v>43</v>
      </c>
      <c r="G2169" s="15" t="s">
        <v>25</v>
      </c>
      <c r="H2169" s="15" t="s">
        <v>17</v>
      </c>
      <c r="I2169" s="15" t="s">
        <v>26</v>
      </c>
      <c r="J2169" s="15" t="s">
        <v>244</v>
      </c>
      <c r="K2169" s="15">
        <v>30</v>
      </c>
      <c r="L2169" s="16">
        <v>60</v>
      </c>
      <c r="M2169" s="17">
        <v>1800</v>
      </c>
      <c r="N2169" s="15" t="s">
        <v>367</v>
      </c>
      <c r="O2169" s="15" t="s">
        <v>19</v>
      </c>
      <c r="Q2169"/>
    </row>
    <row r="2170" spans="1:17" ht="15.6" x14ac:dyDescent="0.3">
      <c r="A2170" s="11">
        <v>10350</v>
      </c>
      <c r="B2170" s="10">
        <v>38323</v>
      </c>
      <c r="C2170" s="10" t="s">
        <v>279</v>
      </c>
      <c r="D2170" s="11" t="s">
        <v>41</v>
      </c>
      <c r="E2170" s="11" t="s">
        <v>42</v>
      </c>
      <c r="F2170" s="11" t="s">
        <v>43</v>
      </c>
      <c r="G2170" s="11" t="s">
        <v>25</v>
      </c>
      <c r="H2170" s="11" t="s">
        <v>54</v>
      </c>
      <c r="I2170" s="11" t="s">
        <v>55</v>
      </c>
      <c r="J2170" s="11" t="s">
        <v>258</v>
      </c>
      <c r="K2170" s="11">
        <v>34</v>
      </c>
      <c r="L2170" s="12">
        <v>180</v>
      </c>
      <c r="M2170" s="13">
        <v>6120</v>
      </c>
      <c r="N2170" s="11" t="s">
        <v>367</v>
      </c>
      <c r="O2170" s="11" t="s">
        <v>19</v>
      </c>
      <c r="Q2170"/>
    </row>
    <row r="2171" spans="1:17" ht="15.6" x14ac:dyDescent="0.3">
      <c r="A2171" s="15">
        <v>10350</v>
      </c>
      <c r="B2171" s="14">
        <v>38323</v>
      </c>
      <c r="C2171" s="14" t="s">
        <v>279</v>
      </c>
      <c r="D2171" s="15" t="s">
        <v>41</v>
      </c>
      <c r="E2171" s="15" t="s">
        <v>42</v>
      </c>
      <c r="F2171" s="15" t="s">
        <v>43</v>
      </c>
      <c r="G2171" s="15" t="s">
        <v>25</v>
      </c>
      <c r="H2171" s="15" t="s">
        <v>17</v>
      </c>
      <c r="I2171" s="15" t="s">
        <v>21</v>
      </c>
      <c r="J2171" s="15" t="s">
        <v>243</v>
      </c>
      <c r="K2171" s="15">
        <v>30</v>
      </c>
      <c r="L2171" s="16">
        <v>110</v>
      </c>
      <c r="M2171" s="17">
        <v>3300</v>
      </c>
      <c r="N2171" s="15" t="s">
        <v>367</v>
      </c>
      <c r="O2171" s="15" t="s">
        <v>19</v>
      </c>
      <c r="Q2171"/>
    </row>
    <row r="2172" spans="1:17" ht="15.6" x14ac:dyDescent="0.3">
      <c r="A2172" s="11">
        <v>10350</v>
      </c>
      <c r="B2172" s="10">
        <v>38323</v>
      </c>
      <c r="C2172" s="10" t="s">
        <v>279</v>
      </c>
      <c r="D2172" s="11" t="s">
        <v>41</v>
      </c>
      <c r="E2172" s="11" t="s">
        <v>42</v>
      </c>
      <c r="F2172" s="11" t="s">
        <v>43</v>
      </c>
      <c r="G2172" s="11" t="s">
        <v>25</v>
      </c>
      <c r="H2172" s="11" t="s">
        <v>17</v>
      </c>
      <c r="I2172" s="11" t="s">
        <v>26</v>
      </c>
      <c r="J2172" s="11" t="s">
        <v>244</v>
      </c>
      <c r="K2172" s="11">
        <v>25</v>
      </c>
      <c r="L2172" s="12">
        <v>60</v>
      </c>
      <c r="M2172" s="13">
        <v>1500</v>
      </c>
      <c r="N2172" s="11" t="s">
        <v>367</v>
      </c>
      <c r="O2172" s="11" t="s">
        <v>19</v>
      </c>
      <c r="Q2172"/>
    </row>
    <row r="2173" spans="1:17" ht="15.6" x14ac:dyDescent="0.3">
      <c r="A2173" s="15">
        <v>10350</v>
      </c>
      <c r="B2173" s="14">
        <v>38323</v>
      </c>
      <c r="C2173" s="14" t="s">
        <v>279</v>
      </c>
      <c r="D2173" s="15" t="s">
        <v>41</v>
      </c>
      <c r="E2173" s="15" t="s">
        <v>42</v>
      </c>
      <c r="F2173" s="15" t="s">
        <v>43</v>
      </c>
      <c r="G2173" s="15" t="s">
        <v>25</v>
      </c>
      <c r="H2173" s="15" t="s">
        <v>47</v>
      </c>
      <c r="I2173" s="15" t="s">
        <v>53</v>
      </c>
      <c r="J2173" s="15" t="s">
        <v>257</v>
      </c>
      <c r="K2173" s="15">
        <v>27</v>
      </c>
      <c r="L2173" s="16">
        <v>90</v>
      </c>
      <c r="M2173" s="17">
        <v>2430</v>
      </c>
      <c r="N2173" s="15" t="s">
        <v>367</v>
      </c>
      <c r="O2173" s="15" t="s">
        <v>19</v>
      </c>
      <c r="Q2173"/>
    </row>
    <row r="2174" spans="1:17" ht="15.6" x14ac:dyDescent="0.3">
      <c r="A2174" s="11">
        <v>10350</v>
      </c>
      <c r="B2174" s="10">
        <v>38323</v>
      </c>
      <c r="C2174" s="10" t="s">
        <v>279</v>
      </c>
      <c r="D2174" s="11" t="s">
        <v>41</v>
      </c>
      <c r="E2174" s="11" t="s">
        <v>42</v>
      </c>
      <c r="F2174" s="11" t="s">
        <v>43</v>
      </c>
      <c r="G2174" s="11" t="s">
        <v>25</v>
      </c>
      <c r="H2174" s="11" t="s">
        <v>35</v>
      </c>
      <c r="I2174" s="11" t="s">
        <v>40</v>
      </c>
      <c r="J2174" s="11" t="s">
        <v>251</v>
      </c>
      <c r="K2174" s="11">
        <v>31</v>
      </c>
      <c r="L2174" s="12">
        <v>25</v>
      </c>
      <c r="M2174" s="13">
        <v>775</v>
      </c>
      <c r="N2174" s="11" t="s">
        <v>367</v>
      </c>
      <c r="O2174" s="11" t="s">
        <v>19</v>
      </c>
      <c r="Q2174"/>
    </row>
    <row r="2175" spans="1:17" ht="15.6" x14ac:dyDescent="0.3">
      <c r="A2175" s="15">
        <v>10350</v>
      </c>
      <c r="B2175" s="14">
        <v>38323</v>
      </c>
      <c r="C2175" s="14" t="s">
        <v>279</v>
      </c>
      <c r="D2175" s="15" t="s">
        <v>41</v>
      </c>
      <c r="E2175" s="15" t="s">
        <v>42</v>
      </c>
      <c r="F2175" s="15" t="s">
        <v>43</v>
      </c>
      <c r="G2175" s="15" t="s">
        <v>25</v>
      </c>
      <c r="H2175" s="15" t="s">
        <v>47</v>
      </c>
      <c r="I2175" s="15" t="s">
        <v>119</v>
      </c>
      <c r="J2175" s="15" t="s">
        <v>272</v>
      </c>
      <c r="K2175" s="15">
        <v>44</v>
      </c>
      <c r="L2175" s="16">
        <v>60</v>
      </c>
      <c r="M2175" s="17">
        <v>2640</v>
      </c>
      <c r="N2175" s="15" t="s">
        <v>367</v>
      </c>
      <c r="O2175" s="15" t="s">
        <v>19</v>
      </c>
      <c r="Q2175"/>
    </row>
    <row r="2176" spans="1:17" ht="15.6" x14ac:dyDescent="0.3">
      <c r="A2176" s="11">
        <v>10350</v>
      </c>
      <c r="B2176" s="10">
        <v>38323</v>
      </c>
      <c r="C2176" s="10" t="s">
        <v>279</v>
      </c>
      <c r="D2176" s="11" t="s">
        <v>41</v>
      </c>
      <c r="E2176" s="11" t="s">
        <v>42</v>
      </c>
      <c r="F2176" s="11" t="s">
        <v>43</v>
      </c>
      <c r="G2176" s="11" t="s">
        <v>25</v>
      </c>
      <c r="H2176" s="11" t="s">
        <v>54</v>
      </c>
      <c r="I2176" s="11" t="s">
        <v>57</v>
      </c>
      <c r="J2176" s="11" t="s">
        <v>260</v>
      </c>
      <c r="K2176" s="11">
        <v>46</v>
      </c>
      <c r="L2176" s="12">
        <v>220</v>
      </c>
      <c r="M2176" s="13">
        <v>10120</v>
      </c>
      <c r="N2176" s="11" t="s">
        <v>367</v>
      </c>
      <c r="O2176" s="11" t="s">
        <v>19</v>
      </c>
      <c r="Q2176"/>
    </row>
    <row r="2177" spans="1:17" ht="15.6" x14ac:dyDescent="0.3">
      <c r="A2177" s="15">
        <v>10350</v>
      </c>
      <c r="B2177" s="14">
        <v>38323</v>
      </c>
      <c r="C2177" s="14" t="s">
        <v>279</v>
      </c>
      <c r="D2177" s="15" t="s">
        <v>41</v>
      </c>
      <c r="E2177" s="15" t="s">
        <v>42</v>
      </c>
      <c r="F2177" s="15" t="s">
        <v>43</v>
      </c>
      <c r="G2177" s="15" t="s">
        <v>25</v>
      </c>
      <c r="H2177" s="15" t="s">
        <v>54</v>
      </c>
      <c r="I2177" s="15" t="s">
        <v>166</v>
      </c>
      <c r="J2177" s="15" t="s">
        <v>273</v>
      </c>
      <c r="K2177" s="15">
        <v>28</v>
      </c>
      <c r="L2177" s="16">
        <v>160</v>
      </c>
      <c r="M2177" s="17">
        <v>4480</v>
      </c>
      <c r="N2177" s="15" t="s">
        <v>367</v>
      </c>
      <c r="O2177" s="15" t="s">
        <v>19</v>
      </c>
      <c r="Q2177"/>
    </row>
    <row r="2178" spans="1:17" ht="15.6" x14ac:dyDescent="0.3">
      <c r="A2178" s="11">
        <v>10350</v>
      </c>
      <c r="B2178" s="10">
        <v>38323</v>
      </c>
      <c r="C2178" s="10" t="s">
        <v>279</v>
      </c>
      <c r="D2178" s="11" t="s">
        <v>41</v>
      </c>
      <c r="E2178" s="11" t="s">
        <v>42</v>
      </c>
      <c r="F2178" s="11" t="s">
        <v>43</v>
      </c>
      <c r="G2178" s="11" t="s">
        <v>25</v>
      </c>
      <c r="H2178" s="11" t="s">
        <v>54</v>
      </c>
      <c r="I2178" s="11" t="s">
        <v>55</v>
      </c>
      <c r="J2178" s="11" t="s">
        <v>258</v>
      </c>
      <c r="K2178" s="11">
        <v>29</v>
      </c>
      <c r="L2178" s="12">
        <v>180</v>
      </c>
      <c r="M2178" s="13">
        <v>5220</v>
      </c>
      <c r="N2178" s="11" t="s">
        <v>367</v>
      </c>
      <c r="O2178" s="11" t="s">
        <v>19</v>
      </c>
      <c r="Q2178"/>
    </row>
    <row r="2179" spans="1:17" ht="15.6" x14ac:dyDescent="0.3">
      <c r="A2179" s="15">
        <v>10350</v>
      </c>
      <c r="B2179" s="14">
        <v>38323</v>
      </c>
      <c r="C2179" s="14" t="s">
        <v>279</v>
      </c>
      <c r="D2179" s="15" t="s">
        <v>41</v>
      </c>
      <c r="E2179" s="15" t="s">
        <v>42</v>
      </c>
      <c r="F2179" s="15" t="s">
        <v>43</v>
      </c>
      <c r="G2179" s="15" t="s">
        <v>25</v>
      </c>
      <c r="H2179" s="15" t="s">
        <v>54</v>
      </c>
      <c r="I2179" s="15" t="s">
        <v>57</v>
      </c>
      <c r="J2179" s="15" t="s">
        <v>260</v>
      </c>
      <c r="K2179" s="15">
        <v>31</v>
      </c>
      <c r="L2179" s="16">
        <v>220</v>
      </c>
      <c r="M2179" s="17">
        <v>6820</v>
      </c>
      <c r="N2179" s="15" t="s">
        <v>367</v>
      </c>
      <c r="O2179" s="15" t="s">
        <v>19</v>
      </c>
      <c r="Q2179"/>
    </row>
    <row r="2180" spans="1:17" ht="15.6" x14ac:dyDescent="0.3">
      <c r="A2180" s="11">
        <v>10350</v>
      </c>
      <c r="B2180" s="10">
        <v>38323</v>
      </c>
      <c r="C2180" s="10" t="s">
        <v>279</v>
      </c>
      <c r="D2180" s="11" t="s">
        <v>41</v>
      </c>
      <c r="E2180" s="11" t="s">
        <v>42</v>
      </c>
      <c r="F2180" s="11" t="s">
        <v>43</v>
      </c>
      <c r="G2180" s="11" t="s">
        <v>25</v>
      </c>
      <c r="H2180" s="11" t="s">
        <v>54</v>
      </c>
      <c r="I2180" s="11" t="s">
        <v>166</v>
      </c>
      <c r="J2180" s="11" t="s">
        <v>273</v>
      </c>
      <c r="K2180" s="11">
        <v>25</v>
      </c>
      <c r="L2180" s="12">
        <v>160</v>
      </c>
      <c r="M2180" s="13">
        <v>4000</v>
      </c>
      <c r="N2180" s="11" t="s">
        <v>367</v>
      </c>
      <c r="O2180" s="11" t="s">
        <v>19</v>
      </c>
      <c r="Q2180"/>
    </row>
    <row r="2181" spans="1:17" ht="15.6" x14ac:dyDescent="0.3">
      <c r="A2181" s="15">
        <v>10350</v>
      </c>
      <c r="B2181" s="14">
        <v>38323</v>
      </c>
      <c r="C2181" s="14" t="s">
        <v>279</v>
      </c>
      <c r="D2181" s="15" t="s">
        <v>41</v>
      </c>
      <c r="E2181" s="15" t="s">
        <v>42</v>
      </c>
      <c r="F2181" s="15" t="s">
        <v>43</v>
      </c>
      <c r="G2181" s="15" t="s">
        <v>25</v>
      </c>
      <c r="H2181" s="15" t="s">
        <v>54</v>
      </c>
      <c r="I2181" s="15" t="s">
        <v>56</v>
      </c>
      <c r="J2181" s="15" t="s">
        <v>259</v>
      </c>
      <c r="K2181" s="15">
        <v>20</v>
      </c>
      <c r="L2181" s="16">
        <v>250</v>
      </c>
      <c r="M2181" s="17">
        <v>5000</v>
      </c>
      <c r="N2181" s="15" t="s">
        <v>367</v>
      </c>
      <c r="O2181" s="15" t="s">
        <v>19</v>
      </c>
      <c r="Q2181"/>
    </row>
    <row r="2182" spans="1:17" ht="15.6" x14ac:dyDescent="0.3">
      <c r="A2182" s="11">
        <v>10351</v>
      </c>
      <c r="B2182" s="10">
        <v>38324</v>
      </c>
      <c r="C2182" s="10" t="s">
        <v>302</v>
      </c>
      <c r="D2182" s="11" t="s">
        <v>120</v>
      </c>
      <c r="E2182" s="11" t="s">
        <v>121</v>
      </c>
      <c r="F2182" s="11" t="s">
        <v>81</v>
      </c>
      <c r="G2182" s="11" t="s">
        <v>25</v>
      </c>
      <c r="H2182" s="11" t="s">
        <v>61</v>
      </c>
      <c r="I2182" s="11" t="s">
        <v>62</v>
      </c>
      <c r="J2182" s="11" t="s">
        <v>261</v>
      </c>
      <c r="K2182" s="11">
        <v>39</v>
      </c>
      <c r="L2182" s="12">
        <v>15</v>
      </c>
      <c r="M2182" s="13">
        <v>585</v>
      </c>
      <c r="N2182" s="11" t="s">
        <v>367</v>
      </c>
      <c r="O2182" s="11" t="s">
        <v>19</v>
      </c>
      <c r="Q2182"/>
    </row>
    <row r="2183" spans="1:17" ht="15.6" x14ac:dyDescent="0.3">
      <c r="A2183" s="15">
        <v>10351</v>
      </c>
      <c r="B2183" s="14">
        <v>38324</v>
      </c>
      <c r="C2183" s="14" t="s">
        <v>302</v>
      </c>
      <c r="D2183" s="15" t="s">
        <v>120</v>
      </c>
      <c r="E2183" s="15" t="s">
        <v>121</v>
      </c>
      <c r="F2183" s="15" t="s">
        <v>81</v>
      </c>
      <c r="G2183" s="15" t="s">
        <v>25</v>
      </c>
      <c r="H2183" s="15" t="s">
        <v>17</v>
      </c>
      <c r="I2183" s="15" t="s">
        <v>20</v>
      </c>
      <c r="J2183" s="15" t="s">
        <v>242</v>
      </c>
      <c r="K2183" s="15">
        <v>20</v>
      </c>
      <c r="L2183" s="16">
        <v>48</v>
      </c>
      <c r="M2183" s="17">
        <v>960</v>
      </c>
      <c r="N2183" s="15" t="s">
        <v>367</v>
      </c>
      <c r="O2183" s="15" t="s">
        <v>19</v>
      </c>
      <c r="Q2183"/>
    </row>
    <row r="2184" spans="1:17" ht="15.6" x14ac:dyDescent="0.3">
      <c r="A2184" s="11">
        <v>10351</v>
      </c>
      <c r="B2184" s="10">
        <v>38324</v>
      </c>
      <c r="C2184" s="10" t="s">
        <v>302</v>
      </c>
      <c r="D2184" s="11" t="s">
        <v>120</v>
      </c>
      <c r="E2184" s="11" t="s">
        <v>121</v>
      </c>
      <c r="F2184" s="11" t="s">
        <v>81</v>
      </c>
      <c r="G2184" s="11" t="s">
        <v>25</v>
      </c>
      <c r="H2184" s="11" t="s">
        <v>61</v>
      </c>
      <c r="I2184" s="11" t="s">
        <v>66</v>
      </c>
      <c r="J2184" s="11" t="s">
        <v>265</v>
      </c>
      <c r="K2184" s="11">
        <v>25</v>
      </c>
      <c r="L2184" s="12">
        <v>35</v>
      </c>
      <c r="M2184" s="13">
        <v>875</v>
      </c>
      <c r="N2184" s="11" t="s">
        <v>367</v>
      </c>
      <c r="O2184" s="11" t="s">
        <v>19</v>
      </c>
      <c r="Q2184"/>
    </row>
    <row r="2185" spans="1:17" ht="15.6" x14ac:dyDescent="0.3">
      <c r="A2185" s="15">
        <v>10351</v>
      </c>
      <c r="B2185" s="14">
        <v>38324</v>
      </c>
      <c r="C2185" s="14" t="s">
        <v>302</v>
      </c>
      <c r="D2185" s="15" t="s">
        <v>120</v>
      </c>
      <c r="E2185" s="15" t="s">
        <v>121</v>
      </c>
      <c r="F2185" s="15" t="s">
        <v>81</v>
      </c>
      <c r="G2185" s="15" t="s">
        <v>25</v>
      </c>
      <c r="H2185" s="15" t="s">
        <v>17</v>
      </c>
      <c r="I2185" s="15" t="s">
        <v>20</v>
      </c>
      <c r="J2185" s="15" t="s">
        <v>242</v>
      </c>
      <c r="K2185" s="15">
        <v>38</v>
      </c>
      <c r="L2185" s="16">
        <v>48</v>
      </c>
      <c r="M2185" s="17">
        <v>1824</v>
      </c>
      <c r="N2185" s="15" t="s">
        <v>367</v>
      </c>
      <c r="O2185" s="15" t="s">
        <v>19</v>
      </c>
      <c r="Q2185"/>
    </row>
    <row r="2186" spans="1:17" ht="15.6" x14ac:dyDescent="0.3">
      <c r="A2186" s="11">
        <v>10351</v>
      </c>
      <c r="B2186" s="10">
        <v>38324</v>
      </c>
      <c r="C2186" s="10" t="s">
        <v>302</v>
      </c>
      <c r="D2186" s="11" t="s">
        <v>120</v>
      </c>
      <c r="E2186" s="11" t="s">
        <v>121</v>
      </c>
      <c r="F2186" s="11" t="s">
        <v>81</v>
      </c>
      <c r="G2186" s="11" t="s">
        <v>25</v>
      </c>
      <c r="H2186" s="11" t="s">
        <v>61</v>
      </c>
      <c r="I2186" s="11" t="s">
        <v>66</v>
      </c>
      <c r="J2186" s="11" t="s">
        <v>265</v>
      </c>
      <c r="K2186" s="11">
        <v>34</v>
      </c>
      <c r="L2186" s="12">
        <v>35</v>
      </c>
      <c r="M2186" s="13">
        <v>1190</v>
      </c>
      <c r="N2186" s="11" t="s">
        <v>367</v>
      </c>
      <c r="O2186" s="11" t="s">
        <v>19</v>
      </c>
      <c r="Q2186"/>
    </row>
    <row r="2187" spans="1:17" ht="15.6" x14ac:dyDescent="0.3">
      <c r="A2187" s="15">
        <v>10352</v>
      </c>
      <c r="B2187" s="14">
        <v>38324</v>
      </c>
      <c r="C2187" s="14" t="s">
        <v>304</v>
      </c>
      <c r="D2187" s="15" t="s">
        <v>124</v>
      </c>
      <c r="E2187" s="15" t="s">
        <v>125</v>
      </c>
      <c r="F2187" s="15" t="s">
        <v>15</v>
      </c>
      <c r="G2187" s="15" t="s">
        <v>16</v>
      </c>
      <c r="H2187" s="15" t="s">
        <v>54</v>
      </c>
      <c r="I2187" s="15" t="s">
        <v>57</v>
      </c>
      <c r="J2187" s="15" t="s">
        <v>260</v>
      </c>
      <c r="K2187" s="15">
        <v>23</v>
      </c>
      <c r="L2187" s="16">
        <v>220</v>
      </c>
      <c r="M2187" s="17">
        <v>5060</v>
      </c>
      <c r="N2187" s="15" t="s">
        <v>367</v>
      </c>
      <c r="O2187" s="15" t="s">
        <v>19</v>
      </c>
      <c r="Q2187"/>
    </row>
    <row r="2188" spans="1:17" ht="15.6" x14ac:dyDescent="0.3">
      <c r="A2188" s="11">
        <v>10352</v>
      </c>
      <c r="B2188" s="10">
        <v>38324</v>
      </c>
      <c r="C2188" s="10" t="s">
        <v>304</v>
      </c>
      <c r="D2188" s="11" t="s">
        <v>124</v>
      </c>
      <c r="E2188" s="11" t="s">
        <v>125</v>
      </c>
      <c r="F2188" s="11" t="s">
        <v>15</v>
      </c>
      <c r="G2188" s="11" t="s">
        <v>16</v>
      </c>
      <c r="H2188" s="11" t="s">
        <v>61</v>
      </c>
      <c r="I2188" s="11" t="s">
        <v>66</v>
      </c>
      <c r="J2188" s="11" t="s">
        <v>265</v>
      </c>
      <c r="K2188" s="11">
        <v>49</v>
      </c>
      <c r="L2188" s="12">
        <v>35</v>
      </c>
      <c r="M2188" s="13">
        <v>1715</v>
      </c>
      <c r="N2188" s="11" t="s">
        <v>367</v>
      </c>
      <c r="O2188" s="11" t="s">
        <v>19</v>
      </c>
      <c r="Q2188"/>
    </row>
    <row r="2189" spans="1:17" ht="15.6" x14ac:dyDescent="0.3">
      <c r="A2189" s="15">
        <v>10352</v>
      </c>
      <c r="B2189" s="14">
        <v>38324</v>
      </c>
      <c r="C2189" s="14" t="s">
        <v>304</v>
      </c>
      <c r="D2189" s="15" t="s">
        <v>124</v>
      </c>
      <c r="E2189" s="15" t="s">
        <v>125</v>
      </c>
      <c r="F2189" s="15" t="s">
        <v>15</v>
      </c>
      <c r="G2189" s="15" t="s">
        <v>16</v>
      </c>
      <c r="H2189" s="15" t="s">
        <v>61</v>
      </c>
      <c r="I2189" s="15" t="s">
        <v>62</v>
      </c>
      <c r="J2189" s="15" t="s">
        <v>261</v>
      </c>
      <c r="K2189" s="15">
        <v>22</v>
      </c>
      <c r="L2189" s="16">
        <v>15</v>
      </c>
      <c r="M2189" s="17">
        <v>330</v>
      </c>
      <c r="N2189" s="15" t="s">
        <v>367</v>
      </c>
      <c r="O2189" s="15" t="s">
        <v>19</v>
      </c>
      <c r="Q2189"/>
    </row>
    <row r="2190" spans="1:17" ht="15.6" x14ac:dyDescent="0.3">
      <c r="A2190" s="11">
        <v>10352</v>
      </c>
      <c r="B2190" s="10">
        <v>38324</v>
      </c>
      <c r="C2190" s="10" t="s">
        <v>304</v>
      </c>
      <c r="D2190" s="11" t="s">
        <v>124</v>
      </c>
      <c r="E2190" s="11" t="s">
        <v>125</v>
      </c>
      <c r="F2190" s="11" t="s">
        <v>15</v>
      </c>
      <c r="G2190" s="11" t="s">
        <v>16</v>
      </c>
      <c r="H2190" s="11" t="s">
        <v>61</v>
      </c>
      <c r="I2190" s="11" t="s">
        <v>66</v>
      </c>
      <c r="J2190" s="11" t="s">
        <v>265</v>
      </c>
      <c r="K2190" s="11">
        <v>49</v>
      </c>
      <c r="L2190" s="12">
        <v>35</v>
      </c>
      <c r="M2190" s="13">
        <v>1715</v>
      </c>
      <c r="N2190" s="11" t="s">
        <v>367</v>
      </c>
      <c r="O2190" s="11" t="s">
        <v>19</v>
      </c>
      <c r="Q2190"/>
    </row>
    <row r="2191" spans="1:17" ht="15.6" x14ac:dyDescent="0.3">
      <c r="A2191" s="15">
        <v>10353</v>
      </c>
      <c r="B2191" s="14">
        <v>38325</v>
      </c>
      <c r="C2191" s="14" t="s">
        <v>303</v>
      </c>
      <c r="D2191" s="15" t="s">
        <v>122</v>
      </c>
      <c r="E2191" s="15" t="s">
        <v>123</v>
      </c>
      <c r="F2191" s="15" t="s">
        <v>15</v>
      </c>
      <c r="G2191" s="15" t="s">
        <v>16</v>
      </c>
      <c r="H2191" s="15" t="s">
        <v>61</v>
      </c>
      <c r="I2191" s="15" t="s">
        <v>62</v>
      </c>
      <c r="J2191" s="15" t="s">
        <v>261</v>
      </c>
      <c r="K2191" s="15">
        <v>27</v>
      </c>
      <c r="L2191" s="16">
        <v>15</v>
      </c>
      <c r="M2191" s="17">
        <v>405</v>
      </c>
      <c r="N2191" s="15" t="s">
        <v>367</v>
      </c>
      <c r="O2191" s="15" t="s">
        <v>19</v>
      </c>
      <c r="Q2191"/>
    </row>
    <row r="2192" spans="1:17" ht="15.6" x14ac:dyDescent="0.3">
      <c r="A2192" s="11">
        <v>10353</v>
      </c>
      <c r="B2192" s="10">
        <v>38325</v>
      </c>
      <c r="C2192" s="10" t="s">
        <v>303</v>
      </c>
      <c r="D2192" s="11" t="s">
        <v>122</v>
      </c>
      <c r="E2192" s="11" t="s">
        <v>123</v>
      </c>
      <c r="F2192" s="11" t="s">
        <v>15</v>
      </c>
      <c r="G2192" s="11" t="s">
        <v>16</v>
      </c>
      <c r="H2192" s="11" t="s">
        <v>61</v>
      </c>
      <c r="I2192" s="11" t="s">
        <v>62</v>
      </c>
      <c r="J2192" s="11" t="s">
        <v>261</v>
      </c>
      <c r="K2192" s="11">
        <v>28</v>
      </c>
      <c r="L2192" s="12">
        <v>15</v>
      </c>
      <c r="M2192" s="13">
        <v>420</v>
      </c>
      <c r="N2192" s="11" t="s">
        <v>367</v>
      </c>
      <c r="O2192" s="11" t="s">
        <v>19</v>
      </c>
      <c r="Q2192"/>
    </row>
    <row r="2193" spans="1:17" ht="15.6" x14ac:dyDescent="0.3">
      <c r="A2193" s="15">
        <v>10353</v>
      </c>
      <c r="B2193" s="14">
        <v>38325</v>
      </c>
      <c r="C2193" s="14" t="s">
        <v>303</v>
      </c>
      <c r="D2193" s="15" t="s">
        <v>122</v>
      </c>
      <c r="E2193" s="15" t="s">
        <v>123</v>
      </c>
      <c r="F2193" s="15" t="s">
        <v>15</v>
      </c>
      <c r="G2193" s="15" t="s">
        <v>16</v>
      </c>
      <c r="H2193" s="15" t="s">
        <v>61</v>
      </c>
      <c r="I2193" s="15" t="s">
        <v>66</v>
      </c>
      <c r="J2193" s="15" t="s">
        <v>265</v>
      </c>
      <c r="K2193" s="15">
        <v>35</v>
      </c>
      <c r="L2193" s="16">
        <v>35</v>
      </c>
      <c r="M2193" s="17">
        <v>1225</v>
      </c>
      <c r="N2193" s="15" t="s">
        <v>367</v>
      </c>
      <c r="O2193" s="15" t="s">
        <v>19</v>
      </c>
      <c r="Q2193"/>
    </row>
    <row r="2194" spans="1:17" ht="15.6" x14ac:dyDescent="0.3">
      <c r="A2194" s="11">
        <v>10353</v>
      </c>
      <c r="B2194" s="10">
        <v>38325</v>
      </c>
      <c r="C2194" s="10" t="s">
        <v>303</v>
      </c>
      <c r="D2194" s="11" t="s">
        <v>122</v>
      </c>
      <c r="E2194" s="11" t="s">
        <v>123</v>
      </c>
      <c r="F2194" s="11" t="s">
        <v>15</v>
      </c>
      <c r="G2194" s="11" t="s">
        <v>16</v>
      </c>
      <c r="H2194" s="11" t="s">
        <v>68</v>
      </c>
      <c r="I2194" s="11" t="s">
        <v>69</v>
      </c>
      <c r="J2194" s="11" t="s">
        <v>266</v>
      </c>
      <c r="K2194" s="11">
        <v>46</v>
      </c>
      <c r="L2194" s="12">
        <v>25</v>
      </c>
      <c r="M2194" s="13">
        <v>1150</v>
      </c>
      <c r="N2194" s="11" t="s">
        <v>367</v>
      </c>
      <c r="O2194" s="11" t="s">
        <v>19</v>
      </c>
      <c r="Q2194"/>
    </row>
    <row r="2195" spans="1:17" ht="15.6" x14ac:dyDescent="0.3">
      <c r="A2195" s="15">
        <v>10353</v>
      </c>
      <c r="B2195" s="14">
        <v>38325</v>
      </c>
      <c r="C2195" s="14" t="s">
        <v>303</v>
      </c>
      <c r="D2195" s="15" t="s">
        <v>122</v>
      </c>
      <c r="E2195" s="15" t="s">
        <v>123</v>
      </c>
      <c r="F2195" s="15" t="s">
        <v>15</v>
      </c>
      <c r="G2195" s="15" t="s">
        <v>16</v>
      </c>
      <c r="H2195" s="15" t="s">
        <v>17</v>
      </c>
      <c r="I2195" s="15" t="s">
        <v>20</v>
      </c>
      <c r="J2195" s="15" t="s">
        <v>242</v>
      </c>
      <c r="K2195" s="15">
        <v>40</v>
      </c>
      <c r="L2195" s="16">
        <v>48</v>
      </c>
      <c r="M2195" s="17">
        <v>1920</v>
      </c>
      <c r="N2195" s="15" t="s">
        <v>367</v>
      </c>
      <c r="O2195" s="15" t="s">
        <v>19</v>
      </c>
      <c r="Q2195"/>
    </row>
    <row r="2196" spans="1:17" ht="15.6" x14ac:dyDescent="0.3">
      <c r="A2196" s="11">
        <v>10353</v>
      </c>
      <c r="B2196" s="10">
        <v>38325</v>
      </c>
      <c r="C2196" s="10" t="s">
        <v>303</v>
      </c>
      <c r="D2196" s="11" t="s">
        <v>122</v>
      </c>
      <c r="E2196" s="11" t="s">
        <v>123</v>
      </c>
      <c r="F2196" s="11" t="s">
        <v>15</v>
      </c>
      <c r="G2196" s="11" t="s">
        <v>16</v>
      </c>
      <c r="H2196" s="11" t="s">
        <v>17</v>
      </c>
      <c r="I2196" s="11" t="s">
        <v>26</v>
      </c>
      <c r="J2196" s="11" t="s">
        <v>244</v>
      </c>
      <c r="K2196" s="11">
        <v>40</v>
      </c>
      <c r="L2196" s="12">
        <v>60</v>
      </c>
      <c r="M2196" s="13">
        <v>2400</v>
      </c>
      <c r="N2196" s="11" t="s">
        <v>367</v>
      </c>
      <c r="O2196" s="11" t="s">
        <v>19</v>
      </c>
      <c r="Q2196"/>
    </row>
    <row r="2197" spans="1:17" ht="15.6" x14ac:dyDescent="0.3">
      <c r="A2197" s="15">
        <v>10353</v>
      </c>
      <c r="B2197" s="14">
        <v>38325</v>
      </c>
      <c r="C2197" s="14" t="s">
        <v>303</v>
      </c>
      <c r="D2197" s="15" t="s">
        <v>122</v>
      </c>
      <c r="E2197" s="15" t="s">
        <v>123</v>
      </c>
      <c r="F2197" s="15" t="s">
        <v>15</v>
      </c>
      <c r="G2197" s="15" t="s">
        <v>16</v>
      </c>
      <c r="H2197" s="15" t="s">
        <v>61</v>
      </c>
      <c r="I2197" s="15" t="s">
        <v>65</v>
      </c>
      <c r="J2197" s="15" t="s">
        <v>264</v>
      </c>
      <c r="K2197" s="15">
        <v>39</v>
      </c>
      <c r="L2197" s="16">
        <v>30</v>
      </c>
      <c r="M2197" s="17">
        <v>1170</v>
      </c>
      <c r="N2197" s="15" t="s">
        <v>367</v>
      </c>
      <c r="O2197" s="15" t="s">
        <v>19</v>
      </c>
      <c r="Q2197"/>
    </row>
    <row r="2198" spans="1:17" ht="15.6" x14ac:dyDescent="0.3">
      <c r="A2198" s="11">
        <v>10353</v>
      </c>
      <c r="B2198" s="10">
        <v>38325</v>
      </c>
      <c r="C2198" s="10" t="s">
        <v>303</v>
      </c>
      <c r="D2198" s="11" t="s">
        <v>122</v>
      </c>
      <c r="E2198" s="11" t="s">
        <v>123</v>
      </c>
      <c r="F2198" s="11" t="s">
        <v>15</v>
      </c>
      <c r="G2198" s="11" t="s">
        <v>16</v>
      </c>
      <c r="H2198" s="11" t="s">
        <v>61</v>
      </c>
      <c r="I2198" s="11" t="s">
        <v>62</v>
      </c>
      <c r="J2198" s="11" t="s">
        <v>261</v>
      </c>
      <c r="K2198" s="11">
        <v>48</v>
      </c>
      <c r="L2198" s="12">
        <v>15</v>
      </c>
      <c r="M2198" s="13">
        <v>720</v>
      </c>
      <c r="N2198" s="11" t="s">
        <v>367</v>
      </c>
      <c r="O2198" s="11" t="s">
        <v>19</v>
      </c>
      <c r="Q2198"/>
    </row>
    <row r="2199" spans="1:17" ht="15.6" x14ac:dyDescent="0.3">
      <c r="A2199" s="15">
        <v>10353</v>
      </c>
      <c r="B2199" s="14">
        <v>38325</v>
      </c>
      <c r="C2199" s="14" t="s">
        <v>303</v>
      </c>
      <c r="D2199" s="15" t="s">
        <v>122</v>
      </c>
      <c r="E2199" s="15" t="s">
        <v>123</v>
      </c>
      <c r="F2199" s="15" t="s">
        <v>15</v>
      </c>
      <c r="G2199" s="15" t="s">
        <v>16</v>
      </c>
      <c r="H2199" s="15" t="s">
        <v>61</v>
      </c>
      <c r="I2199" s="15" t="s">
        <v>62</v>
      </c>
      <c r="J2199" s="15" t="s">
        <v>261</v>
      </c>
      <c r="K2199" s="15">
        <v>43</v>
      </c>
      <c r="L2199" s="16">
        <v>15</v>
      </c>
      <c r="M2199" s="17">
        <v>645</v>
      </c>
      <c r="N2199" s="15" t="s">
        <v>367</v>
      </c>
      <c r="O2199" s="15" t="s">
        <v>19</v>
      </c>
      <c r="Q2199"/>
    </row>
    <row r="2200" spans="1:17" ht="15.6" x14ac:dyDescent="0.3">
      <c r="A2200" s="11">
        <v>10355</v>
      </c>
      <c r="B2200" s="10">
        <v>38328</v>
      </c>
      <c r="C2200" s="10" t="s">
        <v>279</v>
      </c>
      <c r="D2200" s="11" t="s">
        <v>41</v>
      </c>
      <c r="E2200" s="11" t="s">
        <v>42</v>
      </c>
      <c r="F2200" s="11" t="s">
        <v>43</v>
      </c>
      <c r="G2200" s="11" t="s">
        <v>25</v>
      </c>
      <c r="H2200" s="11" t="s">
        <v>32</v>
      </c>
      <c r="I2200" s="11" t="s">
        <v>34</v>
      </c>
      <c r="J2200" s="11" t="s">
        <v>246</v>
      </c>
      <c r="K2200" s="11">
        <v>23</v>
      </c>
      <c r="L2200" s="12">
        <v>80</v>
      </c>
      <c r="M2200" s="13">
        <v>1840</v>
      </c>
      <c r="N2200" s="11" t="s">
        <v>367</v>
      </c>
      <c r="O2200" s="11" t="s">
        <v>19</v>
      </c>
      <c r="Q2200"/>
    </row>
    <row r="2201" spans="1:17" ht="15.6" x14ac:dyDescent="0.3">
      <c r="A2201" s="15">
        <v>10355</v>
      </c>
      <c r="B2201" s="14">
        <v>38328</v>
      </c>
      <c r="C2201" s="14" t="s">
        <v>279</v>
      </c>
      <c r="D2201" s="15" t="s">
        <v>41</v>
      </c>
      <c r="E2201" s="15" t="s">
        <v>42</v>
      </c>
      <c r="F2201" s="15" t="s">
        <v>43</v>
      </c>
      <c r="G2201" s="15" t="s">
        <v>25</v>
      </c>
      <c r="H2201" s="15" t="s">
        <v>68</v>
      </c>
      <c r="I2201" s="15" t="s">
        <v>70</v>
      </c>
      <c r="J2201" s="15" t="s">
        <v>267</v>
      </c>
      <c r="K2201" s="15">
        <v>31</v>
      </c>
      <c r="L2201" s="16">
        <v>50</v>
      </c>
      <c r="M2201" s="17">
        <v>1550</v>
      </c>
      <c r="N2201" s="15" t="s">
        <v>367</v>
      </c>
      <c r="O2201" s="15" t="s">
        <v>19</v>
      </c>
      <c r="Q2201"/>
    </row>
    <row r="2202" spans="1:17" ht="15.6" x14ac:dyDescent="0.3">
      <c r="A2202" s="11">
        <v>10355</v>
      </c>
      <c r="B2202" s="10">
        <v>38328</v>
      </c>
      <c r="C2202" s="10" t="s">
        <v>279</v>
      </c>
      <c r="D2202" s="11" t="s">
        <v>41</v>
      </c>
      <c r="E2202" s="11" t="s">
        <v>42</v>
      </c>
      <c r="F2202" s="11" t="s">
        <v>43</v>
      </c>
      <c r="G2202" s="11" t="s">
        <v>25</v>
      </c>
      <c r="H2202" s="11" t="s">
        <v>32</v>
      </c>
      <c r="I2202" s="11" t="s">
        <v>46</v>
      </c>
      <c r="J2202" s="11" t="s">
        <v>254</v>
      </c>
      <c r="K2202" s="11">
        <v>25</v>
      </c>
      <c r="L2202" s="12">
        <v>90</v>
      </c>
      <c r="M2202" s="13">
        <v>2250</v>
      </c>
      <c r="N2202" s="11" t="s">
        <v>367</v>
      </c>
      <c r="O2202" s="11" t="s">
        <v>19</v>
      </c>
      <c r="Q2202"/>
    </row>
    <row r="2203" spans="1:17" ht="15.6" x14ac:dyDescent="0.3">
      <c r="A2203" s="15">
        <v>10355</v>
      </c>
      <c r="B2203" s="14">
        <v>38328</v>
      </c>
      <c r="C2203" s="14" t="s">
        <v>279</v>
      </c>
      <c r="D2203" s="15" t="s">
        <v>41</v>
      </c>
      <c r="E2203" s="15" t="s">
        <v>42</v>
      </c>
      <c r="F2203" s="15" t="s">
        <v>43</v>
      </c>
      <c r="G2203" s="15" t="s">
        <v>25</v>
      </c>
      <c r="H2203" s="15" t="s">
        <v>68</v>
      </c>
      <c r="I2203" s="15" t="s">
        <v>69</v>
      </c>
      <c r="J2203" s="15" t="s">
        <v>266</v>
      </c>
      <c r="K2203" s="15">
        <v>41</v>
      </c>
      <c r="L2203" s="16">
        <v>25</v>
      </c>
      <c r="M2203" s="17">
        <v>1025</v>
      </c>
      <c r="N2203" s="15" t="s">
        <v>367</v>
      </c>
      <c r="O2203" s="15" t="s">
        <v>19</v>
      </c>
      <c r="Q2203"/>
    </row>
    <row r="2204" spans="1:17" ht="15.6" x14ac:dyDescent="0.3">
      <c r="A2204" s="11">
        <v>10355</v>
      </c>
      <c r="B2204" s="10">
        <v>38328</v>
      </c>
      <c r="C2204" s="10" t="s">
        <v>279</v>
      </c>
      <c r="D2204" s="11" t="s">
        <v>41</v>
      </c>
      <c r="E2204" s="11" t="s">
        <v>42</v>
      </c>
      <c r="F2204" s="11" t="s">
        <v>43</v>
      </c>
      <c r="G2204" s="11" t="s">
        <v>25</v>
      </c>
      <c r="H2204" s="11" t="s">
        <v>32</v>
      </c>
      <c r="I2204" s="11" t="s">
        <v>33</v>
      </c>
      <c r="J2204" s="11" t="s">
        <v>245</v>
      </c>
      <c r="K2204" s="11">
        <v>36</v>
      </c>
      <c r="L2204" s="12">
        <v>85</v>
      </c>
      <c r="M2204" s="13">
        <v>3060</v>
      </c>
      <c r="N2204" s="11" t="s">
        <v>367</v>
      </c>
      <c r="O2204" s="11" t="s">
        <v>19</v>
      </c>
      <c r="Q2204"/>
    </row>
    <row r="2205" spans="1:17" ht="15.6" x14ac:dyDescent="0.3">
      <c r="A2205" s="15">
        <v>10355</v>
      </c>
      <c r="B2205" s="14">
        <v>38328</v>
      </c>
      <c r="C2205" s="14" t="s">
        <v>279</v>
      </c>
      <c r="D2205" s="15" t="s">
        <v>41</v>
      </c>
      <c r="E2205" s="15" t="s">
        <v>42</v>
      </c>
      <c r="F2205" s="15" t="s">
        <v>43</v>
      </c>
      <c r="G2205" s="15" t="s">
        <v>25</v>
      </c>
      <c r="H2205" s="15" t="s">
        <v>32</v>
      </c>
      <c r="I2205" s="15" t="s">
        <v>34</v>
      </c>
      <c r="J2205" s="15" t="s">
        <v>246</v>
      </c>
      <c r="K2205" s="15">
        <v>44</v>
      </c>
      <c r="L2205" s="16">
        <v>80</v>
      </c>
      <c r="M2205" s="17">
        <v>3520</v>
      </c>
      <c r="N2205" s="15" t="s">
        <v>367</v>
      </c>
      <c r="O2205" s="15" t="s">
        <v>19</v>
      </c>
      <c r="Q2205"/>
    </row>
    <row r="2206" spans="1:17" ht="15.6" x14ac:dyDescent="0.3">
      <c r="A2206" s="11">
        <v>10355</v>
      </c>
      <c r="B2206" s="10">
        <v>38328</v>
      </c>
      <c r="C2206" s="10" t="s">
        <v>279</v>
      </c>
      <c r="D2206" s="11" t="s">
        <v>41</v>
      </c>
      <c r="E2206" s="11" t="s">
        <v>42</v>
      </c>
      <c r="F2206" s="11" t="s">
        <v>43</v>
      </c>
      <c r="G2206" s="11" t="s">
        <v>25</v>
      </c>
      <c r="H2206" s="11" t="s">
        <v>32</v>
      </c>
      <c r="I2206" s="11" t="s">
        <v>44</v>
      </c>
      <c r="J2206" s="11" t="s">
        <v>252</v>
      </c>
      <c r="K2206" s="11">
        <v>32</v>
      </c>
      <c r="L2206" s="12">
        <v>55</v>
      </c>
      <c r="M2206" s="13">
        <v>1760</v>
      </c>
      <c r="N2206" s="11" t="s">
        <v>367</v>
      </c>
      <c r="O2206" s="11" t="s">
        <v>19</v>
      </c>
      <c r="Q2206"/>
    </row>
    <row r="2207" spans="1:17" ht="15.6" x14ac:dyDescent="0.3">
      <c r="A2207" s="15">
        <v>10355</v>
      </c>
      <c r="B2207" s="14">
        <v>38328</v>
      </c>
      <c r="C2207" s="14" t="s">
        <v>279</v>
      </c>
      <c r="D2207" s="15" t="s">
        <v>41</v>
      </c>
      <c r="E2207" s="15" t="s">
        <v>42</v>
      </c>
      <c r="F2207" s="15" t="s">
        <v>43</v>
      </c>
      <c r="G2207" s="15" t="s">
        <v>25</v>
      </c>
      <c r="H2207" s="15" t="s">
        <v>32</v>
      </c>
      <c r="I2207" s="15" t="s">
        <v>33</v>
      </c>
      <c r="J2207" s="15" t="s">
        <v>245</v>
      </c>
      <c r="K2207" s="15">
        <v>28</v>
      </c>
      <c r="L2207" s="16">
        <v>85</v>
      </c>
      <c r="M2207" s="17">
        <v>2380</v>
      </c>
      <c r="N2207" s="15" t="s">
        <v>367</v>
      </c>
      <c r="O2207" s="15" t="s">
        <v>19</v>
      </c>
      <c r="Q2207"/>
    </row>
    <row r="2208" spans="1:17" ht="15.6" x14ac:dyDescent="0.3">
      <c r="A2208" s="11">
        <v>10355</v>
      </c>
      <c r="B2208" s="10">
        <v>38328</v>
      </c>
      <c r="C2208" s="10" t="s">
        <v>279</v>
      </c>
      <c r="D2208" s="11" t="s">
        <v>41</v>
      </c>
      <c r="E2208" s="11" t="s">
        <v>42</v>
      </c>
      <c r="F2208" s="11" t="s">
        <v>43</v>
      </c>
      <c r="G2208" s="11" t="s">
        <v>25</v>
      </c>
      <c r="H2208" s="11" t="s">
        <v>68</v>
      </c>
      <c r="I2208" s="11" t="s">
        <v>69</v>
      </c>
      <c r="J2208" s="11" t="s">
        <v>266</v>
      </c>
      <c r="K2208" s="11">
        <v>38</v>
      </c>
      <c r="L2208" s="12">
        <v>25</v>
      </c>
      <c r="M2208" s="13">
        <v>950</v>
      </c>
      <c r="N2208" s="11" t="s">
        <v>367</v>
      </c>
      <c r="O2208" s="11" t="s">
        <v>19</v>
      </c>
      <c r="Q2208"/>
    </row>
    <row r="2209" spans="1:17" ht="15.6" x14ac:dyDescent="0.3">
      <c r="A2209" s="15">
        <v>10355</v>
      </c>
      <c r="B2209" s="14">
        <v>38328</v>
      </c>
      <c r="C2209" s="14" t="s">
        <v>279</v>
      </c>
      <c r="D2209" s="15" t="s">
        <v>41</v>
      </c>
      <c r="E2209" s="15" t="s">
        <v>42</v>
      </c>
      <c r="F2209" s="15" t="s">
        <v>43</v>
      </c>
      <c r="G2209" s="15" t="s">
        <v>25</v>
      </c>
      <c r="H2209" s="15" t="s">
        <v>68</v>
      </c>
      <c r="I2209" s="15" t="s">
        <v>69</v>
      </c>
      <c r="J2209" s="15" t="s">
        <v>266</v>
      </c>
      <c r="K2209" s="15">
        <v>40</v>
      </c>
      <c r="L2209" s="16">
        <v>25</v>
      </c>
      <c r="M2209" s="17">
        <v>1000</v>
      </c>
      <c r="N2209" s="15" t="s">
        <v>367</v>
      </c>
      <c r="O2209" s="15" t="s">
        <v>19</v>
      </c>
      <c r="Q2209"/>
    </row>
    <row r="2210" spans="1:17" ht="15.6" x14ac:dyDescent="0.3">
      <c r="A2210" s="11">
        <v>10356</v>
      </c>
      <c r="B2210" s="10">
        <v>38330</v>
      </c>
      <c r="C2210" s="10" t="s">
        <v>305</v>
      </c>
      <c r="D2210" s="11" t="s">
        <v>126</v>
      </c>
      <c r="E2210" s="11" t="s">
        <v>91</v>
      </c>
      <c r="F2210" s="11" t="s">
        <v>92</v>
      </c>
      <c r="G2210" s="11" t="s">
        <v>25</v>
      </c>
      <c r="H2210" s="11" t="s">
        <v>32</v>
      </c>
      <c r="I2210" s="11" t="s">
        <v>34</v>
      </c>
      <c r="J2210" s="11" t="s">
        <v>246</v>
      </c>
      <c r="K2210" s="11">
        <v>43</v>
      </c>
      <c r="L2210" s="12">
        <v>80</v>
      </c>
      <c r="M2210" s="13">
        <v>3440</v>
      </c>
      <c r="N2210" s="11" t="s">
        <v>367</v>
      </c>
      <c r="O2210" s="11" t="s">
        <v>19</v>
      </c>
      <c r="Q2210"/>
    </row>
    <row r="2211" spans="1:17" ht="15.6" x14ac:dyDescent="0.3">
      <c r="A2211" s="15">
        <v>10356</v>
      </c>
      <c r="B2211" s="14">
        <v>38330</v>
      </c>
      <c r="C2211" s="14" t="s">
        <v>305</v>
      </c>
      <c r="D2211" s="15" t="s">
        <v>126</v>
      </c>
      <c r="E2211" s="15" t="s">
        <v>91</v>
      </c>
      <c r="F2211" s="15" t="s">
        <v>92</v>
      </c>
      <c r="G2211" s="15" t="s">
        <v>25</v>
      </c>
      <c r="H2211" s="15" t="s">
        <v>17</v>
      </c>
      <c r="I2211" s="15" t="s">
        <v>52</v>
      </c>
      <c r="J2211" s="15" t="s">
        <v>256</v>
      </c>
      <c r="K2211" s="15">
        <v>50</v>
      </c>
      <c r="L2211" s="16">
        <v>45</v>
      </c>
      <c r="M2211" s="17">
        <v>2250</v>
      </c>
      <c r="N2211" s="15" t="s">
        <v>368</v>
      </c>
      <c r="O2211" s="15" t="s">
        <v>19</v>
      </c>
      <c r="Q2211"/>
    </row>
    <row r="2212" spans="1:17" ht="15.6" x14ac:dyDescent="0.3">
      <c r="A2212" s="11">
        <v>10356</v>
      </c>
      <c r="B2212" s="10">
        <v>38330</v>
      </c>
      <c r="C2212" s="10" t="s">
        <v>305</v>
      </c>
      <c r="D2212" s="11" t="s">
        <v>126</v>
      </c>
      <c r="E2212" s="11" t="s">
        <v>91</v>
      </c>
      <c r="F2212" s="11" t="s">
        <v>92</v>
      </c>
      <c r="G2212" s="11" t="s">
        <v>25</v>
      </c>
      <c r="H2212" s="11" t="s">
        <v>17</v>
      </c>
      <c r="I2212" s="11" t="s">
        <v>20</v>
      </c>
      <c r="J2212" s="11" t="s">
        <v>242</v>
      </c>
      <c r="K2212" s="11">
        <v>22</v>
      </c>
      <c r="L2212" s="12">
        <v>48</v>
      </c>
      <c r="M2212" s="13">
        <v>1056</v>
      </c>
      <c r="N2212" s="11" t="s">
        <v>367</v>
      </c>
      <c r="O2212" s="11" t="s">
        <v>19</v>
      </c>
      <c r="Q2212"/>
    </row>
    <row r="2213" spans="1:17" ht="15.6" x14ac:dyDescent="0.3">
      <c r="A2213" s="15">
        <v>10356</v>
      </c>
      <c r="B2213" s="14">
        <v>38330</v>
      </c>
      <c r="C2213" s="14" t="s">
        <v>305</v>
      </c>
      <c r="D2213" s="15" t="s">
        <v>126</v>
      </c>
      <c r="E2213" s="15" t="s">
        <v>91</v>
      </c>
      <c r="F2213" s="15" t="s">
        <v>92</v>
      </c>
      <c r="G2213" s="15" t="s">
        <v>25</v>
      </c>
      <c r="H2213" s="15" t="s">
        <v>32</v>
      </c>
      <c r="I2213" s="15" t="s">
        <v>34</v>
      </c>
      <c r="J2213" s="15" t="s">
        <v>246</v>
      </c>
      <c r="K2213" s="15">
        <v>27</v>
      </c>
      <c r="L2213" s="16">
        <v>80</v>
      </c>
      <c r="M2213" s="17">
        <v>2160</v>
      </c>
      <c r="N2213" s="15" t="s">
        <v>367</v>
      </c>
      <c r="O2213" s="15" t="s">
        <v>19</v>
      </c>
      <c r="Q2213"/>
    </row>
    <row r="2214" spans="1:17" ht="15.6" x14ac:dyDescent="0.3">
      <c r="A2214" s="11">
        <v>10356</v>
      </c>
      <c r="B2214" s="10">
        <v>38330</v>
      </c>
      <c r="C2214" s="10" t="s">
        <v>305</v>
      </c>
      <c r="D2214" s="11" t="s">
        <v>126</v>
      </c>
      <c r="E2214" s="11" t="s">
        <v>91</v>
      </c>
      <c r="F2214" s="11" t="s">
        <v>92</v>
      </c>
      <c r="G2214" s="11" t="s">
        <v>25</v>
      </c>
      <c r="H2214" s="11" t="s">
        <v>17</v>
      </c>
      <c r="I2214" s="11" t="s">
        <v>20</v>
      </c>
      <c r="J2214" s="11" t="s">
        <v>242</v>
      </c>
      <c r="K2214" s="11">
        <v>29</v>
      </c>
      <c r="L2214" s="12">
        <v>48</v>
      </c>
      <c r="M2214" s="13">
        <v>1392</v>
      </c>
      <c r="N2214" s="11" t="s">
        <v>367</v>
      </c>
      <c r="O2214" s="11" t="s">
        <v>19</v>
      </c>
      <c r="Q2214"/>
    </row>
    <row r="2215" spans="1:17" ht="15.6" x14ac:dyDescent="0.3">
      <c r="A2215" s="15">
        <v>10356</v>
      </c>
      <c r="B2215" s="14">
        <v>38330</v>
      </c>
      <c r="C2215" s="14" t="s">
        <v>305</v>
      </c>
      <c r="D2215" s="15" t="s">
        <v>126</v>
      </c>
      <c r="E2215" s="15" t="s">
        <v>91</v>
      </c>
      <c r="F2215" s="15" t="s">
        <v>92</v>
      </c>
      <c r="G2215" s="15" t="s">
        <v>25</v>
      </c>
      <c r="H2215" s="15" t="s">
        <v>17</v>
      </c>
      <c r="I2215" s="15" t="s">
        <v>82</v>
      </c>
      <c r="J2215" s="15" t="s">
        <v>270</v>
      </c>
      <c r="K2215" s="15">
        <v>30</v>
      </c>
      <c r="L2215" s="16">
        <v>75</v>
      </c>
      <c r="M2215" s="17">
        <v>2250</v>
      </c>
      <c r="N2215" s="15" t="s">
        <v>367</v>
      </c>
      <c r="O2215" s="15" t="s">
        <v>19</v>
      </c>
      <c r="Q2215"/>
    </row>
    <row r="2216" spans="1:17" ht="15.6" x14ac:dyDescent="0.3">
      <c r="A2216" s="11">
        <v>10356</v>
      </c>
      <c r="B2216" s="10">
        <v>38330</v>
      </c>
      <c r="C2216" s="10" t="s">
        <v>305</v>
      </c>
      <c r="D2216" s="11" t="s">
        <v>126</v>
      </c>
      <c r="E2216" s="11" t="s">
        <v>91</v>
      </c>
      <c r="F2216" s="11" t="s">
        <v>92</v>
      </c>
      <c r="G2216" s="11" t="s">
        <v>25</v>
      </c>
      <c r="H2216" s="11" t="s">
        <v>17</v>
      </c>
      <c r="I2216" s="11" t="s">
        <v>26</v>
      </c>
      <c r="J2216" s="11" t="s">
        <v>244</v>
      </c>
      <c r="K2216" s="11">
        <v>48</v>
      </c>
      <c r="L2216" s="12">
        <v>60</v>
      </c>
      <c r="M2216" s="13">
        <v>2880</v>
      </c>
      <c r="N2216" s="11" t="s">
        <v>367</v>
      </c>
      <c r="O2216" s="11" t="s">
        <v>19</v>
      </c>
      <c r="Q2216"/>
    </row>
    <row r="2217" spans="1:17" ht="15.6" x14ac:dyDescent="0.3">
      <c r="A2217" s="15">
        <v>10356</v>
      </c>
      <c r="B2217" s="14">
        <v>38330</v>
      </c>
      <c r="C2217" s="14" t="s">
        <v>305</v>
      </c>
      <c r="D2217" s="15" t="s">
        <v>126</v>
      </c>
      <c r="E2217" s="15" t="s">
        <v>91</v>
      </c>
      <c r="F2217" s="15" t="s">
        <v>92</v>
      </c>
      <c r="G2217" s="15" t="s">
        <v>25</v>
      </c>
      <c r="H2217" s="15" t="s">
        <v>17</v>
      </c>
      <c r="I2217" s="15" t="s">
        <v>20</v>
      </c>
      <c r="J2217" s="15" t="s">
        <v>242</v>
      </c>
      <c r="K2217" s="15">
        <v>26</v>
      </c>
      <c r="L2217" s="16">
        <v>48</v>
      </c>
      <c r="M2217" s="17">
        <v>1248</v>
      </c>
      <c r="N2217" s="15" t="s">
        <v>367</v>
      </c>
      <c r="O2217" s="15" t="s">
        <v>19</v>
      </c>
      <c r="Q2217"/>
    </row>
    <row r="2218" spans="1:17" ht="15.6" x14ac:dyDescent="0.3">
      <c r="A2218" s="11">
        <v>10356</v>
      </c>
      <c r="B2218" s="10">
        <v>38330</v>
      </c>
      <c r="C2218" s="10" t="s">
        <v>305</v>
      </c>
      <c r="D2218" s="11" t="s">
        <v>126</v>
      </c>
      <c r="E2218" s="11" t="s">
        <v>91</v>
      </c>
      <c r="F2218" s="11" t="s">
        <v>92</v>
      </c>
      <c r="G2218" s="11" t="s">
        <v>25</v>
      </c>
      <c r="H2218" s="11" t="s">
        <v>68</v>
      </c>
      <c r="I2218" s="11" t="s">
        <v>69</v>
      </c>
      <c r="J2218" s="11" t="s">
        <v>266</v>
      </c>
      <c r="K2218" s="11">
        <v>26</v>
      </c>
      <c r="L2218" s="12">
        <v>25</v>
      </c>
      <c r="M2218" s="13">
        <v>650</v>
      </c>
      <c r="N2218" s="11" t="s">
        <v>367</v>
      </c>
      <c r="O2218" s="11" t="s">
        <v>19</v>
      </c>
      <c r="Q2218"/>
    </row>
    <row r="2219" spans="1:17" ht="15.6" x14ac:dyDescent="0.3">
      <c r="A2219" s="15">
        <v>10357</v>
      </c>
      <c r="B2219" s="14">
        <v>38331</v>
      </c>
      <c r="C2219" s="14" t="s">
        <v>288</v>
      </c>
      <c r="D2219" s="15" t="s">
        <v>88</v>
      </c>
      <c r="E2219" s="15" t="s">
        <v>89</v>
      </c>
      <c r="F2219" s="15" t="s">
        <v>15</v>
      </c>
      <c r="G2219" s="15" t="s">
        <v>16</v>
      </c>
      <c r="H2219" s="15" t="s">
        <v>32</v>
      </c>
      <c r="I2219" s="15" t="s">
        <v>44</v>
      </c>
      <c r="J2219" s="15" t="s">
        <v>252</v>
      </c>
      <c r="K2219" s="15">
        <v>32</v>
      </c>
      <c r="L2219" s="16">
        <v>55</v>
      </c>
      <c r="M2219" s="17">
        <v>1760</v>
      </c>
      <c r="N2219" s="15" t="s">
        <v>367</v>
      </c>
      <c r="O2219" s="15" t="s">
        <v>19</v>
      </c>
      <c r="Q2219"/>
    </row>
    <row r="2220" spans="1:17" ht="15.6" x14ac:dyDescent="0.3">
      <c r="A2220" s="11">
        <v>10357</v>
      </c>
      <c r="B2220" s="10">
        <v>38331</v>
      </c>
      <c r="C2220" s="10" t="s">
        <v>288</v>
      </c>
      <c r="D2220" s="11" t="s">
        <v>88</v>
      </c>
      <c r="E2220" s="11" t="s">
        <v>89</v>
      </c>
      <c r="F2220" s="11" t="s">
        <v>15</v>
      </c>
      <c r="G2220" s="11" t="s">
        <v>16</v>
      </c>
      <c r="H2220" s="11" t="s">
        <v>32</v>
      </c>
      <c r="I2220" s="11" t="s">
        <v>46</v>
      </c>
      <c r="J2220" s="11" t="s">
        <v>254</v>
      </c>
      <c r="K2220" s="11">
        <v>43</v>
      </c>
      <c r="L2220" s="12">
        <v>90</v>
      </c>
      <c r="M2220" s="13">
        <v>3870</v>
      </c>
      <c r="N2220" s="11" t="s">
        <v>367</v>
      </c>
      <c r="O2220" s="11" t="s">
        <v>19</v>
      </c>
      <c r="Q2220"/>
    </row>
    <row r="2221" spans="1:17" ht="15.6" x14ac:dyDescent="0.3">
      <c r="A2221" s="15">
        <v>10357</v>
      </c>
      <c r="B2221" s="14">
        <v>38331</v>
      </c>
      <c r="C2221" s="14" t="s">
        <v>288</v>
      </c>
      <c r="D2221" s="15" t="s">
        <v>88</v>
      </c>
      <c r="E2221" s="15" t="s">
        <v>89</v>
      </c>
      <c r="F2221" s="15" t="s">
        <v>15</v>
      </c>
      <c r="G2221" s="15" t="s">
        <v>16</v>
      </c>
      <c r="H2221" s="15" t="s">
        <v>35</v>
      </c>
      <c r="I2221" s="15" t="s">
        <v>38</v>
      </c>
      <c r="J2221" s="15" t="s">
        <v>249</v>
      </c>
      <c r="K2221" s="15">
        <v>49</v>
      </c>
      <c r="L2221" s="16">
        <v>20</v>
      </c>
      <c r="M2221" s="17">
        <v>980</v>
      </c>
      <c r="N2221" s="15" t="s">
        <v>367</v>
      </c>
      <c r="O2221" s="15" t="s">
        <v>19</v>
      </c>
      <c r="Q2221"/>
    </row>
    <row r="2222" spans="1:17" ht="15.6" x14ac:dyDescent="0.3">
      <c r="A2222" s="11">
        <v>10358</v>
      </c>
      <c r="B2222" s="10">
        <v>38331</v>
      </c>
      <c r="C2222" s="10" t="s">
        <v>279</v>
      </c>
      <c r="D2222" s="11" t="s">
        <v>41</v>
      </c>
      <c r="E2222" s="11" t="s">
        <v>42</v>
      </c>
      <c r="F2222" s="11" t="s">
        <v>43</v>
      </c>
      <c r="G2222" s="11" t="s">
        <v>25</v>
      </c>
      <c r="H2222" s="11" t="s">
        <v>32</v>
      </c>
      <c r="I2222" s="11" t="s">
        <v>33</v>
      </c>
      <c r="J2222" s="11" t="s">
        <v>245</v>
      </c>
      <c r="K2222" s="11">
        <v>49</v>
      </c>
      <c r="L2222" s="12">
        <v>85</v>
      </c>
      <c r="M2222" s="13">
        <v>4165</v>
      </c>
      <c r="N2222" s="11" t="s">
        <v>367</v>
      </c>
      <c r="O2222" s="11" t="s">
        <v>19</v>
      </c>
      <c r="Q2222"/>
    </row>
    <row r="2223" spans="1:17" ht="15.6" x14ac:dyDescent="0.3">
      <c r="A2223" s="15">
        <v>10358</v>
      </c>
      <c r="B2223" s="14">
        <v>38331</v>
      </c>
      <c r="C2223" s="14" t="s">
        <v>279</v>
      </c>
      <c r="D2223" s="15" t="s">
        <v>41</v>
      </c>
      <c r="E2223" s="15" t="s">
        <v>42</v>
      </c>
      <c r="F2223" s="15" t="s">
        <v>43</v>
      </c>
      <c r="G2223" s="15" t="s">
        <v>25</v>
      </c>
      <c r="H2223" s="15" t="s">
        <v>35</v>
      </c>
      <c r="I2223" s="15" t="s">
        <v>38</v>
      </c>
      <c r="J2223" s="15" t="s">
        <v>249</v>
      </c>
      <c r="K2223" s="15">
        <v>42</v>
      </c>
      <c r="L2223" s="16">
        <v>20</v>
      </c>
      <c r="M2223" s="17">
        <v>840</v>
      </c>
      <c r="N2223" s="15" t="s">
        <v>367</v>
      </c>
      <c r="O2223" s="15" t="s">
        <v>19</v>
      </c>
      <c r="Q2223"/>
    </row>
    <row r="2224" spans="1:17" ht="15.6" x14ac:dyDescent="0.3">
      <c r="A2224" s="11">
        <v>10357</v>
      </c>
      <c r="B2224" s="10">
        <v>38331</v>
      </c>
      <c r="C2224" s="10" t="s">
        <v>288</v>
      </c>
      <c r="D2224" s="11" t="s">
        <v>88</v>
      </c>
      <c r="E2224" s="11" t="s">
        <v>89</v>
      </c>
      <c r="F2224" s="11" t="s">
        <v>15</v>
      </c>
      <c r="G2224" s="11" t="s">
        <v>16</v>
      </c>
      <c r="H2224" s="11" t="s">
        <v>35</v>
      </c>
      <c r="I2224" s="11" t="s">
        <v>39</v>
      </c>
      <c r="J2224" s="11" t="s">
        <v>250</v>
      </c>
      <c r="K2224" s="11">
        <v>39</v>
      </c>
      <c r="L2224" s="12">
        <v>20</v>
      </c>
      <c r="M2224" s="13">
        <v>780</v>
      </c>
      <c r="N2224" s="11" t="s">
        <v>367</v>
      </c>
      <c r="O2224" s="11" t="s">
        <v>19</v>
      </c>
      <c r="Q2224"/>
    </row>
    <row r="2225" spans="1:17" ht="15.6" x14ac:dyDescent="0.3">
      <c r="A2225" s="15">
        <v>10358</v>
      </c>
      <c r="B2225" s="14">
        <v>38331</v>
      </c>
      <c r="C2225" s="14" t="s">
        <v>279</v>
      </c>
      <c r="D2225" s="15" t="s">
        <v>41</v>
      </c>
      <c r="E2225" s="15" t="s">
        <v>42</v>
      </c>
      <c r="F2225" s="15" t="s">
        <v>43</v>
      </c>
      <c r="G2225" s="15" t="s">
        <v>25</v>
      </c>
      <c r="H2225" s="15" t="s">
        <v>32</v>
      </c>
      <c r="I2225" s="15" t="s">
        <v>44</v>
      </c>
      <c r="J2225" s="15" t="s">
        <v>252</v>
      </c>
      <c r="K2225" s="15">
        <v>20</v>
      </c>
      <c r="L2225" s="16">
        <v>55</v>
      </c>
      <c r="M2225" s="17">
        <v>1100</v>
      </c>
      <c r="N2225" s="15" t="s">
        <v>367</v>
      </c>
      <c r="O2225" s="15" t="s">
        <v>19</v>
      </c>
      <c r="Q2225"/>
    </row>
    <row r="2226" spans="1:17" ht="15.6" x14ac:dyDescent="0.3">
      <c r="A2226" s="11">
        <v>10358</v>
      </c>
      <c r="B2226" s="10">
        <v>38331</v>
      </c>
      <c r="C2226" s="10" t="s">
        <v>279</v>
      </c>
      <c r="D2226" s="11" t="s">
        <v>41</v>
      </c>
      <c r="E2226" s="11" t="s">
        <v>42</v>
      </c>
      <c r="F2226" s="11" t="s">
        <v>43</v>
      </c>
      <c r="G2226" s="11" t="s">
        <v>25</v>
      </c>
      <c r="H2226" s="11" t="s">
        <v>35</v>
      </c>
      <c r="I2226" s="11" t="s">
        <v>37</v>
      </c>
      <c r="J2226" s="11" t="s">
        <v>248</v>
      </c>
      <c r="K2226" s="11">
        <v>20</v>
      </c>
      <c r="L2226" s="12">
        <v>30</v>
      </c>
      <c r="M2226" s="13">
        <v>600</v>
      </c>
      <c r="N2226" s="11" t="s">
        <v>367</v>
      </c>
      <c r="O2226" s="11" t="s">
        <v>19</v>
      </c>
      <c r="Q2226"/>
    </row>
    <row r="2227" spans="1:17" ht="15.6" x14ac:dyDescent="0.3">
      <c r="A2227" s="15">
        <v>10357</v>
      </c>
      <c r="B2227" s="14">
        <v>38331</v>
      </c>
      <c r="C2227" s="14" t="s">
        <v>288</v>
      </c>
      <c r="D2227" s="15" t="s">
        <v>88</v>
      </c>
      <c r="E2227" s="15" t="s">
        <v>89</v>
      </c>
      <c r="F2227" s="15" t="s">
        <v>15</v>
      </c>
      <c r="G2227" s="15" t="s">
        <v>16</v>
      </c>
      <c r="H2227" s="15" t="s">
        <v>35</v>
      </c>
      <c r="I2227" s="15" t="s">
        <v>40</v>
      </c>
      <c r="J2227" s="15" t="s">
        <v>251</v>
      </c>
      <c r="K2227" s="15">
        <v>41</v>
      </c>
      <c r="L2227" s="16">
        <v>25</v>
      </c>
      <c r="M2227" s="17">
        <v>1025</v>
      </c>
      <c r="N2227" s="15" t="s">
        <v>367</v>
      </c>
      <c r="O2227" s="15" t="s">
        <v>19</v>
      </c>
      <c r="Q2227"/>
    </row>
    <row r="2228" spans="1:17" ht="15.6" x14ac:dyDescent="0.3">
      <c r="A2228" s="11">
        <v>10357</v>
      </c>
      <c r="B2228" s="10">
        <v>38331</v>
      </c>
      <c r="C2228" s="10" t="s">
        <v>288</v>
      </c>
      <c r="D2228" s="11" t="s">
        <v>88</v>
      </c>
      <c r="E2228" s="11" t="s">
        <v>89</v>
      </c>
      <c r="F2228" s="11" t="s">
        <v>15</v>
      </c>
      <c r="G2228" s="11" t="s">
        <v>16</v>
      </c>
      <c r="H2228" s="11" t="s">
        <v>17</v>
      </c>
      <c r="I2228" s="11" t="s">
        <v>20</v>
      </c>
      <c r="J2228" s="11" t="s">
        <v>242</v>
      </c>
      <c r="K2228" s="11">
        <v>41</v>
      </c>
      <c r="L2228" s="12">
        <v>48</v>
      </c>
      <c r="M2228" s="13">
        <v>1968</v>
      </c>
      <c r="N2228" s="11" t="s">
        <v>367</v>
      </c>
      <c r="O2228" s="11" t="s">
        <v>19</v>
      </c>
      <c r="Q2228"/>
    </row>
    <row r="2229" spans="1:17" ht="15.6" x14ac:dyDescent="0.3">
      <c r="A2229" s="15">
        <v>10357</v>
      </c>
      <c r="B2229" s="14">
        <v>38331</v>
      </c>
      <c r="C2229" s="14" t="s">
        <v>288</v>
      </c>
      <c r="D2229" s="15" t="s">
        <v>88</v>
      </c>
      <c r="E2229" s="15" t="s">
        <v>89</v>
      </c>
      <c r="F2229" s="15" t="s">
        <v>15</v>
      </c>
      <c r="G2229" s="15" t="s">
        <v>16</v>
      </c>
      <c r="H2229" s="15" t="s">
        <v>17</v>
      </c>
      <c r="I2229" s="15" t="s">
        <v>18</v>
      </c>
      <c r="J2229" s="15" t="s">
        <v>241</v>
      </c>
      <c r="K2229" s="15">
        <v>49</v>
      </c>
      <c r="L2229" s="16">
        <v>30</v>
      </c>
      <c r="M2229" s="17">
        <v>1470</v>
      </c>
      <c r="N2229" s="15" t="s">
        <v>367</v>
      </c>
      <c r="O2229" s="15" t="s">
        <v>19</v>
      </c>
      <c r="Q2229"/>
    </row>
    <row r="2230" spans="1:17" ht="15.6" x14ac:dyDescent="0.3">
      <c r="A2230" s="11">
        <v>10357</v>
      </c>
      <c r="B2230" s="10">
        <v>38331</v>
      </c>
      <c r="C2230" s="10" t="s">
        <v>288</v>
      </c>
      <c r="D2230" s="11" t="s">
        <v>88</v>
      </c>
      <c r="E2230" s="11" t="s">
        <v>89</v>
      </c>
      <c r="F2230" s="11" t="s">
        <v>15</v>
      </c>
      <c r="G2230" s="11" t="s">
        <v>16</v>
      </c>
      <c r="H2230" s="11" t="s">
        <v>17</v>
      </c>
      <c r="I2230" s="11" t="s">
        <v>18</v>
      </c>
      <c r="J2230" s="11" t="s">
        <v>241</v>
      </c>
      <c r="K2230" s="11">
        <v>44</v>
      </c>
      <c r="L2230" s="12">
        <v>30</v>
      </c>
      <c r="M2230" s="13">
        <v>1320</v>
      </c>
      <c r="N2230" s="11" t="s">
        <v>367</v>
      </c>
      <c r="O2230" s="11" t="s">
        <v>19</v>
      </c>
      <c r="Q2230"/>
    </row>
    <row r="2231" spans="1:17" ht="15.6" x14ac:dyDescent="0.3">
      <c r="A2231" s="15">
        <v>10358</v>
      </c>
      <c r="B2231" s="14">
        <v>38331</v>
      </c>
      <c r="C2231" s="14" t="s">
        <v>279</v>
      </c>
      <c r="D2231" s="15" t="s">
        <v>41</v>
      </c>
      <c r="E2231" s="15" t="s">
        <v>42</v>
      </c>
      <c r="F2231" s="15" t="s">
        <v>43</v>
      </c>
      <c r="G2231" s="15" t="s">
        <v>25</v>
      </c>
      <c r="H2231" s="15" t="s">
        <v>32</v>
      </c>
      <c r="I2231" s="15" t="s">
        <v>33</v>
      </c>
      <c r="J2231" s="15" t="s">
        <v>245</v>
      </c>
      <c r="K2231" s="15">
        <v>32</v>
      </c>
      <c r="L2231" s="16">
        <v>85</v>
      </c>
      <c r="M2231" s="17">
        <v>2720</v>
      </c>
      <c r="N2231" s="15" t="s">
        <v>367</v>
      </c>
      <c r="O2231" s="15" t="s">
        <v>19</v>
      </c>
      <c r="Q2231"/>
    </row>
    <row r="2232" spans="1:17" ht="15.6" x14ac:dyDescent="0.3">
      <c r="A2232" s="11">
        <v>10357</v>
      </c>
      <c r="B2232" s="10">
        <v>38331</v>
      </c>
      <c r="C2232" s="10" t="s">
        <v>288</v>
      </c>
      <c r="D2232" s="11" t="s">
        <v>88</v>
      </c>
      <c r="E2232" s="11" t="s">
        <v>89</v>
      </c>
      <c r="F2232" s="11" t="s">
        <v>15</v>
      </c>
      <c r="G2232" s="11" t="s">
        <v>16</v>
      </c>
      <c r="H2232" s="11" t="s">
        <v>17</v>
      </c>
      <c r="I2232" s="11" t="s">
        <v>20</v>
      </c>
      <c r="J2232" s="11" t="s">
        <v>242</v>
      </c>
      <c r="K2232" s="11">
        <v>25</v>
      </c>
      <c r="L2232" s="12">
        <v>48</v>
      </c>
      <c r="M2232" s="13">
        <v>1200</v>
      </c>
      <c r="N2232" s="11" t="s">
        <v>367</v>
      </c>
      <c r="O2232" s="11" t="s">
        <v>19</v>
      </c>
      <c r="Q2232"/>
    </row>
    <row r="2233" spans="1:17" ht="15.6" x14ac:dyDescent="0.3">
      <c r="A2233" s="15">
        <v>10358</v>
      </c>
      <c r="B2233" s="14">
        <v>38331</v>
      </c>
      <c r="C2233" s="14" t="s">
        <v>279</v>
      </c>
      <c r="D2233" s="15" t="s">
        <v>41</v>
      </c>
      <c r="E2233" s="15" t="s">
        <v>42</v>
      </c>
      <c r="F2233" s="15" t="s">
        <v>43</v>
      </c>
      <c r="G2233" s="15" t="s">
        <v>25</v>
      </c>
      <c r="H2233" s="15" t="s">
        <v>32</v>
      </c>
      <c r="I2233" s="15" t="s">
        <v>33</v>
      </c>
      <c r="J2233" s="15" t="s">
        <v>245</v>
      </c>
      <c r="K2233" s="15">
        <v>25</v>
      </c>
      <c r="L2233" s="16">
        <v>85</v>
      </c>
      <c r="M2233" s="17">
        <v>2125</v>
      </c>
      <c r="N2233" s="15" t="s">
        <v>367</v>
      </c>
      <c r="O2233" s="15" t="s">
        <v>19</v>
      </c>
      <c r="Q2233"/>
    </row>
    <row r="2234" spans="1:17" ht="15.6" x14ac:dyDescent="0.3">
      <c r="A2234" s="11">
        <v>10357</v>
      </c>
      <c r="B2234" s="10">
        <v>38331</v>
      </c>
      <c r="C2234" s="10" t="s">
        <v>288</v>
      </c>
      <c r="D2234" s="11" t="s">
        <v>88</v>
      </c>
      <c r="E2234" s="11" t="s">
        <v>89</v>
      </c>
      <c r="F2234" s="11" t="s">
        <v>15</v>
      </c>
      <c r="G2234" s="11" t="s">
        <v>16</v>
      </c>
      <c r="H2234" s="11" t="s">
        <v>35</v>
      </c>
      <c r="I2234" s="11" t="s">
        <v>39</v>
      </c>
      <c r="J2234" s="11" t="s">
        <v>250</v>
      </c>
      <c r="K2234" s="11">
        <v>28</v>
      </c>
      <c r="L2234" s="12">
        <v>20</v>
      </c>
      <c r="M2234" s="13">
        <v>560</v>
      </c>
      <c r="N2234" s="11" t="s">
        <v>367</v>
      </c>
      <c r="O2234" s="11" t="s">
        <v>19</v>
      </c>
      <c r="Q2234"/>
    </row>
    <row r="2235" spans="1:17" ht="15.6" x14ac:dyDescent="0.3">
      <c r="A2235" s="15">
        <v>10358</v>
      </c>
      <c r="B2235" s="14">
        <v>38331</v>
      </c>
      <c r="C2235" s="14" t="s">
        <v>279</v>
      </c>
      <c r="D2235" s="15" t="s">
        <v>41</v>
      </c>
      <c r="E2235" s="15" t="s">
        <v>42</v>
      </c>
      <c r="F2235" s="15" t="s">
        <v>43</v>
      </c>
      <c r="G2235" s="15" t="s">
        <v>25</v>
      </c>
      <c r="H2235" s="15" t="s">
        <v>17</v>
      </c>
      <c r="I2235" s="15" t="s">
        <v>20</v>
      </c>
      <c r="J2235" s="15" t="s">
        <v>242</v>
      </c>
      <c r="K2235" s="15">
        <v>30</v>
      </c>
      <c r="L2235" s="16">
        <v>48</v>
      </c>
      <c r="M2235" s="17">
        <v>1440</v>
      </c>
      <c r="N2235" s="15" t="s">
        <v>367</v>
      </c>
      <c r="O2235" s="15" t="s">
        <v>19</v>
      </c>
      <c r="Q2235"/>
    </row>
    <row r="2236" spans="1:17" ht="15.6" x14ac:dyDescent="0.3">
      <c r="A2236" s="11">
        <v>10358</v>
      </c>
      <c r="B2236" s="10">
        <v>38331</v>
      </c>
      <c r="C2236" s="10" t="s">
        <v>279</v>
      </c>
      <c r="D2236" s="11" t="s">
        <v>41</v>
      </c>
      <c r="E2236" s="11" t="s">
        <v>42</v>
      </c>
      <c r="F2236" s="11" t="s">
        <v>43</v>
      </c>
      <c r="G2236" s="11" t="s">
        <v>25</v>
      </c>
      <c r="H2236" s="11" t="s">
        <v>32</v>
      </c>
      <c r="I2236" s="11" t="s">
        <v>46</v>
      </c>
      <c r="J2236" s="11" t="s">
        <v>254</v>
      </c>
      <c r="K2236" s="11">
        <v>44</v>
      </c>
      <c r="L2236" s="12">
        <v>90</v>
      </c>
      <c r="M2236" s="13">
        <v>3960</v>
      </c>
      <c r="N2236" s="11" t="s">
        <v>367</v>
      </c>
      <c r="O2236" s="11" t="s">
        <v>19</v>
      </c>
      <c r="Q2236"/>
    </row>
    <row r="2237" spans="1:17" ht="15.6" x14ac:dyDescent="0.3">
      <c r="A2237" s="15">
        <v>10358</v>
      </c>
      <c r="B2237" s="14">
        <v>38331</v>
      </c>
      <c r="C2237" s="14" t="s">
        <v>279</v>
      </c>
      <c r="D2237" s="15" t="s">
        <v>41</v>
      </c>
      <c r="E2237" s="15" t="s">
        <v>42</v>
      </c>
      <c r="F2237" s="15" t="s">
        <v>43</v>
      </c>
      <c r="G2237" s="15" t="s">
        <v>25</v>
      </c>
      <c r="H2237" s="15" t="s">
        <v>35</v>
      </c>
      <c r="I2237" s="15" t="s">
        <v>40</v>
      </c>
      <c r="J2237" s="15" t="s">
        <v>251</v>
      </c>
      <c r="K2237" s="15">
        <v>41</v>
      </c>
      <c r="L2237" s="16">
        <v>25</v>
      </c>
      <c r="M2237" s="17">
        <v>1025</v>
      </c>
      <c r="N2237" s="15" t="s">
        <v>367</v>
      </c>
      <c r="O2237" s="15" t="s">
        <v>19</v>
      </c>
      <c r="Q2237"/>
    </row>
    <row r="2238" spans="1:17" ht="15.6" x14ac:dyDescent="0.3">
      <c r="A2238" s="11">
        <v>10358</v>
      </c>
      <c r="B2238" s="10">
        <v>38331</v>
      </c>
      <c r="C2238" s="10" t="s">
        <v>279</v>
      </c>
      <c r="D2238" s="11" t="s">
        <v>41</v>
      </c>
      <c r="E2238" s="11" t="s">
        <v>42</v>
      </c>
      <c r="F2238" s="11" t="s">
        <v>43</v>
      </c>
      <c r="G2238" s="11" t="s">
        <v>25</v>
      </c>
      <c r="H2238" s="11" t="s">
        <v>32</v>
      </c>
      <c r="I2238" s="11" t="s">
        <v>44</v>
      </c>
      <c r="J2238" s="11" t="s">
        <v>252</v>
      </c>
      <c r="K2238" s="11">
        <v>36</v>
      </c>
      <c r="L2238" s="12">
        <v>55</v>
      </c>
      <c r="M2238" s="13">
        <v>1980</v>
      </c>
      <c r="N2238" s="11" t="s">
        <v>367</v>
      </c>
      <c r="O2238" s="11" t="s">
        <v>19</v>
      </c>
      <c r="Q2238"/>
    </row>
    <row r="2239" spans="1:17" ht="15.6" x14ac:dyDescent="0.3">
      <c r="A2239" s="15">
        <v>10358</v>
      </c>
      <c r="B2239" s="14">
        <v>38331</v>
      </c>
      <c r="C2239" s="14" t="s">
        <v>279</v>
      </c>
      <c r="D2239" s="15" t="s">
        <v>41</v>
      </c>
      <c r="E2239" s="15" t="s">
        <v>42</v>
      </c>
      <c r="F2239" s="15" t="s">
        <v>43</v>
      </c>
      <c r="G2239" s="15" t="s">
        <v>25</v>
      </c>
      <c r="H2239" s="15" t="s">
        <v>17</v>
      </c>
      <c r="I2239" s="15" t="s">
        <v>18</v>
      </c>
      <c r="J2239" s="15" t="s">
        <v>241</v>
      </c>
      <c r="K2239" s="15">
        <v>41</v>
      </c>
      <c r="L2239" s="16">
        <v>30</v>
      </c>
      <c r="M2239" s="17">
        <v>1230</v>
      </c>
      <c r="N2239" s="15" t="s">
        <v>367</v>
      </c>
      <c r="O2239" s="15" t="s">
        <v>19</v>
      </c>
      <c r="Q2239"/>
    </row>
    <row r="2240" spans="1:17" ht="15.6" x14ac:dyDescent="0.3">
      <c r="A2240" s="11">
        <v>10358</v>
      </c>
      <c r="B2240" s="10">
        <v>38331</v>
      </c>
      <c r="C2240" s="10" t="s">
        <v>279</v>
      </c>
      <c r="D2240" s="11" t="s">
        <v>41</v>
      </c>
      <c r="E2240" s="11" t="s">
        <v>42</v>
      </c>
      <c r="F2240" s="11" t="s">
        <v>43</v>
      </c>
      <c r="G2240" s="11" t="s">
        <v>25</v>
      </c>
      <c r="H2240" s="11" t="s">
        <v>35</v>
      </c>
      <c r="I2240" s="11" t="s">
        <v>39</v>
      </c>
      <c r="J2240" s="11" t="s">
        <v>250</v>
      </c>
      <c r="K2240" s="11">
        <v>41</v>
      </c>
      <c r="L2240" s="12">
        <v>20</v>
      </c>
      <c r="M2240" s="13">
        <v>820</v>
      </c>
      <c r="N2240" s="11" t="s">
        <v>367</v>
      </c>
      <c r="O2240" s="11" t="s">
        <v>19</v>
      </c>
      <c r="Q2240"/>
    </row>
    <row r="2241" spans="1:17" ht="15.6" x14ac:dyDescent="0.3">
      <c r="A2241" s="15">
        <v>10358</v>
      </c>
      <c r="B2241" s="14">
        <v>38331</v>
      </c>
      <c r="C2241" s="14" t="s">
        <v>279</v>
      </c>
      <c r="D2241" s="15" t="s">
        <v>41</v>
      </c>
      <c r="E2241" s="15" t="s">
        <v>42</v>
      </c>
      <c r="F2241" s="15" t="s">
        <v>43</v>
      </c>
      <c r="G2241" s="15" t="s">
        <v>25</v>
      </c>
      <c r="H2241" s="15" t="s">
        <v>35</v>
      </c>
      <c r="I2241" s="15" t="s">
        <v>38</v>
      </c>
      <c r="J2241" s="15" t="s">
        <v>249</v>
      </c>
      <c r="K2241" s="15">
        <v>36</v>
      </c>
      <c r="L2241" s="16">
        <v>20</v>
      </c>
      <c r="M2241" s="17">
        <v>720</v>
      </c>
      <c r="N2241" s="15" t="s">
        <v>367</v>
      </c>
      <c r="O2241" s="15" t="s">
        <v>19</v>
      </c>
      <c r="Q2241"/>
    </row>
    <row r="2242" spans="1:17" ht="15.6" x14ac:dyDescent="0.3">
      <c r="A2242" s="11">
        <v>10358</v>
      </c>
      <c r="B2242" s="10">
        <v>38331</v>
      </c>
      <c r="C2242" s="10" t="s">
        <v>279</v>
      </c>
      <c r="D2242" s="11" t="s">
        <v>41</v>
      </c>
      <c r="E2242" s="11" t="s">
        <v>42</v>
      </c>
      <c r="F2242" s="11" t="s">
        <v>43</v>
      </c>
      <c r="G2242" s="11" t="s">
        <v>25</v>
      </c>
      <c r="H2242" s="11" t="s">
        <v>32</v>
      </c>
      <c r="I2242" s="11" t="s">
        <v>44</v>
      </c>
      <c r="J2242" s="11" t="s">
        <v>252</v>
      </c>
      <c r="K2242" s="11">
        <v>27</v>
      </c>
      <c r="L2242" s="12">
        <v>55</v>
      </c>
      <c r="M2242" s="13">
        <v>1485</v>
      </c>
      <c r="N2242" s="11" t="s">
        <v>367</v>
      </c>
      <c r="O2242" s="11" t="s">
        <v>19</v>
      </c>
      <c r="Q2242"/>
    </row>
    <row r="2243" spans="1:17" ht="15.6" x14ac:dyDescent="0.3">
      <c r="A2243" s="15">
        <v>10359</v>
      </c>
      <c r="B2243" s="14">
        <v>38336</v>
      </c>
      <c r="C2243" s="14" t="s">
        <v>296</v>
      </c>
      <c r="D2243" s="15" t="s">
        <v>109</v>
      </c>
      <c r="E2243" s="15" t="s">
        <v>110</v>
      </c>
      <c r="F2243" s="15" t="s">
        <v>92</v>
      </c>
      <c r="G2243" s="15" t="s">
        <v>25</v>
      </c>
      <c r="H2243" s="15" t="s">
        <v>32</v>
      </c>
      <c r="I2243" s="15" t="s">
        <v>44</v>
      </c>
      <c r="J2243" s="15" t="s">
        <v>252</v>
      </c>
      <c r="K2243" s="15">
        <v>48</v>
      </c>
      <c r="L2243" s="16">
        <v>55</v>
      </c>
      <c r="M2243" s="17">
        <v>2640</v>
      </c>
      <c r="N2243" s="15" t="s">
        <v>367</v>
      </c>
      <c r="O2243" s="15" t="s">
        <v>19</v>
      </c>
      <c r="Q2243"/>
    </row>
    <row r="2244" spans="1:17" ht="15.6" x14ac:dyDescent="0.3">
      <c r="A2244" s="11">
        <v>10359</v>
      </c>
      <c r="B2244" s="10">
        <v>38336</v>
      </c>
      <c r="C2244" s="10" t="s">
        <v>296</v>
      </c>
      <c r="D2244" s="11" t="s">
        <v>109</v>
      </c>
      <c r="E2244" s="11" t="s">
        <v>110</v>
      </c>
      <c r="F2244" s="11" t="s">
        <v>92</v>
      </c>
      <c r="G2244" s="11" t="s">
        <v>25</v>
      </c>
      <c r="H2244" s="11" t="s">
        <v>32</v>
      </c>
      <c r="I2244" s="11" t="s">
        <v>34</v>
      </c>
      <c r="J2244" s="11" t="s">
        <v>246</v>
      </c>
      <c r="K2244" s="11">
        <v>42</v>
      </c>
      <c r="L2244" s="12">
        <v>80</v>
      </c>
      <c r="M2244" s="13">
        <v>3360</v>
      </c>
      <c r="N2244" s="11" t="s">
        <v>367</v>
      </c>
      <c r="O2244" s="11" t="s">
        <v>19</v>
      </c>
      <c r="Q2244"/>
    </row>
    <row r="2245" spans="1:17" ht="15.6" x14ac:dyDescent="0.3">
      <c r="A2245" s="15">
        <v>10359</v>
      </c>
      <c r="B2245" s="14">
        <v>38336</v>
      </c>
      <c r="C2245" s="14" t="s">
        <v>296</v>
      </c>
      <c r="D2245" s="15" t="s">
        <v>109</v>
      </c>
      <c r="E2245" s="15" t="s">
        <v>110</v>
      </c>
      <c r="F2245" s="15" t="s">
        <v>92</v>
      </c>
      <c r="G2245" s="15" t="s">
        <v>25</v>
      </c>
      <c r="H2245" s="15" t="s">
        <v>32</v>
      </c>
      <c r="I2245" s="15" t="s">
        <v>46</v>
      </c>
      <c r="J2245" s="15" t="s">
        <v>254</v>
      </c>
      <c r="K2245" s="15">
        <v>49</v>
      </c>
      <c r="L2245" s="16">
        <v>90</v>
      </c>
      <c r="M2245" s="17">
        <v>4410</v>
      </c>
      <c r="N2245" s="15" t="s">
        <v>367</v>
      </c>
      <c r="O2245" s="15" t="s">
        <v>19</v>
      </c>
      <c r="Q2245"/>
    </row>
    <row r="2246" spans="1:17" ht="15.6" x14ac:dyDescent="0.3">
      <c r="A2246" s="11">
        <v>10359</v>
      </c>
      <c r="B2246" s="10">
        <v>38336</v>
      </c>
      <c r="C2246" s="10" t="s">
        <v>296</v>
      </c>
      <c r="D2246" s="11" t="s">
        <v>109</v>
      </c>
      <c r="E2246" s="11" t="s">
        <v>110</v>
      </c>
      <c r="F2246" s="11" t="s">
        <v>92</v>
      </c>
      <c r="G2246" s="11" t="s">
        <v>25</v>
      </c>
      <c r="H2246" s="11" t="s">
        <v>32</v>
      </c>
      <c r="I2246" s="11" t="s">
        <v>34</v>
      </c>
      <c r="J2246" s="11" t="s">
        <v>246</v>
      </c>
      <c r="K2246" s="11">
        <v>22</v>
      </c>
      <c r="L2246" s="12">
        <v>80</v>
      </c>
      <c r="M2246" s="13">
        <v>1760</v>
      </c>
      <c r="N2246" s="11" t="s">
        <v>367</v>
      </c>
      <c r="O2246" s="11" t="s">
        <v>19</v>
      </c>
      <c r="Q2246"/>
    </row>
    <row r="2247" spans="1:17" ht="15.6" x14ac:dyDescent="0.3">
      <c r="A2247" s="15">
        <v>10359</v>
      </c>
      <c r="B2247" s="14">
        <v>38336</v>
      </c>
      <c r="C2247" s="14" t="s">
        <v>296</v>
      </c>
      <c r="D2247" s="15" t="s">
        <v>109</v>
      </c>
      <c r="E2247" s="15" t="s">
        <v>110</v>
      </c>
      <c r="F2247" s="15" t="s">
        <v>92</v>
      </c>
      <c r="G2247" s="15" t="s">
        <v>25</v>
      </c>
      <c r="H2247" s="15" t="s">
        <v>35</v>
      </c>
      <c r="I2247" s="15" t="s">
        <v>40</v>
      </c>
      <c r="J2247" s="15" t="s">
        <v>251</v>
      </c>
      <c r="K2247" s="15">
        <v>36</v>
      </c>
      <c r="L2247" s="16">
        <v>25</v>
      </c>
      <c r="M2247" s="17">
        <v>900</v>
      </c>
      <c r="N2247" s="15" t="s">
        <v>367</v>
      </c>
      <c r="O2247" s="15" t="s">
        <v>19</v>
      </c>
      <c r="Q2247"/>
    </row>
    <row r="2248" spans="1:17" ht="15.6" x14ac:dyDescent="0.3">
      <c r="A2248" s="11">
        <v>10359</v>
      </c>
      <c r="B2248" s="10">
        <v>38336</v>
      </c>
      <c r="C2248" s="10" t="s">
        <v>296</v>
      </c>
      <c r="D2248" s="11" t="s">
        <v>109</v>
      </c>
      <c r="E2248" s="11" t="s">
        <v>110</v>
      </c>
      <c r="F2248" s="11" t="s">
        <v>92</v>
      </c>
      <c r="G2248" s="11" t="s">
        <v>25</v>
      </c>
      <c r="H2248" s="11" t="s">
        <v>47</v>
      </c>
      <c r="I2248" s="11" t="s">
        <v>119</v>
      </c>
      <c r="J2248" s="11" t="s">
        <v>272</v>
      </c>
      <c r="K2248" s="11">
        <v>22</v>
      </c>
      <c r="L2248" s="12">
        <v>60</v>
      </c>
      <c r="M2248" s="13">
        <v>1320</v>
      </c>
      <c r="N2248" s="11" t="s">
        <v>367</v>
      </c>
      <c r="O2248" s="11" t="s">
        <v>19</v>
      </c>
      <c r="Q2248"/>
    </row>
    <row r="2249" spans="1:17" ht="15.6" x14ac:dyDescent="0.3">
      <c r="A2249" s="15">
        <v>10359</v>
      </c>
      <c r="B2249" s="14">
        <v>38336</v>
      </c>
      <c r="C2249" s="14" t="s">
        <v>296</v>
      </c>
      <c r="D2249" s="15" t="s">
        <v>109</v>
      </c>
      <c r="E2249" s="15" t="s">
        <v>110</v>
      </c>
      <c r="F2249" s="15" t="s">
        <v>92</v>
      </c>
      <c r="G2249" s="15" t="s">
        <v>25</v>
      </c>
      <c r="H2249" s="15" t="s">
        <v>35</v>
      </c>
      <c r="I2249" s="15" t="s">
        <v>38</v>
      </c>
      <c r="J2249" s="15" t="s">
        <v>249</v>
      </c>
      <c r="K2249" s="15">
        <v>46</v>
      </c>
      <c r="L2249" s="16">
        <v>20</v>
      </c>
      <c r="M2249" s="17">
        <v>920</v>
      </c>
      <c r="N2249" s="15" t="s">
        <v>367</v>
      </c>
      <c r="O2249" s="15" t="s">
        <v>19</v>
      </c>
      <c r="Q2249"/>
    </row>
    <row r="2250" spans="1:17" ht="15.6" x14ac:dyDescent="0.3">
      <c r="A2250" s="11">
        <v>10359</v>
      </c>
      <c r="B2250" s="10">
        <v>38336</v>
      </c>
      <c r="C2250" s="10" t="s">
        <v>296</v>
      </c>
      <c r="D2250" s="11" t="s">
        <v>109</v>
      </c>
      <c r="E2250" s="11" t="s">
        <v>110</v>
      </c>
      <c r="F2250" s="11" t="s">
        <v>92</v>
      </c>
      <c r="G2250" s="11" t="s">
        <v>25</v>
      </c>
      <c r="H2250" s="11" t="s">
        <v>47</v>
      </c>
      <c r="I2250" s="11" t="s">
        <v>48</v>
      </c>
      <c r="J2250" s="11" t="s">
        <v>255</v>
      </c>
      <c r="K2250" s="11">
        <v>25</v>
      </c>
      <c r="L2250" s="12">
        <v>70</v>
      </c>
      <c r="M2250" s="13">
        <v>1750</v>
      </c>
      <c r="N2250" s="11" t="s">
        <v>367</v>
      </c>
      <c r="O2250" s="11" t="s">
        <v>19</v>
      </c>
      <c r="Q2250"/>
    </row>
    <row r="2251" spans="1:17" ht="15.6" x14ac:dyDescent="0.3">
      <c r="A2251" s="15">
        <v>10361</v>
      </c>
      <c r="B2251" s="14">
        <v>38338</v>
      </c>
      <c r="C2251" s="14" t="s">
        <v>307</v>
      </c>
      <c r="D2251" s="15" t="s">
        <v>129</v>
      </c>
      <c r="E2251" s="15" t="s">
        <v>130</v>
      </c>
      <c r="F2251" s="15" t="s">
        <v>106</v>
      </c>
      <c r="G2251" s="15" t="s">
        <v>107</v>
      </c>
      <c r="H2251" s="15" t="s">
        <v>68</v>
      </c>
      <c r="I2251" s="15" t="s">
        <v>108</v>
      </c>
      <c r="J2251" s="15" t="s">
        <v>271</v>
      </c>
      <c r="K2251" s="15">
        <v>20</v>
      </c>
      <c r="L2251" s="16">
        <v>45</v>
      </c>
      <c r="M2251" s="17">
        <v>900</v>
      </c>
      <c r="N2251" s="15" t="s">
        <v>367</v>
      </c>
      <c r="O2251" s="15" t="s">
        <v>19</v>
      </c>
      <c r="Q2251"/>
    </row>
    <row r="2252" spans="1:17" ht="15.6" x14ac:dyDescent="0.3">
      <c r="A2252" s="11">
        <v>10361</v>
      </c>
      <c r="B2252" s="10">
        <v>38338</v>
      </c>
      <c r="C2252" s="10" t="s">
        <v>307</v>
      </c>
      <c r="D2252" s="11" t="s">
        <v>129</v>
      </c>
      <c r="E2252" s="11" t="s">
        <v>130</v>
      </c>
      <c r="F2252" s="11" t="s">
        <v>106</v>
      </c>
      <c r="G2252" s="11" t="s">
        <v>107</v>
      </c>
      <c r="H2252" s="11" t="s">
        <v>68</v>
      </c>
      <c r="I2252" s="11" t="s">
        <v>69</v>
      </c>
      <c r="J2252" s="11" t="s">
        <v>266</v>
      </c>
      <c r="K2252" s="11">
        <v>26</v>
      </c>
      <c r="L2252" s="12">
        <v>25</v>
      </c>
      <c r="M2252" s="13">
        <v>650</v>
      </c>
      <c r="N2252" s="11" t="s">
        <v>367</v>
      </c>
      <c r="O2252" s="11" t="s">
        <v>19</v>
      </c>
      <c r="Q2252"/>
    </row>
    <row r="2253" spans="1:17" ht="15.6" x14ac:dyDescent="0.3">
      <c r="A2253" s="15">
        <v>10361</v>
      </c>
      <c r="B2253" s="14">
        <v>38338</v>
      </c>
      <c r="C2253" s="14" t="s">
        <v>307</v>
      </c>
      <c r="D2253" s="15" t="s">
        <v>129</v>
      </c>
      <c r="E2253" s="15" t="s">
        <v>130</v>
      </c>
      <c r="F2253" s="15" t="s">
        <v>106</v>
      </c>
      <c r="G2253" s="15" t="s">
        <v>107</v>
      </c>
      <c r="H2253" s="15" t="s">
        <v>17</v>
      </c>
      <c r="I2253" s="15" t="s">
        <v>20</v>
      </c>
      <c r="J2253" s="15" t="s">
        <v>242</v>
      </c>
      <c r="K2253" s="15">
        <v>34</v>
      </c>
      <c r="L2253" s="16">
        <v>48</v>
      </c>
      <c r="M2253" s="17">
        <v>1632</v>
      </c>
      <c r="N2253" s="15" t="s">
        <v>367</v>
      </c>
      <c r="O2253" s="15" t="s">
        <v>19</v>
      </c>
      <c r="Q2253"/>
    </row>
    <row r="2254" spans="1:17" ht="15.6" x14ac:dyDescent="0.3">
      <c r="A2254" s="11">
        <v>10361</v>
      </c>
      <c r="B2254" s="10">
        <v>38338</v>
      </c>
      <c r="C2254" s="10" t="s">
        <v>307</v>
      </c>
      <c r="D2254" s="11" t="s">
        <v>129</v>
      </c>
      <c r="E2254" s="11" t="s">
        <v>130</v>
      </c>
      <c r="F2254" s="11" t="s">
        <v>106</v>
      </c>
      <c r="G2254" s="11" t="s">
        <v>107</v>
      </c>
      <c r="H2254" s="11" t="s">
        <v>61</v>
      </c>
      <c r="I2254" s="11" t="s">
        <v>65</v>
      </c>
      <c r="J2254" s="11" t="s">
        <v>264</v>
      </c>
      <c r="K2254" s="11">
        <v>26</v>
      </c>
      <c r="L2254" s="12">
        <v>30</v>
      </c>
      <c r="M2254" s="13">
        <v>780</v>
      </c>
      <c r="N2254" s="11" t="s">
        <v>367</v>
      </c>
      <c r="O2254" s="11" t="s">
        <v>19</v>
      </c>
      <c r="Q2254"/>
    </row>
    <row r="2255" spans="1:17" ht="15.6" x14ac:dyDescent="0.3">
      <c r="A2255" s="15">
        <v>10361</v>
      </c>
      <c r="B2255" s="14">
        <v>38338</v>
      </c>
      <c r="C2255" s="14" t="s">
        <v>307</v>
      </c>
      <c r="D2255" s="15" t="s">
        <v>129</v>
      </c>
      <c r="E2255" s="15" t="s">
        <v>130</v>
      </c>
      <c r="F2255" s="15" t="s">
        <v>106</v>
      </c>
      <c r="G2255" s="15" t="s">
        <v>107</v>
      </c>
      <c r="H2255" s="15" t="s">
        <v>61</v>
      </c>
      <c r="I2255" s="15" t="s">
        <v>65</v>
      </c>
      <c r="J2255" s="15" t="s">
        <v>264</v>
      </c>
      <c r="K2255" s="15">
        <v>25</v>
      </c>
      <c r="L2255" s="16">
        <v>30</v>
      </c>
      <c r="M2255" s="17">
        <v>750</v>
      </c>
      <c r="N2255" s="15" t="s">
        <v>367</v>
      </c>
      <c r="O2255" s="15" t="s">
        <v>19</v>
      </c>
      <c r="Q2255"/>
    </row>
    <row r="2256" spans="1:17" ht="15.6" x14ac:dyDescent="0.3">
      <c r="A2256" s="11">
        <v>10361</v>
      </c>
      <c r="B2256" s="10">
        <v>38338</v>
      </c>
      <c r="C2256" s="10" t="s">
        <v>307</v>
      </c>
      <c r="D2256" s="11" t="s">
        <v>129</v>
      </c>
      <c r="E2256" s="11" t="s">
        <v>130</v>
      </c>
      <c r="F2256" s="11" t="s">
        <v>106</v>
      </c>
      <c r="G2256" s="11" t="s">
        <v>107</v>
      </c>
      <c r="H2256" s="11" t="s">
        <v>17</v>
      </c>
      <c r="I2256" s="11" t="s">
        <v>82</v>
      </c>
      <c r="J2256" s="11" t="s">
        <v>270</v>
      </c>
      <c r="K2256" s="11">
        <v>49</v>
      </c>
      <c r="L2256" s="12">
        <v>75</v>
      </c>
      <c r="M2256" s="13">
        <v>3675</v>
      </c>
      <c r="N2256" s="11" t="s">
        <v>367</v>
      </c>
      <c r="O2256" s="11" t="s">
        <v>19</v>
      </c>
      <c r="Q2256"/>
    </row>
    <row r="2257" spans="1:17" ht="15.6" x14ac:dyDescent="0.3">
      <c r="A2257" s="15">
        <v>10361</v>
      </c>
      <c r="B2257" s="14">
        <v>38338</v>
      </c>
      <c r="C2257" s="14" t="s">
        <v>307</v>
      </c>
      <c r="D2257" s="15" t="s">
        <v>129</v>
      </c>
      <c r="E2257" s="15" t="s">
        <v>130</v>
      </c>
      <c r="F2257" s="15" t="s">
        <v>106</v>
      </c>
      <c r="G2257" s="15" t="s">
        <v>107</v>
      </c>
      <c r="H2257" s="15" t="s">
        <v>17</v>
      </c>
      <c r="I2257" s="15" t="s">
        <v>20</v>
      </c>
      <c r="J2257" s="15" t="s">
        <v>242</v>
      </c>
      <c r="K2257" s="15">
        <v>33</v>
      </c>
      <c r="L2257" s="16">
        <v>48</v>
      </c>
      <c r="M2257" s="17">
        <v>1584</v>
      </c>
      <c r="N2257" s="15" t="s">
        <v>367</v>
      </c>
      <c r="O2257" s="15" t="s">
        <v>19</v>
      </c>
      <c r="Q2257"/>
    </row>
    <row r="2258" spans="1:17" ht="15.6" x14ac:dyDescent="0.3">
      <c r="A2258" s="11">
        <v>10361</v>
      </c>
      <c r="B2258" s="10">
        <v>38338</v>
      </c>
      <c r="C2258" s="10" t="s">
        <v>307</v>
      </c>
      <c r="D2258" s="11" t="s">
        <v>129</v>
      </c>
      <c r="E2258" s="11" t="s">
        <v>130</v>
      </c>
      <c r="F2258" s="11" t="s">
        <v>106</v>
      </c>
      <c r="G2258" s="11" t="s">
        <v>107</v>
      </c>
      <c r="H2258" s="11" t="s">
        <v>61</v>
      </c>
      <c r="I2258" s="11" t="s">
        <v>63</v>
      </c>
      <c r="J2258" s="11" t="s">
        <v>262</v>
      </c>
      <c r="K2258" s="11">
        <v>20</v>
      </c>
      <c r="L2258" s="12">
        <v>40</v>
      </c>
      <c r="M2258" s="13">
        <v>800</v>
      </c>
      <c r="N2258" s="11" t="s">
        <v>367</v>
      </c>
      <c r="O2258" s="11" t="s">
        <v>19</v>
      </c>
      <c r="Q2258"/>
    </row>
    <row r="2259" spans="1:17" ht="15.6" x14ac:dyDescent="0.3">
      <c r="A2259" s="15">
        <v>10361</v>
      </c>
      <c r="B2259" s="14">
        <v>38338</v>
      </c>
      <c r="C2259" s="14" t="s">
        <v>307</v>
      </c>
      <c r="D2259" s="15" t="s">
        <v>129</v>
      </c>
      <c r="E2259" s="15" t="s">
        <v>130</v>
      </c>
      <c r="F2259" s="15" t="s">
        <v>106</v>
      </c>
      <c r="G2259" s="15" t="s">
        <v>107</v>
      </c>
      <c r="H2259" s="15" t="s">
        <v>54</v>
      </c>
      <c r="I2259" s="15" t="s">
        <v>56</v>
      </c>
      <c r="J2259" s="15" t="s">
        <v>259</v>
      </c>
      <c r="K2259" s="15">
        <v>24</v>
      </c>
      <c r="L2259" s="16">
        <v>250</v>
      </c>
      <c r="M2259" s="17">
        <v>6000</v>
      </c>
      <c r="N2259" s="15" t="s">
        <v>367</v>
      </c>
      <c r="O2259" s="15" t="s">
        <v>19</v>
      </c>
      <c r="Q2259"/>
    </row>
    <row r="2260" spans="1:17" ht="15.6" x14ac:dyDescent="0.3">
      <c r="A2260" s="11">
        <v>10361</v>
      </c>
      <c r="B2260" s="10">
        <v>38338</v>
      </c>
      <c r="C2260" s="10" t="s">
        <v>307</v>
      </c>
      <c r="D2260" s="11" t="s">
        <v>129</v>
      </c>
      <c r="E2260" s="11" t="s">
        <v>130</v>
      </c>
      <c r="F2260" s="11" t="s">
        <v>106</v>
      </c>
      <c r="G2260" s="11" t="s">
        <v>107</v>
      </c>
      <c r="H2260" s="11" t="s">
        <v>61</v>
      </c>
      <c r="I2260" s="11" t="s">
        <v>62</v>
      </c>
      <c r="J2260" s="11" t="s">
        <v>261</v>
      </c>
      <c r="K2260" s="11">
        <v>26</v>
      </c>
      <c r="L2260" s="12">
        <v>15</v>
      </c>
      <c r="M2260" s="13">
        <v>390</v>
      </c>
      <c r="N2260" s="11" t="s">
        <v>367</v>
      </c>
      <c r="O2260" s="11" t="s">
        <v>19</v>
      </c>
      <c r="Q2260"/>
    </row>
    <row r="2261" spans="1:17" ht="15.6" x14ac:dyDescent="0.3">
      <c r="A2261" s="15">
        <v>10361</v>
      </c>
      <c r="B2261" s="14">
        <v>38338</v>
      </c>
      <c r="C2261" s="14" t="s">
        <v>307</v>
      </c>
      <c r="D2261" s="15" t="s">
        <v>129</v>
      </c>
      <c r="E2261" s="15" t="s">
        <v>130</v>
      </c>
      <c r="F2261" s="15" t="s">
        <v>106</v>
      </c>
      <c r="G2261" s="15" t="s">
        <v>107</v>
      </c>
      <c r="H2261" s="15" t="s">
        <v>61</v>
      </c>
      <c r="I2261" s="15" t="s">
        <v>62</v>
      </c>
      <c r="J2261" s="15" t="s">
        <v>261</v>
      </c>
      <c r="K2261" s="15">
        <v>44</v>
      </c>
      <c r="L2261" s="16">
        <v>15</v>
      </c>
      <c r="M2261" s="17">
        <v>660</v>
      </c>
      <c r="N2261" s="15" t="s">
        <v>367</v>
      </c>
      <c r="O2261" s="15" t="s">
        <v>19</v>
      </c>
      <c r="Q2261"/>
    </row>
    <row r="2262" spans="1:17" ht="15.6" x14ac:dyDescent="0.3">
      <c r="A2262" s="11">
        <v>10361</v>
      </c>
      <c r="B2262" s="10">
        <v>38338</v>
      </c>
      <c r="C2262" s="10" t="s">
        <v>307</v>
      </c>
      <c r="D2262" s="11" t="s">
        <v>129</v>
      </c>
      <c r="E2262" s="11" t="s">
        <v>130</v>
      </c>
      <c r="F2262" s="11" t="s">
        <v>106</v>
      </c>
      <c r="G2262" s="11" t="s">
        <v>107</v>
      </c>
      <c r="H2262" s="11" t="s">
        <v>61</v>
      </c>
      <c r="I2262" s="11" t="s">
        <v>66</v>
      </c>
      <c r="J2262" s="11" t="s">
        <v>265</v>
      </c>
      <c r="K2262" s="11">
        <v>44</v>
      </c>
      <c r="L2262" s="12">
        <v>35</v>
      </c>
      <c r="M2262" s="13">
        <v>1540</v>
      </c>
      <c r="N2262" s="11" t="s">
        <v>367</v>
      </c>
      <c r="O2262" s="11" t="s">
        <v>19</v>
      </c>
      <c r="Q2262"/>
    </row>
    <row r="2263" spans="1:17" ht="15.6" x14ac:dyDescent="0.3">
      <c r="A2263" s="15">
        <v>10361</v>
      </c>
      <c r="B2263" s="14">
        <v>38338</v>
      </c>
      <c r="C2263" s="14" t="s">
        <v>307</v>
      </c>
      <c r="D2263" s="15" t="s">
        <v>129</v>
      </c>
      <c r="E2263" s="15" t="s">
        <v>130</v>
      </c>
      <c r="F2263" s="15" t="s">
        <v>106</v>
      </c>
      <c r="G2263" s="15" t="s">
        <v>107</v>
      </c>
      <c r="H2263" s="15" t="s">
        <v>61</v>
      </c>
      <c r="I2263" s="15" t="s">
        <v>66</v>
      </c>
      <c r="J2263" s="15" t="s">
        <v>265</v>
      </c>
      <c r="K2263" s="15">
        <v>35</v>
      </c>
      <c r="L2263" s="16">
        <v>35</v>
      </c>
      <c r="M2263" s="17">
        <v>1225</v>
      </c>
      <c r="N2263" s="15" t="s">
        <v>367</v>
      </c>
      <c r="O2263" s="15" t="s">
        <v>19</v>
      </c>
      <c r="Q2263"/>
    </row>
    <row r="2264" spans="1:17" ht="15.6" x14ac:dyDescent="0.3">
      <c r="A2264" s="11">
        <v>10361</v>
      </c>
      <c r="B2264" s="10">
        <v>38338</v>
      </c>
      <c r="C2264" s="10" t="s">
        <v>307</v>
      </c>
      <c r="D2264" s="11" t="s">
        <v>129</v>
      </c>
      <c r="E2264" s="11" t="s">
        <v>130</v>
      </c>
      <c r="F2264" s="11" t="s">
        <v>106</v>
      </c>
      <c r="G2264" s="11" t="s">
        <v>107</v>
      </c>
      <c r="H2264" s="11" t="s">
        <v>61</v>
      </c>
      <c r="I2264" s="11" t="s">
        <v>66</v>
      </c>
      <c r="J2264" s="11" t="s">
        <v>265</v>
      </c>
      <c r="K2264" s="11">
        <v>23</v>
      </c>
      <c r="L2264" s="12">
        <v>35</v>
      </c>
      <c r="M2264" s="13">
        <v>805</v>
      </c>
      <c r="N2264" s="11" t="s">
        <v>367</v>
      </c>
      <c r="O2264" s="11" t="s">
        <v>19</v>
      </c>
      <c r="Q2264"/>
    </row>
    <row r="2265" spans="1:17" ht="15.6" x14ac:dyDescent="0.3">
      <c r="A2265" s="15">
        <v>10362</v>
      </c>
      <c r="B2265" s="14">
        <v>38357</v>
      </c>
      <c r="C2265" s="14" t="s">
        <v>308</v>
      </c>
      <c r="D2265" s="15" t="s">
        <v>131</v>
      </c>
      <c r="E2265" s="15" t="s">
        <v>132</v>
      </c>
      <c r="F2265" s="15" t="s">
        <v>15</v>
      </c>
      <c r="G2265" s="15" t="s">
        <v>16</v>
      </c>
      <c r="H2265" s="15" t="s">
        <v>68</v>
      </c>
      <c r="I2265" s="15" t="s">
        <v>70</v>
      </c>
      <c r="J2265" s="15" t="s">
        <v>267</v>
      </c>
      <c r="K2265" s="15">
        <v>22</v>
      </c>
      <c r="L2265" s="16">
        <v>50</v>
      </c>
      <c r="M2265" s="17">
        <v>1100</v>
      </c>
      <c r="N2265" s="15" t="s">
        <v>367</v>
      </c>
      <c r="O2265" s="15" t="s">
        <v>19</v>
      </c>
      <c r="Q2265"/>
    </row>
    <row r="2266" spans="1:17" ht="15.6" x14ac:dyDescent="0.3">
      <c r="A2266" s="11">
        <v>10362</v>
      </c>
      <c r="B2266" s="10">
        <v>38357</v>
      </c>
      <c r="C2266" s="10" t="s">
        <v>308</v>
      </c>
      <c r="D2266" s="11" t="s">
        <v>131</v>
      </c>
      <c r="E2266" s="11" t="s">
        <v>132</v>
      </c>
      <c r="F2266" s="11" t="s">
        <v>15</v>
      </c>
      <c r="G2266" s="11" t="s">
        <v>16</v>
      </c>
      <c r="H2266" s="11" t="s">
        <v>68</v>
      </c>
      <c r="I2266" s="11" t="s">
        <v>76</v>
      </c>
      <c r="J2266" s="11" t="s">
        <v>269</v>
      </c>
      <c r="K2266" s="11">
        <v>22</v>
      </c>
      <c r="L2266" s="12">
        <v>30</v>
      </c>
      <c r="M2266" s="13">
        <v>660</v>
      </c>
      <c r="N2266" s="11" t="s">
        <v>367</v>
      </c>
      <c r="O2266" s="11" t="s">
        <v>19</v>
      </c>
      <c r="Q2266"/>
    </row>
    <row r="2267" spans="1:17" ht="15.6" x14ac:dyDescent="0.3">
      <c r="A2267" s="15">
        <v>10362</v>
      </c>
      <c r="B2267" s="14">
        <v>38357</v>
      </c>
      <c r="C2267" s="14" t="s">
        <v>308</v>
      </c>
      <c r="D2267" s="15" t="s">
        <v>131</v>
      </c>
      <c r="E2267" s="15" t="s">
        <v>132</v>
      </c>
      <c r="F2267" s="15" t="s">
        <v>15</v>
      </c>
      <c r="G2267" s="15" t="s">
        <v>16</v>
      </c>
      <c r="H2267" s="15" t="s">
        <v>68</v>
      </c>
      <c r="I2267" s="15" t="s">
        <v>69</v>
      </c>
      <c r="J2267" s="15" t="s">
        <v>266</v>
      </c>
      <c r="K2267" s="15">
        <v>23</v>
      </c>
      <c r="L2267" s="16">
        <v>25</v>
      </c>
      <c r="M2267" s="17">
        <v>575</v>
      </c>
      <c r="N2267" s="15" t="s">
        <v>367</v>
      </c>
      <c r="O2267" s="15" t="s">
        <v>19</v>
      </c>
      <c r="Q2267"/>
    </row>
    <row r="2268" spans="1:17" ht="15.6" x14ac:dyDescent="0.3">
      <c r="A2268" s="11">
        <v>10362</v>
      </c>
      <c r="B2268" s="10">
        <v>38357</v>
      </c>
      <c r="C2268" s="10" t="s">
        <v>308</v>
      </c>
      <c r="D2268" s="11" t="s">
        <v>131</v>
      </c>
      <c r="E2268" s="11" t="s">
        <v>132</v>
      </c>
      <c r="F2268" s="11" t="s">
        <v>15</v>
      </c>
      <c r="G2268" s="11" t="s">
        <v>16</v>
      </c>
      <c r="H2268" s="11" t="s">
        <v>68</v>
      </c>
      <c r="I2268" s="11" t="s">
        <v>69</v>
      </c>
      <c r="J2268" s="11" t="s">
        <v>266</v>
      </c>
      <c r="K2268" s="11">
        <v>50</v>
      </c>
      <c r="L2268" s="12">
        <v>25</v>
      </c>
      <c r="M2268" s="13">
        <v>1250</v>
      </c>
      <c r="N2268" s="11" t="s">
        <v>368</v>
      </c>
      <c r="O2268" s="11" t="s">
        <v>19</v>
      </c>
      <c r="Q2268"/>
    </row>
    <row r="2269" spans="1:17" ht="15.6" x14ac:dyDescent="0.3">
      <c r="A2269" s="15">
        <v>10363</v>
      </c>
      <c r="B2269" s="14">
        <v>38358</v>
      </c>
      <c r="C2269" s="14" t="s">
        <v>309</v>
      </c>
      <c r="D2269" s="15" t="s">
        <v>133</v>
      </c>
      <c r="E2269" s="15" t="s">
        <v>134</v>
      </c>
      <c r="F2269" s="15" t="s">
        <v>135</v>
      </c>
      <c r="G2269" s="15" t="s">
        <v>25</v>
      </c>
      <c r="H2269" s="15" t="s">
        <v>32</v>
      </c>
      <c r="I2269" s="15" t="s">
        <v>46</v>
      </c>
      <c r="J2269" s="15" t="s">
        <v>254</v>
      </c>
      <c r="K2269" s="15">
        <v>33</v>
      </c>
      <c r="L2269" s="16">
        <v>90</v>
      </c>
      <c r="M2269" s="17">
        <v>2970</v>
      </c>
      <c r="N2269" s="15" t="s">
        <v>367</v>
      </c>
      <c r="O2269" s="15" t="s">
        <v>19</v>
      </c>
      <c r="Q2269"/>
    </row>
    <row r="2270" spans="1:17" ht="15.6" x14ac:dyDescent="0.3">
      <c r="A2270" s="11">
        <v>10363</v>
      </c>
      <c r="B2270" s="10">
        <v>38358</v>
      </c>
      <c r="C2270" s="10" t="s">
        <v>309</v>
      </c>
      <c r="D2270" s="11" t="s">
        <v>133</v>
      </c>
      <c r="E2270" s="11" t="s">
        <v>134</v>
      </c>
      <c r="F2270" s="11" t="s">
        <v>135</v>
      </c>
      <c r="G2270" s="11" t="s">
        <v>25</v>
      </c>
      <c r="H2270" s="11" t="s">
        <v>32</v>
      </c>
      <c r="I2270" s="11" t="s">
        <v>46</v>
      </c>
      <c r="J2270" s="11" t="s">
        <v>254</v>
      </c>
      <c r="K2270" s="11">
        <v>34</v>
      </c>
      <c r="L2270" s="12">
        <v>90</v>
      </c>
      <c r="M2270" s="13">
        <v>3060</v>
      </c>
      <c r="N2270" s="11" t="s">
        <v>367</v>
      </c>
      <c r="O2270" s="11" t="s">
        <v>19</v>
      </c>
      <c r="Q2270"/>
    </row>
    <row r="2271" spans="1:17" ht="15.6" x14ac:dyDescent="0.3">
      <c r="A2271" s="15">
        <v>10363</v>
      </c>
      <c r="B2271" s="14">
        <v>38358</v>
      </c>
      <c r="C2271" s="14" t="s">
        <v>309</v>
      </c>
      <c r="D2271" s="15" t="s">
        <v>133</v>
      </c>
      <c r="E2271" s="15" t="s">
        <v>134</v>
      </c>
      <c r="F2271" s="15" t="s">
        <v>135</v>
      </c>
      <c r="G2271" s="15" t="s">
        <v>25</v>
      </c>
      <c r="H2271" s="15" t="s">
        <v>32</v>
      </c>
      <c r="I2271" s="15" t="s">
        <v>44</v>
      </c>
      <c r="J2271" s="15" t="s">
        <v>252</v>
      </c>
      <c r="K2271" s="15">
        <v>34</v>
      </c>
      <c r="L2271" s="16">
        <v>55</v>
      </c>
      <c r="M2271" s="17">
        <v>1870</v>
      </c>
      <c r="N2271" s="15" t="s">
        <v>367</v>
      </c>
      <c r="O2271" s="15" t="s">
        <v>19</v>
      </c>
      <c r="Q2271"/>
    </row>
    <row r="2272" spans="1:17" ht="15.6" x14ac:dyDescent="0.3">
      <c r="A2272" s="11">
        <v>10363</v>
      </c>
      <c r="B2272" s="10">
        <v>38358</v>
      </c>
      <c r="C2272" s="10" t="s">
        <v>309</v>
      </c>
      <c r="D2272" s="11" t="s">
        <v>133</v>
      </c>
      <c r="E2272" s="11" t="s">
        <v>134</v>
      </c>
      <c r="F2272" s="11" t="s">
        <v>135</v>
      </c>
      <c r="G2272" s="11" t="s">
        <v>25</v>
      </c>
      <c r="H2272" s="11" t="s">
        <v>32</v>
      </c>
      <c r="I2272" s="11" t="s">
        <v>45</v>
      </c>
      <c r="J2272" s="11" t="s">
        <v>253</v>
      </c>
      <c r="K2272" s="11">
        <v>46</v>
      </c>
      <c r="L2272" s="12">
        <v>35</v>
      </c>
      <c r="M2272" s="13">
        <v>1610</v>
      </c>
      <c r="N2272" s="11" t="s">
        <v>367</v>
      </c>
      <c r="O2272" s="11" t="s">
        <v>19</v>
      </c>
      <c r="Q2272"/>
    </row>
    <row r="2273" spans="1:17" ht="15.6" x14ac:dyDescent="0.3">
      <c r="A2273" s="15">
        <v>10363</v>
      </c>
      <c r="B2273" s="14">
        <v>38358</v>
      </c>
      <c r="C2273" s="14" t="s">
        <v>309</v>
      </c>
      <c r="D2273" s="15" t="s">
        <v>133</v>
      </c>
      <c r="E2273" s="15" t="s">
        <v>134</v>
      </c>
      <c r="F2273" s="15" t="s">
        <v>135</v>
      </c>
      <c r="G2273" s="15" t="s">
        <v>25</v>
      </c>
      <c r="H2273" s="15" t="s">
        <v>32</v>
      </c>
      <c r="I2273" s="15" t="s">
        <v>45</v>
      </c>
      <c r="J2273" s="15" t="s">
        <v>253</v>
      </c>
      <c r="K2273" s="15">
        <v>22</v>
      </c>
      <c r="L2273" s="16">
        <v>35</v>
      </c>
      <c r="M2273" s="17">
        <v>770</v>
      </c>
      <c r="N2273" s="15" t="s">
        <v>367</v>
      </c>
      <c r="O2273" s="15" t="s">
        <v>19</v>
      </c>
      <c r="Q2273"/>
    </row>
    <row r="2274" spans="1:17" ht="15.6" x14ac:dyDescent="0.3">
      <c r="A2274" s="11">
        <v>10363</v>
      </c>
      <c r="B2274" s="10">
        <v>38358</v>
      </c>
      <c r="C2274" s="10" t="s">
        <v>309</v>
      </c>
      <c r="D2274" s="11" t="s">
        <v>133</v>
      </c>
      <c r="E2274" s="11" t="s">
        <v>134</v>
      </c>
      <c r="F2274" s="11" t="s">
        <v>135</v>
      </c>
      <c r="G2274" s="11" t="s">
        <v>25</v>
      </c>
      <c r="H2274" s="11" t="s">
        <v>32</v>
      </c>
      <c r="I2274" s="11" t="s">
        <v>46</v>
      </c>
      <c r="J2274" s="11" t="s">
        <v>254</v>
      </c>
      <c r="K2274" s="11">
        <v>46</v>
      </c>
      <c r="L2274" s="12">
        <v>90</v>
      </c>
      <c r="M2274" s="13">
        <v>4140</v>
      </c>
      <c r="N2274" s="11" t="s">
        <v>367</v>
      </c>
      <c r="O2274" s="11" t="s">
        <v>19</v>
      </c>
      <c r="Q2274"/>
    </row>
    <row r="2275" spans="1:17" ht="15.6" x14ac:dyDescent="0.3">
      <c r="A2275" s="15">
        <v>10363</v>
      </c>
      <c r="B2275" s="14">
        <v>38358</v>
      </c>
      <c r="C2275" s="14" t="s">
        <v>309</v>
      </c>
      <c r="D2275" s="15" t="s">
        <v>133</v>
      </c>
      <c r="E2275" s="15" t="s">
        <v>134</v>
      </c>
      <c r="F2275" s="15" t="s">
        <v>135</v>
      </c>
      <c r="G2275" s="15" t="s">
        <v>25</v>
      </c>
      <c r="H2275" s="15" t="s">
        <v>32</v>
      </c>
      <c r="I2275" s="15" t="s">
        <v>46</v>
      </c>
      <c r="J2275" s="15" t="s">
        <v>254</v>
      </c>
      <c r="K2275" s="15">
        <v>24</v>
      </c>
      <c r="L2275" s="16">
        <v>90</v>
      </c>
      <c r="M2275" s="17">
        <v>2160</v>
      </c>
      <c r="N2275" s="15" t="s">
        <v>367</v>
      </c>
      <c r="O2275" s="15" t="s">
        <v>19</v>
      </c>
      <c r="Q2275"/>
    </row>
    <row r="2276" spans="1:17" ht="15.6" x14ac:dyDescent="0.3">
      <c r="A2276" s="11">
        <v>10363</v>
      </c>
      <c r="B2276" s="10">
        <v>38358</v>
      </c>
      <c r="C2276" s="10" t="s">
        <v>309</v>
      </c>
      <c r="D2276" s="11" t="s">
        <v>133</v>
      </c>
      <c r="E2276" s="11" t="s">
        <v>134</v>
      </c>
      <c r="F2276" s="11" t="s">
        <v>135</v>
      </c>
      <c r="G2276" s="11" t="s">
        <v>25</v>
      </c>
      <c r="H2276" s="11" t="s">
        <v>68</v>
      </c>
      <c r="I2276" s="11" t="s">
        <v>108</v>
      </c>
      <c r="J2276" s="11" t="s">
        <v>271</v>
      </c>
      <c r="K2276" s="11">
        <v>32</v>
      </c>
      <c r="L2276" s="12">
        <v>45</v>
      </c>
      <c r="M2276" s="13">
        <v>1440</v>
      </c>
      <c r="N2276" s="11" t="s">
        <v>367</v>
      </c>
      <c r="O2276" s="11" t="s">
        <v>19</v>
      </c>
      <c r="Q2276"/>
    </row>
    <row r="2277" spans="1:17" ht="15.6" x14ac:dyDescent="0.3">
      <c r="A2277" s="15">
        <v>10363</v>
      </c>
      <c r="B2277" s="14">
        <v>38358</v>
      </c>
      <c r="C2277" s="14" t="s">
        <v>309</v>
      </c>
      <c r="D2277" s="15" t="s">
        <v>133</v>
      </c>
      <c r="E2277" s="15" t="s">
        <v>134</v>
      </c>
      <c r="F2277" s="15" t="s">
        <v>135</v>
      </c>
      <c r="G2277" s="15" t="s">
        <v>25</v>
      </c>
      <c r="H2277" s="15" t="s">
        <v>32</v>
      </c>
      <c r="I2277" s="15" t="s">
        <v>44</v>
      </c>
      <c r="J2277" s="15" t="s">
        <v>252</v>
      </c>
      <c r="K2277" s="15">
        <v>28</v>
      </c>
      <c r="L2277" s="16">
        <v>55</v>
      </c>
      <c r="M2277" s="17">
        <v>1540</v>
      </c>
      <c r="N2277" s="15" t="s">
        <v>367</v>
      </c>
      <c r="O2277" s="15" t="s">
        <v>19</v>
      </c>
      <c r="Q2277"/>
    </row>
    <row r="2278" spans="1:17" ht="15.6" x14ac:dyDescent="0.3">
      <c r="A2278" s="11">
        <v>10363</v>
      </c>
      <c r="B2278" s="10">
        <v>38358</v>
      </c>
      <c r="C2278" s="10" t="s">
        <v>309</v>
      </c>
      <c r="D2278" s="11" t="s">
        <v>133</v>
      </c>
      <c r="E2278" s="11" t="s">
        <v>134</v>
      </c>
      <c r="F2278" s="11" t="s">
        <v>135</v>
      </c>
      <c r="G2278" s="11" t="s">
        <v>25</v>
      </c>
      <c r="H2278" s="11" t="s">
        <v>68</v>
      </c>
      <c r="I2278" s="11" t="s">
        <v>70</v>
      </c>
      <c r="J2278" s="11" t="s">
        <v>267</v>
      </c>
      <c r="K2278" s="11">
        <v>21</v>
      </c>
      <c r="L2278" s="12">
        <v>50</v>
      </c>
      <c r="M2278" s="13">
        <v>1050</v>
      </c>
      <c r="N2278" s="11" t="s">
        <v>367</v>
      </c>
      <c r="O2278" s="11" t="s">
        <v>19</v>
      </c>
      <c r="Q2278"/>
    </row>
    <row r="2279" spans="1:17" ht="15.6" x14ac:dyDescent="0.3">
      <c r="A2279" s="15">
        <v>10363</v>
      </c>
      <c r="B2279" s="14">
        <v>38358</v>
      </c>
      <c r="C2279" s="14" t="s">
        <v>309</v>
      </c>
      <c r="D2279" s="15" t="s">
        <v>133</v>
      </c>
      <c r="E2279" s="15" t="s">
        <v>134</v>
      </c>
      <c r="F2279" s="15" t="s">
        <v>135</v>
      </c>
      <c r="G2279" s="15" t="s">
        <v>25</v>
      </c>
      <c r="H2279" s="15" t="s">
        <v>68</v>
      </c>
      <c r="I2279" s="15" t="s">
        <v>75</v>
      </c>
      <c r="J2279" s="15" t="s">
        <v>268</v>
      </c>
      <c r="K2279" s="15">
        <v>43</v>
      </c>
      <c r="L2279" s="16">
        <v>35</v>
      </c>
      <c r="M2279" s="17">
        <v>1505</v>
      </c>
      <c r="N2279" s="15" t="s">
        <v>367</v>
      </c>
      <c r="O2279" s="15" t="s">
        <v>19</v>
      </c>
      <c r="Q2279"/>
    </row>
    <row r="2280" spans="1:17" ht="15.6" x14ac:dyDescent="0.3">
      <c r="A2280" s="11">
        <v>10363</v>
      </c>
      <c r="B2280" s="10">
        <v>38358</v>
      </c>
      <c r="C2280" s="10" t="s">
        <v>309</v>
      </c>
      <c r="D2280" s="11" t="s">
        <v>133</v>
      </c>
      <c r="E2280" s="11" t="s">
        <v>134</v>
      </c>
      <c r="F2280" s="11" t="s">
        <v>135</v>
      </c>
      <c r="G2280" s="11" t="s">
        <v>25</v>
      </c>
      <c r="H2280" s="11" t="s">
        <v>32</v>
      </c>
      <c r="I2280" s="11" t="s">
        <v>34</v>
      </c>
      <c r="J2280" s="11" t="s">
        <v>246</v>
      </c>
      <c r="K2280" s="11">
        <v>21</v>
      </c>
      <c r="L2280" s="12">
        <v>80</v>
      </c>
      <c r="M2280" s="13">
        <v>1680</v>
      </c>
      <c r="N2280" s="11" t="s">
        <v>367</v>
      </c>
      <c r="O2280" s="11" t="s">
        <v>19</v>
      </c>
      <c r="Q2280"/>
    </row>
    <row r="2281" spans="1:17" ht="15.6" x14ac:dyDescent="0.3">
      <c r="A2281" s="15">
        <v>10363</v>
      </c>
      <c r="B2281" s="14">
        <v>38358</v>
      </c>
      <c r="C2281" s="14" t="s">
        <v>309</v>
      </c>
      <c r="D2281" s="15" t="s">
        <v>133</v>
      </c>
      <c r="E2281" s="15" t="s">
        <v>134</v>
      </c>
      <c r="F2281" s="15" t="s">
        <v>135</v>
      </c>
      <c r="G2281" s="15" t="s">
        <v>25</v>
      </c>
      <c r="H2281" s="15" t="s">
        <v>32</v>
      </c>
      <c r="I2281" s="15" t="s">
        <v>33</v>
      </c>
      <c r="J2281" s="15" t="s">
        <v>245</v>
      </c>
      <c r="K2281" s="15">
        <v>31</v>
      </c>
      <c r="L2281" s="16">
        <v>85</v>
      </c>
      <c r="M2281" s="17">
        <v>2635</v>
      </c>
      <c r="N2281" s="15" t="s">
        <v>367</v>
      </c>
      <c r="O2281" s="15" t="s">
        <v>19</v>
      </c>
      <c r="Q2281"/>
    </row>
    <row r="2282" spans="1:17" ht="15.6" x14ac:dyDescent="0.3">
      <c r="A2282" s="11">
        <v>10363</v>
      </c>
      <c r="B2282" s="10">
        <v>38358</v>
      </c>
      <c r="C2282" s="10" t="s">
        <v>309</v>
      </c>
      <c r="D2282" s="11" t="s">
        <v>133</v>
      </c>
      <c r="E2282" s="11" t="s">
        <v>134</v>
      </c>
      <c r="F2282" s="11" t="s">
        <v>135</v>
      </c>
      <c r="G2282" s="11" t="s">
        <v>25</v>
      </c>
      <c r="H2282" s="11" t="s">
        <v>32</v>
      </c>
      <c r="I2282" s="11" t="s">
        <v>45</v>
      </c>
      <c r="J2282" s="11" t="s">
        <v>253</v>
      </c>
      <c r="K2282" s="11">
        <v>43</v>
      </c>
      <c r="L2282" s="12">
        <v>35</v>
      </c>
      <c r="M2282" s="13">
        <v>1505</v>
      </c>
      <c r="N2282" s="11" t="s">
        <v>367</v>
      </c>
      <c r="O2282" s="11" t="s">
        <v>19</v>
      </c>
      <c r="Q2282"/>
    </row>
    <row r="2283" spans="1:17" ht="15.6" x14ac:dyDescent="0.3">
      <c r="A2283" s="15">
        <v>10363</v>
      </c>
      <c r="B2283" s="14">
        <v>38358</v>
      </c>
      <c r="C2283" s="14" t="s">
        <v>309</v>
      </c>
      <c r="D2283" s="15" t="s">
        <v>133</v>
      </c>
      <c r="E2283" s="15" t="s">
        <v>134</v>
      </c>
      <c r="F2283" s="15" t="s">
        <v>135</v>
      </c>
      <c r="G2283" s="15" t="s">
        <v>25</v>
      </c>
      <c r="H2283" s="15" t="s">
        <v>68</v>
      </c>
      <c r="I2283" s="15" t="s">
        <v>70</v>
      </c>
      <c r="J2283" s="15" t="s">
        <v>267</v>
      </c>
      <c r="K2283" s="15">
        <v>50</v>
      </c>
      <c r="L2283" s="16">
        <v>50</v>
      </c>
      <c r="M2283" s="17">
        <v>2500</v>
      </c>
      <c r="N2283" s="15" t="s">
        <v>368</v>
      </c>
      <c r="O2283" s="15" t="s">
        <v>19</v>
      </c>
      <c r="Q2283"/>
    </row>
    <row r="2284" spans="1:17" ht="15.6" x14ac:dyDescent="0.3">
      <c r="A2284" s="11">
        <v>10364</v>
      </c>
      <c r="B2284" s="10">
        <v>38358</v>
      </c>
      <c r="C2284" s="10" t="s">
        <v>297</v>
      </c>
      <c r="D2284" s="11" t="s">
        <v>111</v>
      </c>
      <c r="E2284" s="11" t="s">
        <v>112</v>
      </c>
      <c r="F2284" s="11" t="s">
        <v>92</v>
      </c>
      <c r="G2284" s="11" t="s">
        <v>25</v>
      </c>
      <c r="H2284" s="11" t="s">
        <v>68</v>
      </c>
      <c r="I2284" s="11" t="s">
        <v>70</v>
      </c>
      <c r="J2284" s="11" t="s">
        <v>267</v>
      </c>
      <c r="K2284" s="11">
        <v>48</v>
      </c>
      <c r="L2284" s="12">
        <v>50</v>
      </c>
      <c r="M2284" s="13">
        <v>2400</v>
      </c>
      <c r="N2284" s="11" t="s">
        <v>367</v>
      </c>
      <c r="O2284" s="11" t="s">
        <v>19</v>
      </c>
      <c r="Q2284"/>
    </row>
    <row r="2285" spans="1:17" ht="15.6" x14ac:dyDescent="0.3">
      <c r="A2285" s="15">
        <v>10365</v>
      </c>
      <c r="B2285" s="14">
        <v>38359</v>
      </c>
      <c r="C2285" s="14" t="s">
        <v>310</v>
      </c>
      <c r="D2285" s="15" t="s">
        <v>136</v>
      </c>
      <c r="E2285" s="15" t="s">
        <v>137</v>
      </c>
      <c r="F2285" s="15" t="s">
        <v>15</v>
      </c>
      <c r="G2285" s="15" t="s">
        <v>16</v>
      </c>
      <c r="H2285" s="15" t="s">
        <v>32</v>
      </c>
      <c r="I2285" s="15" t="s">
        <v>46</v>
      </c>
      <c r="J2285" s="15" t="s">
        <v>254</v>
      </c>
      <c r="K2285" s="15">
        <v>30</v>
      </c>
      <c r="L2285" s="16">
        <v>90</v>
      </c>
      <c r="M2285" s="17">
        <v>2700</v>
      </c>
      <c r="N2285" s="15" t="s">
        <v>367</v>
      </c>
      <c r="O2285" s="15" t="s">
        <v>19</v>
      </c>
      <c r="Q2285"/>
    </row>
    <row r="2286" spans="1:17" ht="15.6" x14ac:dyDescent="0.3">
      <c r="A2286" s="11">
        <v>10365</v>
      </c>
      <c r="B2286" s="10">
        <v>38359</v>
      </c>
      <c r="C2286" s="10" t="s">
        <v>310</v>
      </c>
      <c r="D2286" s="11" t="s">
        <v>136</v>
      </c>
      <c r="E2286" s="11" t="s">
        <v>137</v>
      </c>
      <c r="F2286" s="11" t="s">
        <v>15</v>
      </c>
      <c r="G2286" s="11" t="s">
        <v>16</v>
      </c>
      <c r="H2286" s="11" t="s">
        <v>68</v>
      </c>
      <c r="I2286" s="11" t="s">
        <v>75</v>
      </c>
      <c r="J2286" s="11" t="s">
        <v>268</v>
      </c>
      <c r="K2286" s="11">
        <v>22</v>
      </c>
      <c r="L2286" s="12">
        <v>35</v>
      </c>
      <c r="M2286" s="13">
        <v>770</v>
      </c>
      <c r="N2286" s="11" t="s">
        <v>367</v>
      </c>
      <c r="O2286" s="11" t="s">
        <v>19</v>
      </c>
      <c r="Q2286"/>
    </row>
    <row r="2287" spans="1:17" ht="15.6" x14ac:dyDescent="0.3">
      <c r="A2287" s="15">
        <v>10365</v>
      </c>
      <c r="B2287" s="14">
        <v>38359</v>
      </c>
      <c r="C2287" s="14" t="s">
        <v>310</v>
      </c>
      <c r="D2287" s="15" t="s">
        <v>136</v>
      </c>
      <c r="E2287" s="15" t="s">
        <v>137</v>
      </c>
      <c r="F2287" s="15" t="s">
        <v>15</v>
      </c>
      <c r="G2287" s="15" t="s">
        <v>16</v>
      </c>
      <c r="H2287" s="15" t="s">
        <v>68</v>
      </c>
      <c r="I2287" s="15" t="s">
        <v>75</v>
      </c>
      <c r="J2287" s="15" t="s">
        <v>268</v>
      </c>
      <c r="K2287" s="15">
        <v>44</v>
      </c>
      <c r="L2287" s="16">
        <v>35</v>
      </c>
      <c r="M2287" s="17">
        <v>1540</v>
      </c>
      <c r="N2287" s="15" t="s">
        <v>367</v>
      </c>
      <c r="O2287" s="15" t="s">
        <v>19</v>
      </c>
      <c r="Q2287"/>
    </row>
    <row r="2288" spans="1:17" ht="15.6" x14ac:dyDescent="0.3">
      <c r="A2288" s="11">
        <v>10366</v>
      </c>
      <c r="B2288" s="10">
        <v>38362</v>
      </c>
      <c r="C2288" s="10" t="s">
        <v>291</v>
      </c>
      <c r="D2288" s="11" t="s">
        <v>94</v>
      </c>
      <c r="E2288" s="11" t="s">
        <v>95</v>
      </c>
      <c r="F2288" s="11" t="s">
        <v>96</v>
      </c>
      <c r="G2288" s="11" t="s">
        <v>25</v>
      </c>
      <c r="H2288" s="11" t="s">
        <v>32</v>
      </c>
      <c r="I2288" s="11" t="s">
        <v>46</v>
      </c>
      <c r="J2288" s="11" t="s">
        <v>254</v>
      </c>
      <c r="K2288" s="11">
        <v>34</v>
      </c>
      <c r="L2288" s="12">
        <v>90</v>
      </c>
      <c r="M2288" s="13">
        <v>3060</v>
      </c>
      <c r="N2288" s="11" t="s">
        <v>367</v>
      </c>
      <c r="O2288" s="11" t="s">
        <v>19</v>
      </c>
      <c r="Q2288"/>
    </row>
    <row r="2289" spans="1:17" ht="15.6" x14ac:dyDescent="0.3">
      <c r="A2289" s="15">
        <v>10366</v>
      </c>
      <c r="B2289" s="14">
        <v>38362</v>
      </c>
      <c r="C2289" s="14" t="s">
        <v>291</v>
      </c>
      <c r="D2289" s="15" t="s">
        <v>94</v>
      </c>
      <c r="E2289" s="15" t="s">
        <v>95</v>
      </c>
      <c r="F2289" s="15" t="s">
        <v>96</v>
      </c>
      <c r="G2289" s="15" t="s">
        <v>25</v>
      </c>
      <c r="H2289" s="15" t="s">
        <v>32</v>
      </c>
      <c r="I2289" s="15" t="s">
        <v>44</v>
      </c>
      <c r="J2289" s="15" t="s">
        <v>252</v>
      </c>
      <c r="K2289" s="15">
        <v>49</v>
      </c>
      <c r="L2289" s="16">
        <v>55</v>
      </c>
      <c r="M2289" s="17">
        <v>2695</v>
      </c>
      <c r="N2289" s="15" t="s">
        <v>367</v>
      </c>
      <c r="O2289" s="15" t="s">
        <v>19</v>
      </c>
      <c r="Q2289"/>
    </row>
    <row r="2290" spans="1:17" ht="15.6" x14ac:dyDescent="0.3">
      <c r="A2290" s="11">
        <v>10366</v>
      </c>
      <c r="B2290" s="10">
        <v>38362</v>
      </c>
      <c r="C2290" s="10" t="s">
        <v>291</v>
      </c>
      <c r="D2290" s="11" t="s">
        <v>94</v>
      </c>
      <c r="E2290" s="11" t="s">
        <v>95</v>
      </c>
      <c r="F2290" s="11" t="s">
        <v>96</v>
      </c>
      <c r="G2290" s="11" t="s">
        <v>25</v>
      </c>
      <c r="H2290" s="11" t="s">
        <v>32</v>
      </c>
      <c r="I2290" s="11" t="s">
        <v>34</v>
      </c>
      <c r="J2290" s="11" t="s">
        <v>246</v>
      </c>
      <c r="K2290" s="11">
        <v>34</v>
      </c>
      <c r="L2290" s="12">
        <v>80</v>
      </c>
      <c r="M2290" s="13">
        <v>2720</v>
      </c>
      <c r="N2290" s="11" t="s">
        <v>367</v>
      </c>
      <c r="O2290" s="11" t="s">
        <v>19</v>
      </c>
      <c r="Q2290"/>
    </row>
    <row r="2291" spans="1:17" ht="15.6" x14ac:dyDescent="0.3">
      <c r="A2291" s="15">
        <v>10368</v>
      </c>
      <c r="B2291" s="14">
        <v>38371</v>
      </c>
      <c r="C2291" s="14" t="s">
        <v>288</v>
      </c>
      <c r="D2291" s="15" t="s">
        <v>88</v>
      </c>
      <c r="E2291" s="15" t="s">
        <v>89</v>
      </c>
      <c r="F2291" s="15" t="s">
        <v>15</v>
      </c>
      <c r="G2291" s="15" t="s">
        <v>16</v>
      </c>
      <c r="H2291" s="15" t="s">
        <v>32</v>
      </c>
      <c r="I2291" s="15" t="s">
        <v>45</v>
      </c>
      <c r="J2291" s="15" t="s">
        <v>253</v>
      </c>
      <c r="K2291" s="15">
        <v>40</v>
      </c>
      <c r="L2291" s="16">
        <v>35</v>
      </c>
      <c r="M2291" s="17">
        <v>1400</v>
      </c>
      <c r="N2291" s="15" t="s">
        <v>367</v>
      </c>
      <c r="O2291" s="15" t="s">
        <v>19</v>
      </c>
      <c r="Q2291"/>
    </row>
    <row r="2292" spans="1:17" ht="15.6" x14ac:dyDescent="0.3">
      <c r="A2292" s="11">
        <v>10368</v>
      </c>
      <c r="B2292" s="10">
        <v>38371</v>
      </c>
      <c r="C2292" s="10" t="s">
        <v>288</v>
      </c>
      <c r="D2292" s="11" t="s">
        <v>88</v>
      </c>
      <c r="E2292" s="11" t="s">
        <v>89</v>
      </c>
      <c r="F2292" s="11" t="s">
        <v>15</v>
      </c>
      <c r="G2292" s="11" t="s">
        <v>16</v>
      </c>
      <c r="H2292" s="11" t="s">
        <v>32</v>
      </c>
      <c r="I2292" s="11" t="s">
        <v>33</v>
      </c>
      <c r="J2292" s="11" t="s">
        <v>245</v>
      </c>
      <c r="K2292" s="11">
        <v>31</v>
      </c>
      <c r="L2292" s="12">
        <v>85</v>
      </c>
      <c r="M2292" s="13">
        <v>2635</v>
      </c>
      <c r="N2292" s="11" t="s">
        <v>367</v>
      </c>
      <c r="O2292" s="11" t="s">
        <v>19</v>
      </c>
      <c r="Q2292"/>
    </row>
    <row r="2293" spans="1:17" ht="15.6" x14ac:dyDescent="0.3">
      <c r="A2293" s="15">
        <v>10368</v>
      </c>
      <c r="B2293" s="14">
        <v>38371</v>
      </c>
      <c r="C2293" s="14" t="s">
        <v>288</v>
      </c>
      <c r="D2293" s="15" t="s">
        <v>88</v>
      </c>
      <c r="E2293" s="15" t="s">
        <v>89</v>
      </c>
      <c r="F2293" s="15" t="s">
        <v>15</v>
      </c>
      <c r="G2293" s="15" t="s">
        <v>16</v>
      </c>
      <c r="H2293" s="15" t="s">
        <v>32</v>
      </c>
      <c r="I2293" s="15" t="s">
        <v>46</v>
      </c>
      <c r="J2293" s="15" t="s">
        <v>254</v>
      </c>
      <c r="K2293" s="15">
        <v>46</v>
      </c>
      <c r="L2293" s="16">
        <v>90</v>
      </c>
      <c r="M2293" s="17">
        <v>4140</v>
      </c>
      <c r="N2293" s="15" t="s">
        <v>367</v>
      </c>
      <c r="O2293" s="15" t="s">
        <v>19</v>
      </c>
      <c r="Q2293"/>
    </row>
    <row r="2294" spans="1:17" ht="15.6" x14ac:dyDescent="0.3">
      <c r="A2294" s="11">
        <v>10368</v>
      </c>
      <c r="B2294" s="10">
        <v>38371</v>
      </c>
      <c r="C2294" s="10" t="s">
        <v>288</v>
      </c>
      <c r="D2294" s="11" t="s">
        <v>88</v>
      </c>
      <c r="E2294" s="11" t="s">
        <v>89</v>
      </c>
      <c r="F2294" s="11" t="s">
        <v>15</v>
      </c>
      <c r="G2294" s="11" t="s">
        <v>16</v>
      </c>
      <c r="H2294" s="11" t="s">
        <v>32</v>
      </c>
      <c r="I2294" s="11" t="s">
        <v>34</v>
      </c>
      <c r="J2294" s="11" t="s">
        <v>246</v>
      </c>
      <c r="K2294" s="11">
        <v>20</v>
      </c>
      <c r="L2294" s="12">
        <v>80</v>
      </c>
      <c r="M2294" s="13">
        <v>1600</v>
      </c>
      <c r="N2294" s="11" t="s">
        <v>367</v>
      </c>
      <c r="O2294" s="11" t="s">
        <v>19</v>
      </c>
      <c r="Q2294"/>
    </row>
    <row r="2295" spans="1:17" ht="15.6" x14ac:dyDescent="0.3">
      <c r="A2295" s="15">
        <v>10368</v>
      </c>
      <c r="B2295" s="14">
        <v>38371</v>
      </c>
      <c r="C2295" s="14" t="s">
        <v>288</v>
      </c>
      <c r="D2295" s="15" t="s">
        <v>88</v>
      </c>
      <c r="E2295" s="15" t="s">
        <v>89</v>
      </c>
      <c r="F2295" s="15" t="s">
        <v>15</v>
      </c>
      <c r="G2295" s="15" t="s">
        <v>16</v>
      </c>
      <c r="H2295" s="15" t="s">
        <v>17</v>
      </c>
      <c r="I2295" s="15" t="s">
        <v>20</v>
      </c>
      <c r="J2295" s="15" t="s">
        <v>242</v>
      </c>
      <c r="K2295" s="15">
        <v>46</v>
      </c>
      <c r="L2295" s="16">
        <v>48</v>
      </c>
      <c r="M2295" s="17">
        <v>2208</v>
      </c>
      <c r="N2295" s="15" t="s">
        <v>367</v>
      </c>
      <c r="O2295" s="15" t="s">
        <v>19</v>
      </c>
      <c r="Q2295"/>
    </row>
    <row r="2296" spans="1:17" ht="15.6" x14ac:dyDescent="0.3">
      <c r="A2296" s="11">
        <v>10369</v>
      </c>
      <c r="B2296" s="10">
        <v>38372</v>
      </c>
      <c r="C2296" s="10" t="s">
        <v>312</v>
      </c>
      <c r="D2296" s="11" t="s">
        <v>140</v>
      </c>
      <c r="E2296" s="11" t="s">
        <v>125</v>
      </c>
      <c r="F2296" s="11" t="s">
        <v>15</v>
      </c>
      <c r="G2296" s="11" t="s">
        <v>16</v>
      </c>
      <c r="H2296" s="11" t="s">
        <v>32</v>
      </c>
      <c r="I2296" s="11" t="s">
        <v>46</v>
      </c>
      <c r="J2296" s="11" t="s">
        <v>254</v>
      </c>
      <c r="K2296" s="11">
        <v>41</v>
      </c>
      <c r="L2296" s="12">
        <v>90</v>
      </c>
      <c r="M2296" s="13">
        <v>3690</v>
      </c>
      <c r="N2296" s="11" t="s">
        <v>367</v>
      </c>
      <c r="O2296" s="11" t="s">
        <v>19</v>
      </c>
      <c r="Q2296"/>
    </row>
    <row r="2297" spans="1:17" ht="15.6" x14ac:dyDescent="0.3">
      <c r="A2297" s="15">
        <v>10370</v>
      </c>
      <c r="B2297" s="14">
        <v>38372</v>
      </c>
      <c r="C2297" s="14" t="s">
        <v>313</v>
      </c>
      <c r="D2297" s="15" t="s">
        <v>141</v>
      </c>
      <c r="E2297" s="15" t="s">
        <v>142</v>
      </c>
      <c r="F2297" s="15" t="s">
        <v>106</v>
      </c>
      <c r="G2297" s="15" t="s">
        <v>107</v>
      </c>
      <c r="H2297" s="15" t="s">
        <v>32</v>
      </c>
      <c r="I2297" s="15" t="s">
        <v>34</v>
      </c>
      <c r="J2297" s="15" t="s">
        <v>246</v>
      </c>
      <c r="K2297" s="15">
        <v>35</v>
      </c>
      <c r="L2297" s="16">
        <v>80</v>
      </c>
      <c r="M2297" s="17">
        <v>2800</v>
      </c>
      <c r="N2297" s="15" t="s">
        <v>367</v>
      </c>
      <c r="O2297" s="15" t="s">
        <v>19</v>
      </c>
      <c r="Q2297"/>
    </row>
    <row r="2298" spans="1:17" ht="15.6" x14ac:dyDescent="0.3">
      <c r="A2298" s="11">
        <v>10370</v>
      </c>
      <c r="B2298" s="10">
        <v>38372</v>
      </c>
      <c r="C2298" s="10" t="s">
        <v>313</v>
      </c>
      <c r="D2298" s="11" t="s">
        <v>141</v>
      </c>
      <c r="E2298" s="11" t="s">
        <v>142</v>
      </c>
      <c r="F2298" s="11" t="s">
        <v>106</v>
      </c>
      <c r="G2298" s="11" t="s">
        <v>107</v>
      </c>
      <c r="H2298" s="11" t="s">
        <v>35</v>
      </c>
      <c r="I2298" s="11" t="s">
        <v>40</v>
      </c>
      <c r="J2298" s="11" t="s">
        <v>251</v>
      </c>
      <c r="K2298" s="11">
        <v>49</v>
      </c>
      <c r="L2298" s="12">
        <v>25</v>
      </c>
      <c r="M2298" s="13">
        <v>1225</v>
      </c>
      <c r="N2298" s="11" t="s">
        <v>367</v>
      </c>
      <c r="O2298" s="11" t="s">
        <v>19</v>
      </c>
      <c r="Q2298"/>
    </row>
    <row r="2299" spans="1:17" ht="15.6" x14ac:dyDescent="0.3">
      <c r="A2299" s="15">
        <v>10370</v>
      </c>
      <c r="B2299" s="14">
        <v>38372</v>
      </c>
      <c r="C2299" s="14" t="s">
        <v>313</v>
      </c>
      <c r="D2299" s="15" t="s">
        <v>141</v>
      </c>
      <c r="E2299" s="15" t="s">
        <v>142</v>
      </c>
      <c r="F2299" s="15" t="s">
        <v>106</v>
      </c>
      <c r="G2299" s="15" t="s">
        <v>107</v>
      </c>
      <c r="H2299" s="15" t="s">
        <v>35</v>
      </c>
      <c r="I2299" s="15" t="s">
        <v>40</v>
      </c>
      <c r="J2299" s="15" t="s">
        <v>251</v>
      </c>
      <c r="K2299" s="15">
        <v>27</v>
      </c>
      <c r="L2299" s="16">
        <v>25</v>
      </c>
      <c r="M2299" s="17">
        <v>675</v>
      </c>
      <c r="N2299" s="15" t="s">
        <v>367</v>
      </c>
      <c r="O2299" s="15" t="s">
        <v>19</v>
      </c>
      <c r="Q2299"/>
    </row>
    <row r="2300" spans="1:17" ht="15.6" x14ac:dyDescent="0.3">
      <c r="A2300" s="11">
        <v>10369</v>
      </c>
      <c r="B2300" s="10">
        <v>38372</v>
      </c>
      <c r="C2300" s="10" t="s">
        <v>312</v>
      </c>
      <c r="D2300" s="11" t="s">
        <v>140</v>
      </c>
      <c r="E2300" s="11" t="s">
        <v>125</v>
      </c>
      <c r="F2300" s="11" t="s">
        <v>15</v>
      </c>
      <c r="G2300" s="11" t="s">
        <v>16</v>
      </c>
      <c r="H2300" s="11" t="s">
        <v>17</v>
      </c>
      <c r="I2300" s="11" t="s">
        <v>20</v>
      </c>
      <c r="J2300" s="11" t="s">
        <v>242</v>
      </c>
      <c r="K2300" s="11">
        <v>44</v>
      </c>
      <c r="L2300" s="12">
        <v>48</v>
      </c>
      <c r="M2300" s="13">
        <v>2112</v>
      </c>
      <c r="N2300" s="11" t="s">
        <v>367</v>
      </c>
      <c r="O2300" s="11" t="s">
        <v>19</v>
      </c>
      <c r="Q2300"/>
    </row>
    <row r="2301" spans="1:17" ht="15.6" x14ac:dyDescent="0.3">
      <c r="A2301" s="15">
        <v>10369</v>
      </c>
      <c r="B2301" s="14">
        <v>38372</v>
      </c>
      <c r="C2301" s="14" t="s">
        <v>312</v>
      </c>
      <c r="D2301" s="15" t="s">
        <v>140</v>
      </c>
      <c r="E2301" s="15" t="s">
        <v>125</v>
      </c>
      <c r="F2301" s="15" t="s">
        <v>15</v>
      </c>
      <c r="G2301" s="15" t="s">
        <v>16</v>
      </c>
      <c r="H2301" s="15" t="s">
        <v>17</v>
      </c>
      <c r="I2301" s="15" t="s">
        <v>52</v>
      </c>
      <c r="J2301" s="15" t="s">
        <v>256</v>
      </c>
      <c r="K2301" s="15">
        <v>32</v>
      </c>
      <c r="L2301" s="16">
        <v>45</v>
      </c>
      <c r="M2301" s="17">
        <v>1440</v>
      </c>
      <c r="N2301" s="15" t="s">
        <v>367</v>
      </c>
      <c r="O2301" s="15" t="s">
        <v>19</v>
      </c>
      <c r="Q2301"/>
    </row>
    <row r="2302" spans="1:17" ht="15.6" x14ac:dyDescent="0.3">
      <c r="A2302" s="11">
        <v>10370</v>
      </c>
      <c r="B2302" s="10">
        <v>38372</v>
      </c>
      <c r="C2302" s="10" t="s">
        <v>313</v>
      </c>
      <c r="D2302" s="11" t="s">
        <v>141</v>
      </c>
      <c r="E2302" s="11" t="s">
        <v>142</v>
      </c>
      <c r="F2302" s="11" t="s">
        <v>106</v>
      </c>
      <c r="G2302" s="11" t="s">
        <v>107</v>
      </c>
      <c r="H2302" s="11" t="s">
        <v>35</v>
      </c>
      <c r="I2302" s="11" t="s">
        <v>40</v>
      </c>
      <c r="J2302" s="11" t="s">
        <v>251</v>
      </c>
      <c r="K2302" s="11">
        <v>22</v>
      </c>
      <c r="L2302" s="12">
        <v>25</v>
      </c>
      <c r="M2302" s="13">
        <v>550</v>
      </c>
      <c r="N2302" s="11" t="s">
        <v>367</v>
      </c>
      <c r="O2302" s="11" t="s">
        <v>19</v>
      </c>
      <c r="Q2302"/>
    </row>
    <row r="2303" spans="1:17" ht="15.6" x14ac:dyDescent="0.3">
      <c r="A2303" s="15">
        <v>10370</v>
      </c>
      <c r="B2303" s="14">
        <v>38372</v>
      </c>
      <c r="C2303" s="14" t="s">
        <v>313</v>
      </c>
      <c r="D2303" s="15" t="s">
        <v>141</v>
      </c>
      <c r="E2303" s="15" t="s">
        <v>142</v>
      </c>
      <c r="F2303" s="15" t="s">
        <v>106</v>
      </c>
      <c r="G2303" s="15" t="s">
        <v>107</v>
      </c>
      <c r="H2303" s="15" t="s">
        <v>35</v>
      </c>
      <c r="I2303" s="15" t="s">
        <v>38</v>
      </c>
      <c r="J2303" s="15" t="s">
        <v>249</v>
      </c>
      <c r="K2303" s="15">
        <v>22</v>
      </c>
      <c r="L2303" s="16">
        <v>20</v>
      </c>
      <c r="M2303" s="17">
        <v>440</v>
      </c>
      <c r="N2303" s="15" t="s">
        <v>367</v>
      </c>
      <c r="O2303" s="15" t="s">
        <v>19</v>
      </c>
      <c r="Q2303"/>
    </row>
    <row r="2304" spans="1:17" ht="15.6" x14ac:dyDescent="0.3">
      <c r="A2304" s="11">
        <v>10369</v>
      </c>
      <c r="B2304" s="10">
        <v>38372</v>
      </c>
      <c r="C2304" s="10" t="s">
        <v>312</v>
      </c>
      <c r="D2304" s="11" t="s">
        <v>140</v>
      </c>
      <c r="E2304" s="11" t="s">
        <v>125</v>
      </c>
      <c r="F2304" s="11" t="s">
        <v>15</v>
      </c>
      <c r="G2304" s="11" t="s">
        <v>16</v>
      </c>
      <c r="H2304" s="11" t="s">
        <v>17</v>
      </c>
      <c r="I2304" s="11" t="s">
        <v>20</v>
      </c>
      <c r="J2304" s="11" t="s">
        <v>242</v>
      </c>
      <c r="K2304" s="11">
        <v>42</v>
      </c>
      <c r="L2304" s="12">
        <v>48</v>
      </c>
      <c r="M2304" s="13">
        <v>2016</v>
      </c>
      <c r="N2304" s="11" t="s">
        <v>367</v>
      </c>
      <c r="O2304" s="11" t="s">
        <v>19</v>
      </c>
      <c r="Q2304"/>
    </row>
    <row r="2305" spans="1:17" ht="15.6" x14ac:dyDescent="0.3">
      <c r="A2305" s="15">
        <v>10369</v>
      </c>
      <c r="B2305" s="14">
        <v>38372</v>
      </c>
      <c r="C2305" s="14" t="s">
        <v>312</v>
      </c>
      <c r="D2305" s="15" t="s">
        <v>140</v>
      </c>
      <c r="E2305" s="15" t="s">
        <v>125</v>
      </c>
      <c r="F2305" s="15" t="s">
        <v>15</v>
      </c>
      <c r="G2305" s="15" t="s">
        <v>16</v>
      </c>
      <c r="H2305" s="15" t="s">
        <v>17</v>
      </c>
      <c r="I2305" s="15" t="s">
        <v>26</v>
      </c>
      <c r="J2305" s="15" t="s">
        <v>244</v>
      </c>
      <c r="K2305" s="15">
        <v>28</v>
      </c>
      <c r="L2305" s="16">
        <v>60</v>
      </c>
      <c r="M2305" s="17">
        <v>1680</v>
      </c>
      <c r="N2305" s="15" t="s">
        <v>367</v>
      </c>
      <c r="O2305" s="15" t="s">
        <v>19</v>
      </c>
      <c r="Q2305"/>
    </row>
    <row r="2306" spans="1:17" ht="15.6" x14ac:dyDescent="0.3">
      <c r="A2306" s="11">
        <v>10369</v>
      </c>
      <c r="B2306" s="10">
        <v>38372</v>
      </c>
      <c r="C2306" s="10" t="s">
        <v>312</v>
      </c>
      <c r="D2306" s="11" t="s">
        <v>140</v>
      </c>
      <c r="E2306" s="11" t="s">
        <v>125</v>
      </c>
      <c r="F2306" s="11" t="s">
        <v>15</v>
      </c>
      <c r="G2306" s="11" t="s">
        <v>16</v>
      </c>
      <c r="H2306" s="11" t="s">
        <v>17</v>
      </c>
      <c r="I2306" s="11" t="s">
        <v>20</v>
      </c>
      <c r="J2306" s="11" t="s">
        <v>242</v>
      </c>
      <c r="K2306" s="11">
        <v>21</v>
      </c>
      <c r="L2306" s="12">
        <v>48</v>
      </c>
      <c r="M2306" s="13">
        <v>1008</v>
      </c>
      <c r="N2306" s="11" t="s">
        <v>367</v>
      </c>
      <c r="O2306" s="11" t="s">
        <v>19</v>
      </c>
      <c r="Q2306"/>
    </row>
    <row r="2307" spans="1:17" ht="15.6" x14ac:dyDescent="0.3">
      <c r="A2307" s="15">
        <v>10370</v>
      </c>
      <c r="B2307" s="14">
        <v>38372</v>
      </c>
      <c r="C2307" s="14" t="s">
        <v>313</v>
      </c>
      <c r="D2307" s="15" t="s">
        <v>141</v>
      </c>
      <c r="E2307" s="15" t="s">
        <v>142</v>
      </c>
      <c r="F2307" s="15" t="s">
        <v>106</v>
      </c>
      <c r="G2307" s="15" t="s">
        <v>107</v>
      </c>
      <c r="H2307" s="15" t="s">
        <v>32</v>
      </c>
      <c r="I2307" s="15" t="s">
        <v>33</v>
      </c>
      <c r="J2307" s="15" t="s">
        <v>245</v>
      </c>
      <c r="K2307" s="15">
        <v>27</v>
      </c>
      <c r="L2307" s="16">
        <v>85</v>
      </c>
      <c r="M2307" s="17">
        <v>2295</v>
      </c>
      <c r="N2307" s="15" t="s">
        <v>367</v>
      </c>
      <c r="O2307" s="15" t="s">
        <v>19</v>
      </c>
      <c r="Q2307"/>
    </row>
    <row r="2308" spans="1:17" ht="15.6" x14ac:dyDescent="0.3">
      <c r="A2308" s="11">
        <v>10369</v>
      </c>
      <c r="B2308" s="10">
        <v>38372</v>
      </c>
      <c r="C2308" s="10" t="s">
        <v>312</v>
      </c>
      <c r="D2308" s="11" t="s">
        <v>140</v>
      </c>
      <c r="E2308" s="11" t="s">
        <v>125</v>
      </c>
      <c r="F2308" s="11" t="s">
        <v>15</v>
      </c>
      <c r="G2308" s="11" t="s">
        <v>16</v>
      </c>
      <c r="H2308" s="11" t="s">
        <v>17</v>
      </c>
      <c r="I2308" s="11" t="s">
        <v>20</v>
      </c>
      <c r="J2308" s="11" t="s">
        <v>242</v>
      </c>
      <c r="K2308" s="11">
        <v>45</v>
      </c>
      <c r="L2308" s="12">
        <v>48</v>
      </c>
      <c r="M2308" s="13">
        <v>2160</v>
      </c>
      <c r="N2308" s="11" t="s">
        <v>367</v>
      </c>
      <c r="O2308" s="11" t="s">
        <v>19</v>
      </c>
      <c r="Q2308"/>
    </row>
    <row r="2309" spans="1:17" ht="15.6" x14ac:dyDescent="0.3">
      <c r="A2309" s="15">
        <v>10370</v>
      </c>
      <c r="B2309" s="14">
        <v>38372</v>
      </c>
      <c r="C2309" s="14" t="s">
        <v>313</v>
      </c>
      <c r="D2309" s="15" t="s">
        <v>141</v>
      </c>
      <c r="E2309" s="15" t="s">
        <v>142</v>
      </c>
      <c r="F2309" s="15" t="s">
        <v>106</v>
      </c>
      <c r="G2309" s="15" t="s">
        <v>107</v>
      </c>
      <c r="H2309" s="15" t="s">
        <v>35</v>
      </c>
      <c r="I2309" s="15" t="s">
        <v>36</v>
      </c>
      <c r="J2309" s="15" t="s">
        <v>247</v>
      </c>
      <c r="K2309" s="15">
        <v>29</v>
      </c>
      <c r="L2309" s="16">
        <v>30</v>
      </c>
      <c r="M2309" s="17">
        <v>870</v>
      </c>
      <c r="N2309" s="15" t="s">
        <v>367</v>
      </c>
      <c r="O2309" s="15" t="s">
        <v>19</v>
      </c>
      <c r="Q2309"/>
    </row>
    <row r="2310" spans="1:17" ht="15.6" x14ac:dyDescent="0.3">
      <c r="A2310" s="11">
        <v>10370</v>
      </c>
      <c r="B2310" s="10">
        <v>38372</v>
      </c>
      <c r="C2310" s="10" t="s">
        <v>313</v>
      </c>
      <c r="D2310" s="11" t="s">
        <v>141</v>
      </c>
      <c r="E2310" s="11" t="s">
        <v>142</v>
      </c>
      <c r="F2310" s="11" t="s">
        <v>106</v>
      </c>
      <c r="G2310" s="11" t="s">
        <v>107</v>
      </c>
      <c r="H2310" s="11" t="s">
        <v>17</v>
      </c>
      <c r="I2310" s="11" t="s">
        <v>20</v>
      </c>
      <c r="J2310" s="11" t="s">
        <v>242</v>
      </c>
      <c r="K2310" s="11">
        <v>20</v>
      </c>
      <c r="L2310" s="12">
        <v>48</v>
      </c>
      <c r="M2310" s="13">
        <v>960</v>
      </c>
      <c r="N2310" s="11" t="s">
        <v>367</v>
      </c>
      <c r="O2310" s="11" t="s">
        <v>19</v>
      </c>
      <c r="Q2310"/>
    </row>
    <row r="2311" spans="1:17" ht="15.6" x14ac:dyDescent="0.3">
      <c r="A2311" s="15">
        <v>10369</v>
      </c>
      <c r="B2311" s="14">
        <v>38372</v>
      </c>
      <c r="C2311" s="14" t="s">
        <v>312</v>
      </c>
      <c r="D2311" s="15" t="s">
        <v>140</v>
      </c>
      <c r="E2311" s="15" t="s">
        <v>125</v>
      </c>
      <c r="F2311" s="15" t="s">
        <v>15</v>
      </c>
      <c r="G2311" s="15" t="s">
        <v>16</v>
      </c>
      <c r="H2311" s="15" t="s">
        <v>17</v>
      </c>
      <c r="I2311" s="15" t="s">
        <v>18</v>
      </c>
      <c r="J2311" s="15" t="s">
        <v>241</v>
      </c>
      <c r="K2311" s="15">
        <v>40</v>
      </c>
      <c r="L2311" s="16">
        <v>30</v>
      </c>
      <c r="M2311" s="17">
        <v>1200</v>
      </c>
      <c r="N2311" s="15" t="s">
        <v>367</v>
      </c>
      <c r="O2311" s="15" t="s">
        <v>19</v>
      </c>
      <c r="Q2311"/>
    </row>
    <row r="2312" spans="1:17" ht="15.6" x14ac:dyDescent="0.3">
      <c r="A2312" s="11">
        <v>10370</v>
      </c>
      <c r="B2312" s="10">
        <v>38372</v>
      </c>
      <c r="C2312" s="10" t="s">
        <v>313</v>
      </c>
      <c r="D2312" s="11" t="s">
        <v>141</v>
      </c>
      <c r="E2312" s="11" t="s">
        <v>142</v>
      </c>
      <c r="F2312" s="11" t="s">
        <v>106</v>
      </c>
      <c r="G2312" s="11" t="s">
        <v>107</v>
      </c>
      <c r="H2312" s="11" t="s">
        <v>35</v>
      </c>
      <c r="I2312" s="11" t="s">
        <v>39</v>
      </c>
      <c r="J2312" s="11" t="s">
        <v>250</v>
      </c>
      <c r="K2312" s="11">
        <v>25</v>
      </c>
      <c r="L2312" s="12">
        <v>20</v>
      </c>
      <c r="M2312" s="13">
        <v>500</v>
      </c>
      <c r="N2312" s="11" t="s">
        <v>367</v>
      </c>
      <c r="O2312" s="11" t="s">
        <v>19</v>
      </c>
      <c r="Q2312"/>
    </row>
    <row r="2313" spans="1:17" ht="15.6" x14ac:dyDescent="0.3">
      <c r="A2313" s="15">
        <v>10371</v>
      </c>
      <c r="B2313" s="14">
        <v>38375</v>
      </c>
      <c r="C2313" s="14" t="s">
        <v>288</v>
      </c>
      <c r="D2313" s="15" t="s">
        <v>88</v>
      </c>
      <c r="E2313" s="15" t="s">
        <v>89</v>
      </c>
      <c r="F2313" s="15" t="s">
        <v>15</v>
      </c>
      <c r="G2313" s="15" t="s">
        <v>16</v>
      </c>
      <c r="H2313" s="15" t="s">
        <v>32</v>
      </c>
      <c r="I2313" s="15" t="s">
        <v>44</v>
      </c>
      <c r="J2313" s="15" t="s">
        <v>252</v>
      </c>
      <c r="K2313" s="15">
        <v>32</v>
      </c>
      <c r="L2313" s="16">
        <v>55</v>
      </c>
      <c r="M2313" s="17">
        <v>1760</v>
      </c>
      <c r="N2313" s="15" t="s">
        <v>367</v>
      </c>
      <c r="O2313" s="15" t="s">
        <v>19</v>
      </c>
      <c r="Q2313"/>
    </row>
    <row r="2314" spans="1:17" ht="15.6" x14ac:dyDescent="0.3">
      <c r="A2314" s="11">
        <v>10371</v>
      </c>
      <c r="B2314" s="10">
        <v>38375</v>
      </c>
      <c r="C2314" s="10" t="s">
        <v>288</v>
      </c>
      <c r="D2314" s="11" t="s">
        <v>88</v>
      </c>
      <c r="E2314" s="11" t="s">
        <v>89</v>
      </c>
      <c r="F2314" s="11" t="s">
        <v>15</v>
      </c>
      <c r="G2314" s="11" t="s">
        <v>16</v>
      </c>
      <c r="H2314" s="11" t="s">
        <v>35</v>
      </c>
      <c r="I2314" s="11" t="s">
        <v>39</v>
      </c>
      <c r="J2314" s="11" t="s">
        <v>250</v>
      </c>
      <c r="K2314" s="11">
        <v>49</v>
      </c>
      <c r="L2314" s="12">
        <v>20</v>
      </c>
      <c r="M2314" s="13">
        <v>980</v>
      </c>
      <c r="N2314" s="11" t="s">
        <v>367</v>
      </c>
      <c r="O2314" s="11" t="s">
        <v>19</v>
      </c>
      <c r="Q2314"/>
    </row>
    <row r="2315" spans="1:17" ht="15.6" x14ac:dyDescent="0.3">
      <c r="A2315" s="15">
        <v>10371</v>
      </c>
      <c r="B2315" s="14">
        <v>38375</v>
      </c>
      <c r="C2315" s="14" t="s">
        <v>288</v>
      </c>
      <c r="D2315" s="15" t="s">
        <v>88</v>
      </c>
      <c r="E2315" s="15" t="s">
        <v>89</v>
      </c>
      <c r="F2315" s="15" t="s">
        <v>15</v>
      </c>
      <c r="G2315" s="15" t="s">
        <v>16</v>
      </c>
      <c r="H2315" s="15" t="s">
        <v>32</v>
      </c>
      <c r="I2315" s="15" t="s">
        <v>46</v>
      </c>
      <c r="J2315" s="15" t="s">
        <v>254</v>
      </c>
      <c r="K2315" s="15">
        <v>25</v>
      </c>
      <c r="L2315" s="16">
        <v>90</v>
      </c>
      <c r="M2315" s="17">
        <v>2250</v>
      </c>
      <c r="N2315" s="15" t="s">
        <v>367</v>
      </c>
      <c r="O2315" s="15" t="s">
        <v>19</v>
      </c>
      <c r="Q2315"/>
    </row>
    <row r="2316" spans="1:17" ht="15.6" x14ac:dyDescent="0.3">
      <c r="A2316" s="11">
        <v>10371</v>
      </c>
      <c r="B2316" s="10">
        <v>38375</v>
      </c>
      <c r="C2316" s="10" t="s">
        <v>288</v>
      </c>
      <c r="D2316" s="11" t="s">
        <v>88</v>
      </c>
      <c r="E2316" s="11" t="s">
        <v>89</v>
      </c>
      <c r="F2316" s="11" t="s">
        <v>15</v>
      </c>
      <c r="G2316" s="11" t="s">
        <v>16</v>
      </c>
      <c r="H2316" s="11" t="s">
        <v>32</v>
      </c>
      <c r="I2316" s="11" t="s">
        <v>45</v>
      </c>
      <c r="J2316" s="11" t="s">
        <v>253</v>
      </c>
      <c r="K2316" s="11">
        <v>25</v>
      </c>
      <c r="L2316" s="12">
        <v>35</v>
      </c>
      <c r="M2316" s="13">
        <v>875</v>
      </c>
      <c r="N2316" s="11" t="s">
        <v>367</v>
      </c>
      <c r="O2316" s="11" t="s">
        <v>19</v>
      </c>
      <c r="Q2316"/>
    </row>
    <row r="2317" spans="1:17" ht="15.6" x14ac:dyDescent="0.3">
      <c r="A2317" s="15">
        <v>10371</v>
      </c>
      <c r="B2317" s="14">
        <v>38375</v>
      </c>
      <c r="C2317" s="14" t="s">
        <v>288</v>
      </c>
      <c r="D2317" s="15" t="s">
        <v>88</v>
      </c>
      <c r="E2317" s="15" t="s">
        <v>89</v>
      </c>
      <c r="F2317" s="15" t="s">
        <v>15</v>
      </c>
      <c r="G2317" s="15" t="s">
        <v>16</v>
      </c>
      <c r="H2317" s="15" t="s">
        <v>35</v>
      </c>
      <c r="I2317" s="15" t="s">
        <v>39</v>
      </c>
      <c r="J2317" s="15" t="s">
        <v>250</v>
      </c>
      <c r="K2317" s="15">
        <v>20</v>
      </c>
      <c r="L2317" s="16">
        <v>20</v>
      </c>
      <c r="M2317" s="17">
        <v>400</v>
      </c>
      <c r="N2317" s="15" t="s">
        <v>367</v>
      </c>
      <c r="O2317" s="15" t="s">
        <v>19</v>
      </c>
      <c r="Q2317"/>
    </row>
    <row r="2318" spans="1:17" ht="15.6" x14ac:dyDescent="0.3">
      <c r="A2318" s="11">
        <v>10371</v>
      </c>
      <c r="B2318" s="10">
        <v>38375</v>
      </c>
      <c r="C2318" s="10" t="s">
        <v>288</v>
      </c>
      <c r="D2318" s="11" t="s">
        <v>88</v>
      </c>
      <c r="E2318" s="11" t="s">
        <v>89</v>
      </c>
      <c r="F2318" s="11" t="s">
        <v>15</v>
      </c>
      <c r="G2318" s="11" t="s">
        <v>16</v>
      </c>
      <c r="H2318" s="11" t="s">
        <v>32</v>
      </c>
      <c r="I2318" s="11" t="s">
        <v>45</v>
      </c>
      <c r="J2318" s="11" t="s">
        <v>253</v>
      </c>
      <c r="K2318" s="11">
        <v>45</v>
      </c>
      <c r="L2318" s="12">
        <v>35</v>
      </c>
      <c r="M2318" s="13">
        <v>1575</v>
      </c>
      <c r="N2318" s="11" t="s">
        <v>367</v>
      </c>
      <c r="O2318" s="11" t="s">
        <v>19</v>
      </c>
      <c r="Q2318"/>
    </row>
    <row r="2319" spans="1:17" ht="15.6" x14ac:dyDescent="0.3">
      <c r="A2319" s="15">
        <v>10371</v>
      </c>
      <c r="B2319" s="14">
        <v>38375</v>
      </c>
      <c r="C2319" s="14" t="s">
        <v>288</v>
      </c>
      <c r="D2319" s="15" t="s">
        <v>88</v>
      </c>
      <c r="E2319" s="15" t="s">
        <v>89</v>
      </c>
      <c r="F2319" s="15" t="s">
        <v>15</v>
      </c>
      <c r="G2319" s="15" t="s">
        <v>16</v>
      </c>
      <c r="H2319" s="15" t="s">
        <v>32</v>
      </c>
      <c r="I2319" s="15" t="s">
        <v>34</v>
      </c>
      <c r="J2319" s="15" t="s">
        <v>246</v>
      </c>
      <c r="K2319" s="15">
        <v>28</v>
      </c>
      <c r="L2319" s="16">
        <v>80</v>
      </c>
      <c r="M2319" s="17">
        <v>2240</v>
      </c>
      <c r="N2319" s="15" t="s">
        <v>367</v>
      </c>
      <c r="O2319" s="15" t="s">
        <v>19</v>
      </c>
      <c r="Q2319"/>
    </row>
    <row r="2320" spans="1:17" ht="15.6" x14ac:dyDescent="0.3">
      <c r="A2320" s="11">
        <v>10371</v>
      </c>
      <c r="B2320" s="10">
        <v>38375</v>
      </c>
      <c r="C2320" s="10" t="s">
        <v>288</v>
      </c>
      <c r="D2320" s="11" t="s">
        <v>88</v>
      </c>
      <c r="E2320" s="11" t="s">
        <v>89</v>
      </c>
      <c r="F2320" s="11" t="s">
        <v>15</v>
      </c>
      <c r="G2320" s="11" t="s">
        <v>16</v>
      </c>
      <c r="H2320" s="11" t="s">
        <v>35</v>
      </c>
      <c r="I2320" s="11" t="s">
        <v>40</v>
      </c>
      <c r="J2320" s="11" t="s">
        <v>251</v>
      </c>
      <c r="K2320" s="11">
        <v>26</v>
      </c>
      <c r="L2320" s="12">
        <v>25</v>
      </c>
      <c r="M2320" s="13">
        <v>650</v>
      </c>
      <c r="N2320" s="11" t="s">
        <v>367</v>
      </c>
      <c r="O2320" s="11" t="s">
        <v>19</v>
      </c>
      <c r="Q2320"/>
    </row>
    <row r="2321" spans="1:17" ht="15.6" x14ac:dyDescent="0.3">
      <c r="A2321" s="15">
        <v>10371</v>
      </c>
      <c r="B2321" s="14">
        <v>38375</v>
      </c>
      <c r="C2321" s="14" t="s">
        <v>288</v>
      </c>
      <c r="D2321" s="15" t="s">
        <v>88</v>
      </c>
      <c r="E2321" s="15" t="s">
        <v>89</v>
      </c>
      <c r="F2321" s="15" t="s">
        <v>15</v>
      </c>
      <c r="G2321" s="15" t="s">
        <v>16</v>
      </c>
      <c r="H2321" s="15" t="s">
        <v>35</v>
      </c>
      <c r="I2321" s="15" t="s">
        <v>39</v>
      </c>
      <c r="J2321" s="15" t="s">
        <v>250</v>
      </c>
      <c r="K2321" s="15">
        <v>20</v>
      </c>
      <c r="L2321" s="16">
        <v>20</v>
      </c>
      <c r="M2321" s="17">
        <v>400</v>
      </c>
      <c r="N2321" s="15" t="s">
        <v>367</v>
      </c>
      <c r="O2321" s="15" t="s">
        <v>19</v>
      </c>
      <c r="Q2321"/>
    </row>
    <row r="2322" spans="1:17" ht="15.6" x14ac:dyDescent="0.3">
      <c r="A2322" s="11">
        <v>10371</v>
      </c>
      <c r="B2322" s="10">
        <v>38375</v>
      </c>
      <c r="C2322" s="10" t="s">
        <v>288</v>
      </c>
      <c r="D2322" s="11" t="s">
        <v>88</v>
      </c>
      <c r="E2322" s="11" t="s">
        <v>89</v>
      </c>
      <c r="F2322" s="11" t="s">
        <v>15</v>
      </c>
      <c r="G2322" s="11" t="s">
        <v>16</v>
      </c>
      <c r="H2322" s="11" t="s">
        <v>47</v>
      </c>
      <c r="I2322" s="11" t="s">
        <v>53</v>
      </c>
      <c r="J2322" s="11" t="s">
        <v>257</v>
      </c>
      <c r="K2322" s="11">
        <v>30</v>
      </c>
      <c r="L2322" s="12">
        <v>90</v>
      </c>
      <c r="M2322" s="13">
        <v>2700</v>
      </c>
      <c r="N2322" s="11" t="s">
        <v>367</v>
      </c>
      <c r="O2322" s="11" t="s">
        <v>19</v>
      </c>
      <c r="Q2322"/>
    </row>
    <row r="2323" spans="1:17" ht="15.6" x14ac:dyDescent="0.3">
      <c r="A2323" s="15">
        <v>10371</v>
      </c>
      <c r="B2323" s="14">
        <v>38375</v>
      </c>
      <c r="C2323" s="14" t="s">
        <v>288</v>
      </c>
      <c r="D2323" s="15" t="s">
        <v>88</v>
      </c>
      <c r="E2323" s="15" t="s">
        <v>89</v>
      </c>
      <c r="F2323" s="15" t="s">
        <v>15</v>
      </c>
      <c r="G2323" s="15" t="s">
        <v>16</v>
      </c>
      <c r="H2323" s="15" t="s">
        <v>35</v>
      </c>
      <c r="I2323" s="15" t="s">
        <v>40</v>
      </c>
      <c r="J2323" s="15" t="s">
        <v>251</v>
      </c>
      <c r="K2323" s="15">
        <v>48</v>
      </c>
      <c r="L2323" s="16">
        <v>25</v>
      </c>
      <c r="M2323" s="17">
        <v>1200</v>
      </c>
      <c r="N2323" s="15" t="s">
        <v>367</v>
      </c>
      <c r="O2323" s="15" t="s">
        <v>19</v>
      </c>
      <c r="Q2323"/>
    </row>
    <row r="2324" spans="1:17" ht="15.6" x14ac:dyDescent="0.3">
      <c r="A2324" s="11">
        <v>10371</v>
      </c>
      <c r="B2324" s="10">
        <v>38375</v>
      </c>
      <c r="C2324" s="10" t="s">
        <v>288</v>
      </c>
      <c r="D2324" s="11" t="s">
        <v>88</v>
      </c>
      <c r="E2324" s="11" t="s">
        <v>89</v>
      </c>
      <c r="F2324" s="11" t="s">
        <v>15</v>
      </c>
      <c r="G2324" s="11" t="s">
        <v>16</v>
      </c>
      <c r="H2324" s="11" t="s">
        <v>32</v>
      </c>
      <c r="I2324" s="11" t="s">
        <v>46</v>
      </c>
      <c r="J2324" s="11" t="s">
        <v>254</v>
      </c>
      <c r="K2324" s="11">
        <v>34</v>
      </c>
      <c r="L2324" s="12">
        <v>90</v>
      </c>
      <c r="M2324" s="13">
        <v>3060</v>
      </c>
      <c r="N2324" s="11" t="s">
        <v>367</v>
      </c>
      <c r="O2324" s="11" t="s">
        <v>19</v>
      </c>
      <c r="Q2324"/>
    </row>
    <row r="2325" spans="1:17" ht="15.6" x14ac:dyDescent="0.3">
      <c r="A2325" s="15">
        <v>10372</v>
      </c>
      <c r="B2325" s="14">
        <v>38378</v>
      </c>
      <c r="C2325" s="14" t="s">
        <v>359</v>
      </c>
      <c r="D2325" s="15" t="s">
        <v>228</v>
      </c>
      <c r="E2325" s="15" t="s">
        <v>229</v>
      </c>
      <c r="F2325" s="15" t="s">
        <v>74</v>
      </c>
      <c r="G2325" s="15" t="s">
        <v>74</v>
      </c>
      <c r="H2325" s="15" t="s">
        <v>32</v>
      </c>
      <c r="I2325" s="15" t="s">
        <v>33</v>
      </c>
      <c r="J2325" s="15" t="s">
        <v>245</v>
      </c>
      <c r="K2325" s="15">
        <v>40</v>
      </c>
      <c r="L2325" s="16">
        <v>85</v>
      </c>
      <c r="M2325" s="17">
        <v>3400</v>
      </c>
      <c r="N2325" s="15" t="s">
        <v>367</v>
      </c>
      <c r="O2325" s="15" t="s">
        <v>19</v>
      </c>
      <c r="Q2325"/>
    </row>
    <row r="2326" spans="1:17" ht="15.6" x14ac:dyDescent="0.3">
      <c r="A2326" s="11">
        <v>10372</v>
      </c>
      <c r="B2326" s="10">
        <v>38378</v>
      </c>
      <c r="C2326" s="10" t="s">
        <v>359</v>
      </c>
      <c r="D2326" s="11" t="s">
        <v>228</v>
      </c>
      <c r="E2326" s="11" t="s">
        <v>229</v>
      </c>
      <c r="F2326" s="11" t="s">
        <v>74</v>
      </c>
      <c r="G2326" s="11" t="s">
        <v>74</v>
      </c>
      <c r="H2326" s="11" t="s">
        <v>32</v>
      </c>
      <c r="I2326" s="11" t="s">
        <v>34</v>
      </c>
      <c r="J2326" s="11" t="s">
        <v>246</v>
      </c>
      <c r="K2326" s="11">
        <v>34</v>
      </c>
      <c r="L2326" s="12">
        <v>80</v>
      </c>
      <c r="M2326" s="13">
        <v>2720</v>
      </c>
      <c r="N2326" s="11" t="s">
        <v>367</v>
      </c>
      <c r="O2326" s="11" t="s">
        <v>19</v>
      </c>
      <c r="Q2326"/>
    </row>
    <row r="2327" spans="1:17" ht="15.6" x14ac:dyDescent="0.3">
      <c r="A2327" s="15">
        <v>10372</v>
      </c>
      <c r="B2327" s="14">
        <v>38378</v>
      </c>
      <c r="C2327" s="14" t="s">
        <v>359</v>
      </c>
      <c r="D2327" s="15" t="s">
        <v>228</v>
      </c>
      <c r="E2327" s="15" t="s">
        <v>229</v>
      </c>
      <c r="F2327" s="15" t="s">
        <v>74</v>
      </c>
      <c r="G2327" s="15" t="s">
        <v>74</v>
      </c>
      <c r="H2327" s="15" t="s">
        <v>17</v>
      </c>
      <c r="I2327" s="15" t="s">
        <v>20</v>
      </c>
      <c r="J2327" s="15" t="s">
        <v>242</v>
      </c>
      <c r="K2327" s="15">
        <v>28</v>
      </c>
      <c r="L2327" s="16">
        <v>48</v>
      </c>
      <c r="M2327" s="17">
        <v>1344</v>
      </c>
      <c r="N2327" s="15" t="s">
        <v>367</v>
      </c>
      <c r="O2327" s="15" t="s">
        <v>19</v>
      </c>
      <c r="Q2327"/>
    </row>
    <row r="2328" spans="1:17" ht="15.6" x14ac:dyDescent="0.3">
      <c r="A2328" s="11">
        <v>10372</v>
      </c>
      <c r="B2328" s="10">
        <v>38378</v>
      </c>
      <c r="C2328" s="10" t="s">
        <v>359</v>
      </c>
      <c r="D2328" s="11" t="s">
        <v>228</v>
      </c>
      <c r="E2328" s="11" t="s">
        <v>229</v>
      </c>
      <c r="F2328" s="11" t="s">
        <v>74</v>
      </c>
      <c r="G2328" s="11" t="s">
        <v>74</v>
      </c>
      <c r="H2328" s="11" t="s">
        <v>47</v>
      </c>
      <c r="I2328" s="11" t="s">
        <v>53</v>
      </c>
      <c r="J2328" s="11" t="s">
        <v>257</v>
      </c>
      <c r="K2328" s="11">
        <v>25</v>
      </c>
      <c r="L2328" s="12">
        <v>90</v>
      </c>
      <c r="M2328" s="13">
        <v>2250</v>
      </c>
      <c r="N2328" s="11" t="s">
        <v>367</v>
      </c>
      <c r="O2328" s="11" t="s">
        <v>19</v>
      </c>
      <c r="Q2328"/>
    </row>
    <row r="2329" spans="1:17" ht="15.6" x14ac:dyDescent="0.3">
      <c r="A2329" s="15">
        <v>10372</v>
      </c>
      <c r="B2329" s="14">
        <v>38378</v>
      </c>
      <c r="C2329" s="14" t="s">
        <v>359</v>
      </c>
      <c r="D2329" s="15" t="s">
        <v>228</v>
      </c>
      <c r="E2329" s="15" t="s">
        <v>229</v>
      </c>
      <c r="F2329" s="15" t="s">
        <v>74</v>
      </c>
      <c r="G2329" s="15" t="s">
        <v>74</v>
      </c>
      <c r="H2329" s="15" t="s">
        <v>32</v>
      </c>
      <c r="I2329" s="15" t="s">
        <v>33</v>
      </c>
      <c r="J2329" s="15" t="s">
        <v>245</v>
      </c>
      <c r="K2329" s="15">
        <v>48</v>
      </c>
      <c r="L2329" s="16">
        <v>85</v>
      </c>
      <c r="M2329" s="17">
        <v>4080</v>
      </c>
      <c r="N2329" s="15" t="s">
        <v>367</v>
      </c>
      <c r="O2329" s="15" t="s">
        <v>19</v>
      </c>
      <c r="Q2329"/>
    </row>
    <row r="2330" spans="1:17" ht="15.6" x14ac:dyDescent="0.3">
      <c r="A2330" s="11">
        <v>10372</v>
      </c>
      <c r="B2330" s="10">
        <v>38378</v>
      </c>
      <c r="C2330" s="10" t="s">
        <v>359</v>
      </c>
      <c r="D2330" s="11" t="s">
        <v>228</v>
      </c>
      <c r="E2330" s="11" t="s">
        <v>229</v>
      </c>
      <c r="F2330" s="11" t="s">
        <v>74</v>
      </c>
      <c r="G2330" s="11" t="s">
        <v>74</v>
      </c>
      <c r="H2330" s="11" t="s">
        <v>17</v>
      </c>
      <c r="I2330" s="11" t="s">
        <v>20</v>
      </c>
      <c r="J2330" s="11" t="s">
        <v>242</v>
      </c>
      <c r="K2330" s="11">
        <v>41</v>
      </c>
      <c r="L2330" s="12">
        <v>48</v>
      </c>
      <c r="M2330" s="13">
        <v>1968</v>
      </c>
      <c r="N2330" s="11" t="s">
        <v>367</v>
      </c>
      <c r="O2330" s="11" t="s">
        <v>19</v>
      </c>
      <c r="Q2330"/>
    </row>
    <row r="2331" spans="1:17" ht="15.6" x14ac:dyDescent="0.3">
      <c r="A2331" s="15">
        <v>10372</v>
      </c>
      <c r="B2331" s="14">
        <v>38378</v>
      </c>
      <c r="C2331" s="14" t="s">
        <v>359</v>
      </c>
      <c r="D2331" s="15" t="s">
        <v>228</v>
      </c>
      <c r="E2331" s="15" t="s">
        <v>229</v>
      </c>
      <c r="F2331" s="15" t="s">
        <v>74</v>
      </c>
      <c r="G2331" s="15" t="s">
        <v>74</v>
      </c>
      <c r="H2331" s="15" t="s">
        <v>54</v>
      </c>
      <c r="I2331" s="15" t="s">
        <v>57</v>
      </c>
      <c r="J2331" s="15" t="s">
        <v>260</v>
      </c>
      <c r="K2331" s="15">
        <v>37</v>
      </c>
      <c r="L2331" s="16">
        <v>220</v>
      </c>
      <c r="M2331" s="17">
        <v>8140</v>
      </c>
      <c r="N2331" s="15" t="s">
        <v>367</v>
      </c>
      <c r="O2331" s="15" t="s">
        <v>19</v>
      </c>
      <c r="Q2331"/>
    </row>
    <row r="2332" spans="1:17" ht="15.6" x14ac:dyDescent="0.3">
      <c r="A2332" s="11">
        <v>10372</v>
      </c>
      <c r="B2332" s="10">
        <v>38378</v>
      </c>
      <c r="C2332" s="10" t="s">
        <v>359</v>
      </c>
      <c r="D2332" s="11" t="s">
        <v>228</v>
      </c>
      <c r="E2332" s="11" t="s">
        <v>229</v>
      </c>
      <c r="F2332" s="11" t="s">
        <v>74</v>
      </c>
      <c r="G2332" s="11" t="s">
        <v>74</v>
      </c>
      <c r="H2332" s="11" t="s">
        <v>47</v>
      </c>
      <c r="I2332" s="11" t="s">
        <v>119</v>
      </c>
      <c r="J2332" s="11" t="s">
        <v>272</v>
      </c>
      <c r="K2332" s="11">
        <v>24</v>
      </c>
      <c r="L2332" s="12">
        <v>60</v>
      </c>
      <c r="M2332" s="13">
        <v>1440</v>
      </c>
      <c r="N2332" s="11" t="s">
        <v>367</v>
      </c>
      <c r="O2332" s="11" t="s">
        <v>19</v>
      </c>
      <c r="Q2332"/>
    </row>
    <row r="2333" spans="1:17" ht="15.6" x14ac:dyDescent="0.3">
      <c r="A2333" s="15">
        <v>10372</v>
      </c>
      <c r="B2333" s="14">
        <v>38378</v>
      </c>
      <c r="C2333" s="14" t="s">
        <v>359</v>
      </c>
      <c r="D2333" s="15" t="s">
        <v>228</v>
      </c>
      <c r="E2333" s="15" t="s">
        <v>229</v>
      </c>
      <c r="F2333" s="15" t="s">
        <v>74</v>
      </c>
      <c r="G2333" s="15" t="s">
        <v>74</v>
      </c>
      <c r="H2333" s="15" t="s">
        <v>54</v>
      </c>
      <c r="I2333" s="15" t="s">
        <v>56</v>
      </c>
      <c r="J2333" s="15" t="s">
        <v>259</v>
      </c>
      <c r="K2333" s="15">
        <v>44</v>
      </c>
      <c r="L2333" s="16">
        <v>250</v>
      </c>
      <c r="M2333" s="17">
        <v>11000</v>
      </c>
      <c r="N2333" s="15" t="s">
        <v>367</v>
      </c>
      <c r="O2333" s="15" t="s">
        <v>19</v>
      </c>
      <c r="Q2333"/>
    </row>
    <row r="2334" spans="1:17" ht="15.6" x14ac:dyDescent="0.3">
      <c r="A2334" s="11">
        <v>10373</v>
      </c>
      <c r="B2334" s="10">
        <v>38383</v>
      </c>
      <c r="C2334" s="10" t="s">
        <v>315</v>
      </c>
      <c r="D2334" s="11" t="s">
        <v>145</v>
      </c>
      <c r="E2334" s="11" t="s">
        <v>146</v>
      </c>
      <c r="F2334" s="11" t="s">
        <v>135</v>
      </c>
      <c r="G2334" s="11" t="s">
        <v>25</v>
      </c>
      <c r="H2334" s="11" t="s">
        <v>32</v>
      </c>
      <c r="I2334" s="11" t="s">
        <v>45</v>
      </c>
      <c r="J2334" s="11" t="s">
        <v>253</v>
      </c>
      <c r="K2334" s="11">
        <v>39</v>
      </c>
      <c r="L2334" s="12">
        <v>35</v>
      </c>
      <c r="M2334" s="13">
        <v>1365</v>
      </c>
      <c r="N2334" s="11" t="s">
        <v>367</v>
      </c>
      <c r="O2334" s="11" t="s">
        <v>19</v>
      </c>
      <c r="Q2334"/>
    </row>
    <row r="2335" spans="1:17" ht="15.6" x14ac:dyDescent="0.3">
      <c r="A2335" s="15">
        <v>10373</v>
      </c>
      <c r="B2335" s="14">
        <v>38383</v>
      </c>
      <c r="C2335" s="14" t="s">
        <v>315</v>
      </c>
      <c r="D2335" s="15" t="s">
        <v>145</v>
      </c>
      <c r="E2335" s="15" t="s">
        <v>146</v>
      </c>
      <c r="F2335" s="15" t="s">
        <v>135</v>
      </c>
      <c r="G2335" s="15" t="s">
        <v>25</v>
      </c>
      <c r="H2335" s="15" t="s">
        <v>61</v>
      </c>
      <c r="I2335" s="15" t="s">
        <v>66</v>
      </c>
      <c r="J2335" s="15" t="s">
        <v>265</v>
      </c>
      <c r="K2335" s="15">
        <v>28</v>
      </c>
      <c r="L2335" s="16">
        <v>35</v>
      </c>
      <c r="M2335" s="17">
        <v>980</v>
      </c>
      <c r="N2335" s="15" t="s">
        <v>367</v>
      </c>
      <c r="O2335" s="15" t="s">
        <v>19</v>
      </c>
      <c r="Q2335"/>
    </row>
    <row r="2336" spans="1:17" ht="15.6" x14ac:dyDescent="0.3">
      <c r="A2336" s="11">
        <v>10373</v>
      </c>
      <c r="B2336" s="10">
        <v>38383</v>
      </c>
      <c r="C2336" s="10" t="s">
        <v>315</v>
      </c>
      <c r="D2336" s="11" t="s">
        <v>145</v>
      </c>
      <c r="E2336" s="11" t="s">
        <v>146</v>
      </c>
      <c r="F2336" s="11" t="s">
        <v>135</v>
      </c>
      <c r="G2336" s="11" t="s">
        <v>25</v>
      </c>
      <c r="H2336" s="11" t="s">
        <v>54</v>
      </c>
      <c r="I2336" s="11" t="s">
        <v>57</v>
      </c>
      <c r="J2336" s="11" t="s">
        <v>260</v>
      </c>
      <c r="K2336" s="11">
        <v>22</v>
      </c>
      <c r="L2336" s="12">
        <v>220</v>
      </c>
      <c r="M2336" s="13">
        <v>4840</v>
      </c>
      <c r="N2336" s="11" t="s">
        <v>367</v>
      </c>
      <c r="O2336" s="11" t="s">
        <v>19</v>
      </c>
      <c r="Q2336"/>
    </row>
    <row r="2337" spans="1:17" ht="15.6" x14ac:dyDescent="0.3">
      <c r="A2337" s="15">
        <v>10373</v>
      </c>
      <c r="B2337" s="14">
        <v>38383</v>
      </c>
      <c r="C2337" s="14" t="s">
        <v>315</v>
      </c>
      <c r="D2337" s="15" t="s">
        <v>145</v>
      </c>
      <c r="E2337" s="15" t="s">
        <v>146</v>
      </c>
      <c r="F2337" s="15" t="s">
        <v>135</v>
      </c>
      <c r="G2337" s="15" t="s">
        <v>25</v>
      </c>
      <c r="H2337" s="15" t="s">
        <v>17</v>
      </c>
      <c r="I2337" s="15" t="s">
        <v>21</v>
      </c>
      <c r="J2337" s="15" t="s">
        <v>243</v>
      </c>
      <c r="K2337" s="15">
        <v>50</v>
      </c>
      <c r="L2337" s="16">
        <v>110</v>
      </c>
      <c r="M2337" s="17">
        <v>5500</v>
      </c>
      <c r="N2337" s="15" t="s">
        <v>368</v>
      </c>
      <c r="O2337" s="15" t="s">
        <v>19</v>
      </c>
      <c r="Q2337"/>
    </row>
    <row r="2338" spans="1:17" ht="15.6" x14ac:dyDescent="0.3">
      <c r="A2338" s="11">
        <v>10373</v>
      </c>
      <c r="B2338" s="10">
        <v>38383</v>
      </c>
      <c r="C2338" s="10" t="s">
        <v>315</v>
      </c>
      <c r="D2338" s="11" t="s">
        <v>145</v>
      </c>
      <c r="E2338" s="11" t="s">
        <v>146</v>
      </c>
      <c r="F2338" s="11" t="s">
        <v>135</v>
      </c>
      <c r="G2338" s="11" t="s">
        <v>25</v>
      </c>
      <c r="H2338" s="11" t="s">
        <v>61</v>
      </c>
      <c r="I2338" s="11" t="s">
        <v>64</v>
      </c>
      <c r="J2338" s="11" t="s">
        <v>263</v>
      </c>
      <c r="K2338" s="11">
        <v>38</v>
      </c>
      <c r="L2338" s="12">
        <v>35</v>
      </c>
      <c r="M2338" s="13">
        <v>1330</v>
      </c>
      <c r="N2338" s="11" t="s">
        <v>367</v>
      </c>
      <c r="O2338" s="11" t="s">
        <v>19</v>
      </c>
      <c r="Q2338"/>
    </row>
    <row r="2339" spans="1:17" ht="15.6" x14ac:dyDescent="0.3">
      <c r="A2339" s="15">
        <v>10373</v>
      </c>
      <c r="B2339" s="14">
        <v>38383</v>
      </c>
      <c r="C2339" s="14" t="s">
        <v>315</v>
      </c>
      <c r="D2339" s="15" t="s">
        <v>145</v>
      </c>
      <c r="E2339" s="15" t="s">
        <v>146</v>
      </c>
      <c r="F2339" s="15" t="s">
        <v>135</v>
      </c>
      <c r="G2339" s="15" t="s">
        <v>25</v>
      </c>
      <c r="H2339" s="15" t="s">
        <v>17</v>
      </c>
      <c r="I2339" s="15" t="s">
        <v>20</v>
      </c>
      <c r="J2339" s="15" t="s">
        <v>242</v>
      </c>
      <c r="K2339" s="15">
        <v>33</v>
      </c>
      <c r="L2339" s="16">
        <v>48</v>
      </c>
      <c r="M2339" s="17">
        <v>1584</v>
      </c>
      <c r="N2339" s="15" t="s">
        <v>367</v>
      </c>
      <c r="O2339" s="15" t="s">
        <v>19</v>
      </c>
      <c r="Q2339"/>
    </row>
    <row r="2340" spans="1:17" ht="15.6" x14ac:dyDescent="0.3">
      <c r="A2340" s="11">
        <v>10373</v>
      </c>
      <c r="B2340" s="10">
        <v>38383</v>
      </c>
      <c r="C2340" s="10" t="s">
        <v>315</v>
      </c>
      <c r="D2340" s="11" t="s">
        <v>145</v>
      </c>
      <c r="E2340" s="11" t="s">
        <v>146</v>
      </c>
      <c r="F2340" s="11" t="s">
        <v>135</v>
      </c>
      <c r="G2340" s="11" t="s">
        <v>25</v>
      </c>
      <c r="H2340" s="11" t="s">
        <v>17</v>
      </c>
      <c r="I2340" s="11" t="s">
        <v>21</v>
      </c>
      <c r="J2340" s="11" t="s">
        <v>243</v>
      </c>
      <c r="K2340" s="11">
        <v>46</v>
      </c>
      <c r="L2340" s="12">
        <v>110</v>
      </c>
      <c r="M2340" s="13">
        <v>5060</v>
      </c>
      <c r="N2340" s="11" t="s">
        <v>367</v>
      </c>
      <c r="O2340" s="11" t="s">
        <v>19</v>
      </c>
      <c r="Q2340"/>
    </row>
    <row r="2341" spans="1:17" ht="15.6" x14ac:dyDescent="0.3">
      <c r="A2341" s="15">
        <v>10373</v>
      </c>
      <c r="B2341" s="14">
        <v>38383</v>
      </c>
      <c r="C2341" s="14" t="s">
        <v>315</v>
      </c>
      <c r="D2341" s="15" t="s">
        <v>145</v>
      </c>
      <c r="E2341" s="15" t="s">
        <v>146</v>
      </c>
      <c r="F2341" s="15" t="s">
        <v>135</v>
      </c>
      <c r="G2341" s="15" t="s">
        <v>25</v>
      </c>
      <c r="H2341" s="15" t="s">
        <v>17</v>
      </c>
      <c r="I2341" s="15" t="s">
        <v>26</v>
      </c>
      <c r="J2341" s="15" t="s">
        <v>244</v>
      </c>
      <c r="K2341" s="15">
        <v>23</v>
      </c>
      <c r="L2341" s="16">
        <v>60</v>
      </c>
      <c r="M2341" s="17">
        <v>1380</v>
      </c>
      <c r="N2341" s="15" t="s">
        <v>367</v>
      </c>
      <c r="O2341" s="15" t="s">
        <v>19</v>
      </c>
      <c r="Q2341"/>
    </row>
    <row r="2342" spans="1:17" ht="15.6" x14ac:dyDescent="0.3">
      <c r="A2342" s="11">
        <v>10373</v>
      </c>
      <c r="B2342" s="10">
        <v>38383</v>
      </c>
      <c r="C2342" s="10" t="s">
        <v>315</v>
      </c>
      <c r="D2342" s="11" t="s">
        <v>145</v>
      </c>
      <c r="E2342" s="11" t="s">
        <v>146</v>
      </c>
      <c r="F2342" s="11" t="s">
        <v>135</v>
      </c>
      <c r="G2342" s="11" t="s">
        <v>25</v>
      </c>
      <c r="H2342" s="11" t="s">
        <v>61</v>
      </c>
      <c r="I2342" s="11" t="s">
        <v>65</v>
      </c>
      <c r="J2342" s="11" t="s">
        <v>264</v>
      </c>
      <c r="K2342" s="11">
        <v>39</v>
      </c>
      <c r="L2342" s="12">
        <v>30</v>
      </c>
      <c r="M2342" s="13">
        <v>1170</v>
      </c>
      <c r="N2342" s="11" t="s">
        <v>367</v>
      </c>
      <c r="O2342" s="11" t="s">
        <v>19</v>
      </c>
      <c r="Q2342"/>
    </row>
    <row r="2343" spans="1:17" ht="15.6" x14ac:dyDescent="0.3">
      <c r="A2343" s="15">
        <v>10373</v>
      </c>
      <c r="B2343" s="14">
        <v>38383</v>
      </c>
      <c r="C2343" s="14" t="s">
        <v>315</v>
      </c>
      <c r="D2343" s="15" t="s">
        <v>145</v>
      </c>
      <c r="E2343" s="15" t="s">
        <v>146</v>
      </c>
      <c r="F2343" s="15" t="s">
        <v>135</v>
      </c>
      <c r="G2343" s="15" t="s">
        <v>25</v>
      </c>
      <c r="H2343" s="15" t="s">
        <v>54</v>
      </c>
      <c r="I2343" s="15" t="s">
        <v>56</v>
      </c>
      <c r="J2343" s="15" t="s">
        <v>259</v>
      </c>
      <c r="K2343" s="15">
        <v>44</v>
      </c>
      <c r="L2343" s="16">
        <v>250</v>
      </c>
      <c r="M2343" s="17">
        <v>11000</v>
      </c>
      <c r="N2343" s="15" t="s">
        <v>367</v>
      </c>
      <c r="O2343" s="15" t="s">
        <v>19</v>
      </c>
      <c r="Q2343"/>
    </row>
    <row r="2344" spans="1:17" ht="15.6" x14ac:dyDescent="0.3">
      <c r="A2344" s="11">
        <v>10373</v>
      </c>
      <c r="B2344" s="10">
        <v>38383</v>
      </c>
      <c r="C2344" s="10" t="s">
        <v>315</v>
      </c>
      <c r="D2344" s="11" t="s">
        <v>145</v>
      </c>
      <c r="E2344" s="11" t="s">
        <v>146</v>
      </c>
      <c r="F2344" s="11" t="s">
        <v>135</v>
      </c>
      <c r="G2344" s="11" t="s">
        <v>25</v>
      </c>
      <c r="H2344" s="11" t="s">
        <v>54</v>
      </c>
      <c r="I2344" s="11" t="s">
        <v>55</v>
      </c>
      <c r="J2344" s="11" t="s">
        <v>258</v>
      </c>
      <c r="K2344" s="11">
        <v>32</v>
      </c>
      <c r="L2344" s="12">
        <v>180</v>
      </c>
      <c r="M2344" s="13">
        <v>5760</v>
      </c>
      <c r="N2344" s="11" t="s">
        <v>367</v>
      </c>
      <c r="O2344" s="11" t="s">
        <v>19</v>
      </c>
      <c r="Q2344"/>
    </row>
    <row r="2345" spans="1:17" ht="15.6" x14ac:dyDescent="0.3">
      <c r="A2345" s="15">
        <v>10373</v>
      </c>
      <c r="B2345" s="14">
        <v>38383</v>
      </c>
      <c r="C2345" s="14" t="s">
        <v>315</v>
      </c>
      <c r="D2345" s="15" t="s">
        <v>145</v>
      </c>
      <c r="E2345" s="15" t="s">
        <v>146</v>
      </c>
      <c r="F2345" s="15" t="s">
        <v>135</v>
      </c>
      <c r="G2345" s="15" t="s">
        <v>25</v>
      </c>
      <c r="H2345" s="15" t="s">
        <v>54</v>
      </c>
      <c r="I2345" s="15" t="s">
        <v>56</v>
      </c>
      <c r="J2345" s="15" t="s">
        <v>259</v>
      </c>
      <c r="K2345" s="15">
        <v>41</v>
      </c>
      <c r="L2345" s="16">
        <v>250</v>
      </c>
      <c r="M2345" s="17">
        <v>10250</v>
      </c>
      <c r="N2345" s="15" t="s">
        <v>367</v>
      </c>
      <c r="O2345" s="15" t="s">
        <v>19</v>
      </c>
      <c r="Q2345"/>
    </row>
    <row r="2346" spans="1:17" ht="15.6" x14ac:dyDescent="0.3">
      <c r="A2346" s="11">
        <v>10373</v>
      </c>
      <c r="B2346" s="10">
        <v>38383</v>
      </c>
      <c r="C2346" s="10" t="s">
        <v>315</v>
      </c>
      <c r="D2346" s="11" t="s">
        <v>145</v>
      </c>
      <c r="E2346" s="11" t="s">
        <v>146</v>
      </c>
      <c r="F2346" s="11" t="s">
        <v>135</v>
      </c>
      <c r="G2346" s="11" t="s">
        <v>25</v>
      </c>
      <c r="H2346" s="11" t="s">
        <v>54</v>
      </c>
      <c r="I2346" s="11" t="s">
        <v>57</v>
      </c>
      <c r="J2346" s="11" t="s">
        <v>260</v>
      </c>
      <c r="K2346" s="11">
        <v>34</v>
      </c>
      <c r="L2346" s="12">
        <v>220</v>
      </c>
      <c r="M2346" s="13">
        <v>7480</v>
      </c>
      <c r="N2346" s="11" t="s">
        <v>367</v>
      </c>
      <c r="O2346" s="11" t="s">
        <v>19</v>
      </c>
      <c r="Q2346"/>
    </row>
    <row r="2347" spans="1:17" ht="15.6" x14ac:dyDescent="0.3">
      <c r="A2347" s="15">
        <v>10373</v>
      </c>
      <c r="B2347" s="14">
        <v>38383</v>
      </c>
      <c r="C2347" s="14" t="s">
        <v>315</v>
      </c>
      <c r="D2347" s="15" t="s">
        <v>145</v>
      </c>
      <c r="E2347" s="15" t="s">
        <v>146</v>
      </c>
      <c r="F2347" s="15" t="s">
        <v>135</v>
      </c>
      <c r="G2347" s="15" t="s">
        <v>25</v>
      </c>
      <c r="H2347" s="15" t="s">
        <v>54</v>
      </c>
      <c r="I2347" s="15" t="s">
        <v>57</v>
      </c>
      <c r="J2347" s="15" t="s">
        <v>260</v>
      </c>
      <c r="K2347" s="15">
        <v>37</v>
      </c>
      <c r="L2347" s="16">
        <v>220</v>
      </c>
      <c r="M2347" s="17">
        <v>8140</v>
      </c>
      <c r="N2347" s="15" t="s">
        <v>367</v>
      </c>
      <c r="O2347" s="15" t="s">
        <v>19</v>
      </c>
      <c r="Q2347"/>
    </row>
    <row r="2348" spans="1:17" ht="15.6" x14ac:dyDescent="0.3">
      <c r="A2348" s="11">
        <v>10373</v>
      </c>
      <c r="B2348" s="10">
        <v>38383</v>
      </c>
      <c r="C2348" s="10" t="s">
        <v>315</v>
      </c>
      <c r="D2348" s="11" t="s">
        <v>145</v>
      </c>
      <c r="E2348" s="11" t="s">
        <v>146</v>
      </c>
      <c r="F2348" s="11" t="s">
        <v>135</v>
      </c>
      <c r="G2348" s="11" t="s">
        <v>25</v>
      </c>
      <c r="H2348" s="11" t="s">
        <v>61</v>
      </c>
      <c r="I2348" s="11" t="s">
        <v>62</v>
      </c>
      <c r="J2348" s="11" t="s">
        <v>261</v>
      </c>
      <c r="K2348" s="11">
        <v>45</v>
      </c>
      <c r="L2348" s="12">
        <v>15</v>
      </c>
      <c r="M2348" s="13">
        <v>675</v>
      </c>
      <c r="N2348" s="11" t="s">
        <v>367</v>
      </c>
      <c r="O2348" s="11" t="s">
        <v>19</v>
      </c>
      <c r="Q2348"/>
    </row>
    <row r="2349" spans="1:17" ht="15.6" x14ac:dyDescent="0.3">
      <c r="A2349" s="15">
        <v>10373</v>
      </c>
      <c r="B2349" s="14">
        <v>38383</v>
      </c>
      <c r="C2349" s="14" t="s">
        <v>315</v>
      </c>
      <c r="D2349" s="15" t="s">
        <v>145</v>
      </c>
      <c r="E2349" s="15" t="s">
        <v>146</v>
      </c>
      <c r="F2349" s="15" t="s">
        <v>135</v>
      </c>
      <c r="G2349" s="15" t="s">
        <v>25</v>
      </c>
      <c r="H2349" s="15" t="s">
        <v>61</v>
      </c>
      <c r="I2349" s="15" t="s">
        <v>63</v>
      </c>
      <c r="J2349" s="15" t="s">
        <v>262</v>
      </c>
      <c r="K2349" s="15">
        <v>25</v>
      </c>
      <c r="L2349" s="16">
        <v>40</v>
      </c>
      <c r="M2349" s="17">
        <v>1000</v>
      </c>
      <c r="N2349" s="15" t="s">
        <v>367</v>
      </c>
      <c r="O2349" s="15" t="s">
        <v>19</v>
      </c>
      <c r="Q2349"/>
    </row>
    <row r="2350" spans="1:17" ht="15.6" x14ac:dyDescent="0.3">
      <c r="A2350" s="11">
        <v>10373</v>
      </c>
      <c r="B2350" s="10">
        <v>38383</v>
      </c>
      <c r="C2350" s="10" t="s">
        <v>315</v>
      </c>
      <c r="D2350" s="11" t="s">
        <v>145</v>
      </c>
      <c r="E2350" s="11" t="s">
        <v>146</v>
      </c>
      <c r="F2350" s="11" t="s">
        <v>135</v>
      </c>
      <c r="G2350" s="11" t="s">
        <v>25</v>
      </c>
      <c r="H2350" s="11" t="s">
        <v>54</v>
      </c>
      <c r="I2350" s="11" t="s">
        <v>55</v>
      </c>
      <c r="J2350" s="11" t="s">
        <v>258</v>
      </c>
      <c r="K2350" s="11">
        <v>29</v>
      </c>
      <c r="L2350" s="12">
        <v>180</v>
      </c>
      <c r="M2350" s="13">
        <v>5220</v>
      </c>
      <c r="N2350" s="11" t="s">
        <v>367</v>
      </c>
      <c r="O2350" s="11" t="s">
        <v>19</v>
      </c>
      <c r="Q2350"/>
    </row>
    <row r="2351" spans="1:17" ht="15.6" x14ac:dyDescent="0.3">
      <c r="A2351" s="15">
        <v>10374</v>
      </c>
      <c r="B2351" s="14">
        <v>38385</v>
      </c>
      <c r="C2351" s="14" t="s">
        <v>316</v>
      </c>
      <c r="D2351" s="15" t="s">
        <v>147</v>
      </c>
      <c r="E2351" s="15" t="s">
        <v>148</v>
      </c>
      <c r="F2351" s="15" t="s">
        <v>106</v>
      </c>
      <c r="G2351" s="15" t="s">
        <v>107</v>
      </c>
      <c r="H2351" s="15" t="s">
        <v>68</v>
      </c>
      <c r="I2351" s="15" t="s">
        <v>69</v>
      </c>
      <c r="J2351" s="15" t="s">
        <v>266</v>
      </c>
      <c r="K2351" s="15">
        <v>39</v>
      </c>
      <c r="L2351" s="16">
        <v>25</v>
      </c>
      <c r="M2351" s="17">
        <v>975</v>
      </c>
      <c r="N2351" s="15" t="s">
        <v>367</v>
      </c>
      <c r="O2351" s="15" t="s">
        <v>19</v>
      </c>
      <c r="Q2351"/>
    </row>
    <row r="2352" spans="1:17" ht="15.6" x14ac:dyDescent="0.3">
      <c r="A2352" s="11">
        <v>10374</v>
      </c>
      <c r="B2352" s="10">
        <v>38385</v>
      </c>
      <c r="C2352" s="10" t="s">
        <v>316</v>
      </c>
      <c r="D2352" s="11" t="s">
        <v>147</v>
      </c>
      <c r="E2352" s="11" t="s">
        <v>148</v>
      </c>
      <c r="F2352" s="11" t="s">
        <v>106</v>
      </c>
      <c r="G2352" s="11" t="s">
        <v>107</v>
      </c>
      <c r="H2352" s="11" t="s">
        <v>68</v>
      </c>
      <c r="I2352" s="11" t="s">
        <v>69</v>
      </c>
      <c r="J2352" s="11" t="s">
        <v>266</v>
      </c>
      <c r="K2352" s="11">
        <v>22</v>
      </c>
      <c r="L2352" s="12">
        <v>25</v>
      </c>
      <c r="M2352" s="13">
        <v>550</v>
      </c>
      <c r="N2352" s="11" t="s">
        <v>367</v>
      </c>
      <c r="O2352" s="11" t="s">
        <v>19</v>
      </c>
      <c r="Q2352"/>
    </row>
    <row r="2353" spans="1:17" ht="15.6" x14ac:dyDescent="0.3">
      <c r="A2353" s="15">
        <v>10374</v>
      </c>
      <c r="B2353" s="14">
        <v>38385</v>
      </c>
      <c r="C2353" s="14" t="s">
        <v>316</v>
      </c>
      <c r="D2353" s="15" t="s">
        <v>147</v>
      </c>
      <c r="E2353" s="15" t="s">
        <v>148</v>
      </c>
      <c r="F2353" s="15" t="s">
        <v>106</v>
      </c>
      <c r="G2353" s="15" t="s">
        <v>107</v>
      </c>
      <c r="H2353" s="15" t="s">
        <v>61</v>
      </c>
      <c r="I2353" s="15" t="s">
        <v>62</v>
      </c>
      <c r="J2353" s="15" t="s">
        <v>261</v>
      </c>
      <c r="K2353" s="15">
        <v>42</v>
      </c>
      <c r="L2353" s="16">
        <v>15</v>
      </c>
      <c r="M2353" s="17">
        <v>630</v>
      </c>
      <c r="N2353" s="15" t="s">
        <v>367</v>
      </c>
      <c r="O2353" s="15" t="s">
        <v>19</v>
      </c>
      <c r="Q2353"/>
    </row>
    <row r="2354" spans="1:17" ht="15.6" x14ac:dyDescent="0.3">
      <c r="A2354" s="11">
        <v>10374</v>
      </c>
      <c r="B2354" s="10">
        <v>38385</v>
      </c>
      <c r="C2354" s="10" t="s">
        <v>316</v>
      </c>
      <c r="D2354" s="11" t="s">
        <v>147</v>
      </c>
      <c r="E2354" s="11" t="s">
        <v>148</v>
      </c>
      <c r="F2354" s="11" t="s">
        <v>106</v>
      </c>
      <c r="G2354" s="11" t="s">
        <v>107</v>
      </c>
      <c r="H2354" s="11" t="s">
        <v>68</v>
      </c>
      <c r="I2354" s="11" t="s">
        <v>108</v>
      </c>
      <c r="J2354" s="11" t="s">
        <v>271</v>
      </c>
      <c r="K2354" s="11">
        <v>22</v>
      </c>
      <c r="L2354" s="12">
        <v>45</v>
      </c>
      <c r="M2354" s="13">
        <v>990</v>
      </c>
      <c r="N2354" s="11" t="s">
        <v>367</v>
      </c>
      <c r="O2354" s="11" t="s">
        <v>19</v>
      </c>
      <c r="Q2354"/>
    </row>
    <row r="2355" spans="1:17" ht="15.6" x14ac:dyDescent="0.3">
      <c r="A2355" s="15">
        <v>10374</v>
      </c>
      <c r="B2355" s="14">
        <v>38385</v>
      </c>
      <c r="C2355" s="14" t="s">
        <v>316</v>
      </c>
      <c r="D2355" s="15" t="s">
        <v>147</v>
      </c>
      <c r="E2355" s="15" t="s">
        <v>148</v>
      </c>
      <c r="F2355" s="15" t="s">
        <v>106</v>
      </c>
      <c r="G2355" s="15" t="s">
        <v>107</v>
      </c>
      <c r="H2355" s="15" t="s">
        <v>68</v>
      </c>
      <c r="I2355" s="15" t="s">
        <v>70</v>
      </c>
      <c r="J2355" s="15" t="s">
        <v>267</v>
      </c>
      <c r="K2355" s="15">
        <v>38</v>
      </c>
      <c r="L2355" s="16">
        <v>50</v>
      </c>
      <c r="M2355" s="17">
        <v>1900</v>
      </c>
      <c r="N2355" s="15" t="s">
        <v>367</v>
      </c>
      <c r="O2355" s="15" t="s">
        <v>19</v>
      </c>
      <c r="Q2355"/>
    </row>
    <row r="2356" spans="1:17" ht="15.6" x14ac:dyDescent="0.3">
      <c r="A2356" s="11">
        <v>10374</v>
      </c>
      <c r="B2356" s="10">
        <v>38385</v>
      </c>
      <c r="C2356" s="10" t="s">
        <v>316</v>
      </c>
      <c r="D2356" s="11" t="s">
        <v>147</v>
      </c>
      <c r="E2356" s="11" t="s">
        <v>148</v>
      </c>
      <c r="F2356" s="11" t="s">
        <v>106</v>
      </c>
      <c r="G2356" s="11" t="s">
        <v>107</v>
      </c>
      <c r="H2356" s="11" t="s">
        <v>61</v>
      </c>
      <c r="I2356" s="11" t="s">
        <v>62</v>
      </c>
      <c r="J2356" s="11" t="s">
        <v>261</v>
      </c>
      <c r="K2356" s="11">
        <v>46</v>
      </c>
      <c r="L2356" s="12">
        <v>15</v>
      </c>
      <c r="M2356" s="13">
        <v>690</v>
      </c>
      <c r="N2356" s="11" t="s">
        <v>367</v>
      </c>
      <c r="O2356" s="11" t="s">
        <v>19</v>
      </c>
      <c r="Q2356"/>
    </row>
    <row r="2357" spans="1:17" ht="15.6" x14ac:dyDescent="0.3">
      <c r="A2357" s="15">
        <v>10375</v>
      </c>
      <c r="B2357" s="14">
        <v>38386</v>
      </c>
      <c r="C2357" s="14" t="s">
        <v>362</v>
      </c>
      <c r="D2357" s="15" t="s">
        <v>233</v>
      </c>
      <c r="E2357" s="15" t="s">
        <v>114</v>
      </c>
      <c r="F2357" s="15" t="s">
        <v>92</v>
      </c>
      <c r="G2357" s="15" t="s">
        <v>25</v>
      </c>
      <c r="H2357" s="15" t="s">
        <v>68</v>
      </c>
      <c r="I2357" s="15" t="s">
        <v>75</v>
      </c>
      <c r="J2357" s="15" t="s">
        <v>268</v>
      </c>
      <c r="K2357" s="15">
        <v>21</v>
      </c>
      <c r="L2357" s="16">
        <v>35</v>
      </c>
      <c r="M2357" s="17">
        <v>735</v>
      </c>
      <c r="N2357" s="15" t="s">
        <v>367</v>
      </c>
      <c r="O2357" s="15" t="s">
        <v>19</v>
      </c>
      <c r="Q2357"/>
    </row>
    <row r="2358" spans="1:17" ht="15.6" x14ac:dyDescent="0.3">
      <c r="A2358" s="11">
        <v>10375</v>
      </c>
      <c r="B2358" s="10">
        <v>38386</v>
      </c>
      <c r="C2358" s="10" t="s">
        <v>362</v>
      </c>
      <c r="D2358" s="11" t="s">
        <v>233</v>
      </c>
      <c r="E2358" s="11" t="s">
        <v>114</v>
      </c>
      <c r="F2358" s="11" t="s">
        <v>92</v>
      </c>
      <c r="G2358" s="11" t="s">
        <v>25</v>
      </c>
      <c r="H2358" s="11" t="s">
        <v>32</v>
      </c>
      <c r="I2358" s="11" t="s">
        <v>46</v>
      </c>
      <c r="J2358" s="11" t="s">
        <v>254</v>
      </c>
      <c r="K2358" s="11">
        <v>45</v>
      </c>
      <c r="L2358" s="12">
        <v>90</v>
      </c>
      <c r="M2358" s="13">
        <v>4050</v>
      </c>
      <c r="N2358" s="11" t="s">
        <v>367</v>
      </c>
      <c r="O2358" s="11" t="s">
        <v>19</v>
      </c>
      <c r="Q2358"/>
    </row>
    <row r="2359" spans="1:17" ht="15.6" x14ac:dyDescent="0.3">
      <c r="A2359" s="15">
        <v>10375</v>
      </c>
      <c r="B2359" s="14">
        <v>38386</v>
      </c>
      <c r="C2359" s="14" t="s">
        <v>362</v>
      </c>
      <c r="D2359" s="15" t="s">
        <v>233</v>
      </c>
      <c r="E2359" s="15" t="s">
        <v>114</v>
      </c>
      <c r="F2359" s="15" t="s">
        <v>92</v>
      </c>
      <c r="G2359" s="15" t="s">
        <v>25</v>
      </c>
      <c r="H2359" s="15" t="s">
        <v>68</v>
      </c>
      <c r="I2359" s="15" t="s">
        <v>70</v>
      </c>
      <c r="J2359" s="15" t="s">
        <v>267</v>
      </c>
      <c r="K2359" s="15">
        <v>49</v>
      </c>
      <c r="L2359" s="16">
        <v>50</v>
      </c>
      <c r="M2359" s="17">
        <v>2450</v>
      </c>
      <c r="N2359" s="15" t="s">
        <v>367</v>
      </c>
      <c r="O2359" s="15" t="s">
        <v>19</v>
      </c>
      <c r="Q2359"/>
    </row>
    <row r="2360" spans="1:17" ht="15.6" x14ac:dyDescent="0.3">
      <c r="A2360" s="11">
        <v>10375</v>
      </c>
      <c r="B2360" s="10">
        <v>38386</v>
      </c>
      <c r="C2360" s="10" t="s">
        <v>362</v>
      </c>
      <c r="D2360" s="11" t="s">
        <v>233</v>
      </c>
      <c r="E2360" s="11" t="s">
        <v>114</v>
      </c>
      <c r="F2360" s="11" t="s">
        <v>92</v>
      </c>
      <c r="G2360" s="11" t="s">
        <v>25</v>
      </c>
      <c r="H2360" s="11" t="s">
        <v>68</v>
      </c>
      <c r="I2360" s="11" t="s">
        <v>69</v>
      </c>
      <c r="J2360" s="11" t="s">
        <v>266</v>
      </c>
      <c r="K2360" s="11">
        <v>23</v>
      </c>
      <c r="L2360" s="12">
        <v>25</v>
      </c>
      <c r="M2360" s="13">
        <v>575</v>
      </c>
      <c r="N2360" s="11" t="s">
        <v>367</v>
      </c>
      <c r="O2360" s="11" t="s">
        <v>19</v>
      </c>
      <c r="Q2360"/>
    </row>
    <row r="2361" spans="1:17" ht="15.6" x14ac:dyDescent="0.3">
      <c r="A2361" s="15">
        <v>10375</v>
      </c>
      <c r="B2361" s="14">
        <v>38386</v>
      </c>
      <c r="C2361" s="14" t="s">
        <v>362</v>
      </c>
      <c r="D2361" s="15" t="s">
        <v>233</v>
      </c>
      <c r="E2361" s="15" t="s">
        <v>114</v>
      </c>
      <c r="F2361" s="15" t="s">
        <v>92</v>
      </c>
      <c r="G2361" s="15" t="s">
        <v>25</v>
      </c>
      <c r="H2361" s="15" t="s">
        <v>68</v>
      </c>
      <c r="I2361" s="15" t="s">
        <v>70</v>
      </c>
      <c r="J2361" s="15" t="s">
        <v>267</v>
      </c>
      <c r="K2361" s="15">
        <v>20</v>
      </c>
      <c r="L2361" s="16">
        <v>50</v>
      </c>
      <c r="M2361" s="17">
        <v>1000</v>
      </c>
      <c r="N2361" s="15" t="s">
        <v>367</v>
      </c>
      <c r="O2361" s="15" t="s">
        <v>19</v>
      </c>
      <c r="Q2361"/>
    </row>
    <row r="2362" spans="1:17" ht="15.6" x14ac:dyDescent="0.3">
      <c r="A2362" s="11">
        <v>10375</v>
      </c>
      <c r="B2362" s="10">
        <v>38386</v>
      </c>
      <c r="C2362" s="10" t="s">
        <v>362</v>
      </c>
      <c r="D2362" s="11" t="s">
        <v>233</v>
      </c>
      <c r="E2362" s="11" t="s">
        <v>114</v>
      </c>
      <c r="F2362" s="11" t="s">
        <v>92</v>
      </c>
      <c r="G2362" s="11" t="s">
        <v>25</v>
      </c>
      <c r="H2362" s="11" t="s">
        <v>61</v>
      </c>
      <c r="I2362" s="11" t="s">
        <v>62</v>
      </c>
      <c r="J2362" s="11" t="s">
        <v>261</v>
      </c>
      <c r="K2362" s="11">
        <v>43</v>
      </c>
      <c r="L2362" s="12">
        <v>15</v>
      </c>
      <c r="M2362" s="13">
        <v>645</v>
      </c>
      <c r="N2362" s="11" t="s">
        <v>367</v>
      </c>
      <c r="O2362" s="11" t="s">
        <v>19</v>
      </c>
      <c r="Q2362"/>
    </row>
    <row r="2363" spans="1:17" ht="15.6" x14ac:dyDescent="0.3">
      <c r="A2363" s="15">
        <v>10375</v>
      </c>
      <c r="B2363" s="14">
        <v>38386</v>
      </c>
      <c r="C2363" s="14" t="s">
        <v>362</v>
      </c>
      <c r="D2363" s="15" t="s">
        <v>233</v>
      </c>
      <c r="E2363" s="15" t="s">
        <v>114</v>
      </c>
      <c r="F2363" s="15" t="s">
        <v>92</v>
      </c>
      <c r="G2363" s="15" t="s">
        <v>25</v>
      </c>
      <c r="H2363" s="15" t="s">
        <v>68</v>
      </c>
      <c r="I2363" s="15" t="s">
        <v>69</v>
      </c>
      <c r="J2363" s="15" t="s">
        <v>266</v>
      </c>
      <c r="K2363" s="15">
        <v>37</v>
      </c>
      <c r="L2363" s="16">
        <v>25</v>
      </c>
      <c r="M2363" s="17">
        <v>925</v>
      </c>
      <c r="N2363" s="15" t="s">
        <v>367</v>
      </c>
      <c r="O2363" s="15" t="s">
        <v>19</v>
      </c>
      <c r="Q2363"/>
    </row>
    <row r="2364" spans="1:17" ht="15.6" x14ac:dyDescent="0.3">
      <c r="A2364" s="11">
        <v>10375</v>
      </c>
      <c r="B2364" s="10">
        <v>38386</v>
      </c>
      <c r="C2364" s="10" t="s">
        <v>362</v>
      </c>
      <c r="D2364" s="11" t="s">
        <v>233</v>
      </c>
      <c r="E2364" s="11" t="s">
        <v>114</v>
      </c>
      <c r="F2364" s="11" t="s">
        <v>92</v>
      </c>
      <c r="G2364" s="11" t="s">
        <v>25</v>
      </c>
      <c r="H2364" s="11" t="s">
        <v>17</v>
      </c>
      <c r="I2364" s="11" t="s">
        <v>20</v>
      </c>
      <c r="J2364" s="11" t="s">
        <v>242</v>
      </c>
      <c r="K2364" s="11">
        <v>44</v>
      </c>
      <c r="L2364" s="12">
        <v>48</v>
      </c>
      <c r="M2364" s="13">
        <v>2112</v>
      </c>
      <c r="N2364" s="11" t="s">
        <v>367</v>
      </c>
      <c r="O2364" s="11" t="s">
        <v>19</v>
      </c>
      <c r="Q2364"/>
    </row>
    <row r="2365" spans="1:17" ht="15.6" x14ac:dyDescent="0.3">
      <c r="A2365" s="15">
        <v>10375</v>
      </c>
      <c r="B2365" s="14">
        <v>38386</v>
      </c>
      <c r="C2365" s="14" t="s">
        <v>362</v>
      </c>
      <c r="D2365" s="15" t="s">
        <v>233</v>
      </c>
      <c r="E2365" s="15" t="s">
        <v>114</v>
      </c>
      <c r="F2365" s="15" t="s">
        <v>92</v>
      </c>
      <c r="G2365" s="15" t="s">
        <v>25</v>
      </c>
      <c r="H2365" s="15" t="s">
        <v>68</v>
      </c>
      <c r="I2365" s="15" t="s">
        <v>69</v>
      </c>
      <c r="J2365" s="15" t="s">
        <v>266</v>
      </c>
      <c r="K2365" s="15">
        <v>41</v>
      </c>
      <c r="L2365" s="16">
        <v>25</v>
      </c>
      <c r="M2365" s="17">
        <v>1025</v>
      </c>
      <c r="N2365" s="15" t="s">
        <v>367</v>
      </c>
      <c r="O2365" s="15" t="s">
        <v>19</v>
      </c>
      <c r="Q2365"/>
    </row>
    <row r="2366" spans="1:17" ht="15.6" x14ac:dyDescent="0.3">
      <c r="A2366" s="11">
        <v>10375</v>
      </c>
      <c r="B2366" s="10">
        <v>38386</v>
      </c>
      <c r="C2366" s="10" t="s">
        <v>362</v>
      </c>
      <c r="D2366" s="11" t="s">
        <v>233</v>
      </c>
      <c r="E2366" s="11" t="s">
        <v>114</v>
      </c>
      <c r="F2366" s="11" t="s">
        <v>92</v>
      </c>
      <c r="G2366" s="11" t="s">
        <v>25</v>
      </c>
      <c r="H2366" s="11" t="s">
        <v>17</v>
      </c>
      <c r="I2366" s="11" t="s">
        <v>20</v>
      </c>
      <c r="J2366" s="11" t="s">
        <v>242</v>
      </c>
      <c r="K2366" s="11">
        <v>49</v>
      </c>
      <c r="L2366" s="12">
        <v>48</v>
      </c>
      <c r="M2366" s="13">
        <v>2352</v>
      </c>
      <c r="N2366" s="11" t="s">
        <v>367</v>
      </c>
      <c r="O2366" s="11" t="s">
        <v>19</v>
      </c>
      <c r="Q2366"/>
    </row>
    <row r="2367" spans="1:17" ht="15.6" x14ac:dyDescent="0.3">
      <c r="A2367" s="15">
        <v>10375</v>
      </c>
      <c r="B2367" s="14">
        <v>38386</v>
      </c>
      <c r="C2367" s="14" t="s">
        <v>362</v>
      </c>
      <c r="D2367" s="15" t="s">
        <v>233</v>
      </c>
      <c r="E2367" s="15" t="s">
        <v>114</v>
      </c>
      <c r="F2367" s="15" t="s">
        <v>92</v>
      </c>
      <c r="G2367" s="15" t="s">
        <v>25</v>
      </c>
      <c r="H2367" s="15" t="s">
        <v>68</v>
      </c>
      <c r="I2367" s="15" t="s">
        <v>108</v>
      </c>
      <c r="J2367" s="15" t="s">
        <v>271</v>
      </c>
      <c r="K2367" s="15">
        <v>49</v>
      </c>
      <c r="L2367" s="16">
        <v>45</v>
      </c>
      <c r="M2367" s="17">
        <v>2205</v>
      </c>
      <c r="N2367" s="15" t="s">
        <v>367</v>
      </c>
      <c r="O2367" s="15" t="s">
        <v>19</v>
      </c>
      <c r="Q2367"/>
    </row>
    <row r="2368" spans="1:17" ht="15.6" x14ac:dyDescent="0.3">
      <c r="A2368" s="11">
        <v>10375</v>
      </c>
      <c r="B2368" s="10">
        <v>38386</v>
      </c>
      <c r="C2368" s="10" t="s">
        <v>362</v>
      </c>
      <c r="D2368" s="11" t="s">
        <v>233</v>
      </c>
      <c r="E2368" s="11" t="s">
        <v>114</v>
      </c>
      <c r="F2368" s="11" t="s">
        <v>92</v>
      </c>
      <c r="G2368" s="11" t="s">
        <v>25</v>
      </c>
      <c r="H2368" s="11" t="s">
        <v>61</v>
      </c>
      <c r="I2368" s="11" t="s">
        <v>62</v>
      </c>
      <c r="J2368" s="11" t="s">
        <v>261</v>
      </c>
      <c r="K2368" s="11">
        <v>37</v>
      </c>
      <c r="L2368" s="12">
        <v>15</v>
      </c>
      <c r="M2368" s="13">
        <v>555</v>
      </c>
      <c r="N2368" s="11" t="s">
        <v>367</v>
      </c>
      <c r="O2368" s="11" t="s">
        <v>19</v>
      </c>
      <c r="Q2368"/>
    </row>
    <row r="2369" spans="1:17" ht="15.6" x14ac:dyDescent="0.3">
      <c r="A2369" s="15">
        <v>10375</v>
      </c>
      <c r="B2369" s="14">
        <v>38386</v>
      </c>
      <c r="C2369" s="14" t="s">
        <v>362</v>
      </c>
      <c r="D2369" s="15" t="s">
        <v>233</v>
      </c>
      <c r="E2369" s="15" t="s">
        <v>114</v>
      </c>
      <c r="F2369" s="15" t="s">
        <v>92</v>
      </c>
      <c r="G2369" s="15" t="s">
        <v>25</v>
      </c>
      <c r="H2369" s="15" t="s">
        <v>61</v>
      </c>
      <c r="I2369" s="15" t="s">
        <v>63</v>
      </c>
      <c r="J2369" s="15" t="s">
        <v>262</v>
      </c>
      <c r="K2369" s="15">
        <v>33</v>
      </c>
      <c r="L2369" s="16">
        <v>40</v>
      </c>
      <c r="M2369" s="17">
        <v>1320</v>
      </c>
      <c r="N2369" s="15" t="s">
        <v>367</v>
      </c>
      <c r="O2369" s="15" t="s">
        <v>19</v>
      </c>
      <c r="Q2369"/>
    </row>
    <row r="2370" spans="1:17" ht="15.6" x14ac:dyDescent="0.3">
      <c r="A2370" s="11">
        <v>10375</v>
      </c>
      <c r="B2370" s="10">
        <v>38386</v>
      </c>
      <c r="C2370" s="10" t="s">
        <v>362</v>
      </c>
      <c r="D2370" s="11" t="s">
        <v>233</v>
      </c>
      <c r="E2370" s="11" t="s">
        <v>114</v>
      </c>
      <c r="F2370" s="11" t="s">
        <v>92</v>
      </c>
      <c r="G2370" s="11" t="s">
        <v>25</v>
      </c>
      <c r="H2370" s="11" t="s">
        <v>61</v>
      </c>
      <c r="I2370" s="11" t="s">
        <v>66</v>
      </c>
      <c r="J2370" s="11" t="s">
        <v>265</v>
      </c>
      <c r="K2370" s="11">
        <v>25</v>
      </c>
      <c r="L2370" s="12">
        <v>35</v>
      </c>
      <c r="M2370" s="13">
        <v>875</v>
      </c>
      <c r="N2370" s="11" t="s">
        <v>367</v>
      </c>
      <c r="O2370" s="11" t="s">
        <v>19</v>
      </c>
      <c r="Q2370"/>
    </row>
    <row r="2371" spans="1:17" ht="15.6" x14ac:dyDescent="0.3">
      <c r="A2371" s="15">
        <v>10375</v>
      </c>
      <c r="B2371" s="14">
        <v>38386</v>
      </c>
      <c r="C2371" s="14" t="s">
        <v>362</v>
      </c>
      <c r="D2371" s="15" t="s">
        <v>233</v>
      </c>
      <c r="E2371" s="15" t="s">
        <v>114</v>
      </c>
      <c r="F2371" s="15" t="s">
        <v>92</v>
      </c>
      <c r="G2371" s="15" t="s">
        <v>25</v>
      </c>
      <c r="H2371" s="15" t="s">
        <v>61</v>
      </c>
      <c r="I2371" s="15" t="s">
        <v>65</v>
      </c>
      <c r="J2371" s="15" t="s">
        <v>264</v>
      </c>
      <c r="K2371" s="15">
        <v>44</v>
      </c>
      <c r="L2371" s="16">
        <v>30</v>
      </c>
      <c r="M2371" s="17">
        <v>1320</v>
      </c>
      <c r="N2371" s="15" t="s">
        <v>367</v>
      </c>
      <c r="O2371" s="15" t="s">
        <v>19</v>
      </c>
      <c r="Q2371"/>
    </row>
    <row r="2372" spans="1:17" ht="15.6" x14ac:dyDescent="0.3">
      <c r="A2372" s="11">
        <v>10376</v>
      </c>
      <c r="B2372" s="10">
        <v>38391</v>
      </c>
      <c r="C2372" s="10" t="s">
        <v>317</v>
      </c>
      <c r="D2372" s="11" t="s">
        <v>149</v>
      </c>
      <c r="E2372" s="11" t="s">
        <v>123</v>
      </c>
      <c r="F2372" s="11" t="s">
        <v>15</v>
      </c>
      <c r="G2372" s="11" t="s">
        <v>16</v>
      </c>
      <c r="H2372" s="11" t="s">
        <v>32</v>
      </c>
      <c r="I2372" s="11" t="s">
        <v>34</v>
      </c>
      <c r="J2372" s="11" t="s">
        <v>246</v>
      </c>
      <c r="K2372" s="11">
        <v>35</v>
      </c>
      <c r="L2372" s="12">
        <v>80</v>
      </c>
      <c r="M2372" s="13">
        <v>2800</v>
      </c>
      <c r="N2372" s="11" t="s">
        <v>367</v>
      </c>
      <c r="O2372" s="11" t="s">
        <v>19</v>
      </c>
      <c r="Q2372"/>
    </row>
    <row r="2373" spans="1:17" ht="15.6" x14ac:dyDescent="0.3">
      <c r="A2373" s="15">
        <v>10377</v>
      </c>
      <c r="B2373" s="14">
        <v>38392</v>
      </c>
      <c r="C2373" s="14" t="s">
        <v>319</v>
      </c>
      <c r="D2373" s="15" t="s">
        <v>152</v>
      </c>
      <c r="E2373" s="15" t="s">
        <v>153</v>
      </c>
      <c r="F2373" s="15" t="s">
        <v>135</v>
      </c>
      <c r="G2373" s="15" t="s">
        <v>25</v>
      </c>
      <c r="H2373" s="15" t="s">
        <v>32</v>
      </c>
      <c r="I2373" s="15" t="s">
        <v>34</v>
      </c>
      <c r="J2373" s="15" t="s">
        <v>246</v>
      </c>
      <c r="K2373" s="15">
        <v>24</v>
      </c>
      <c r="L2373" s="16">
        <v>80</v>
      </c>
      <c r="M2373" s="17">
        <v>1920</v>
      </c>
      <c r="N2373" s="15" t="s">
        <v>367</v>
      </c>
      <c r="O2373" s="15" t="s">
        <v>19</v>
      </c>
      <c r="Q2373"/>
    </row>
    <row r="2374" spans="1:17" ht="15.6" x14ac:dyDescent="0.3">
      <c r="A2374" s="11">
        <v>10377</v>
      </c>
      <c r="B2374" s="10">
        <v>38392</v>
      </c>
      <c r="C2374" s="10" t="s">
        <v>319</v>
      </c>
      <c r="D2374" s="11" t="s">
        <v>152</v>
      </c>
      <c r="E2374" s="11" t="s">
        <v>153</v>
      </c>
      <c r="F2374" s="11" t="s">
        <v>135</v>
      </c>
      <c r="G2374" s="11" t="s">
        <v>25</v>
      </c>
      <c r="H2374" s="11" t="s">
        <v>32</v>
      </c>
      <c r="I2374" s="11" t="s">
        <v>33</v>
      </c>
      <c r="J2374" s="11" t="s">
        <v>245</v>
      </c>
      <c r="K2374" s="11">
        <v>50</v>
      </c>
      <c r="L2374" s="12">
        <v>85</v>
      </c>
      <c r="M2374" s="13">
        <v>4250</v>
      </c>
      <c r="N2374" s="11" t="s">
        <v>368</v>
      </c>
      <c r="O2374" s="11" t="s">
        <v>19</v>
      </c>
      <c r="Q2374"/>
    </row>
    <row r="2375" spans="1:17" ht="15.6" x14ac:dyDescent="0.3">
      <c r="A2375" s="15">
        <v>10377</v>
      </c>
      <c r="B2375" s="14">
        <v>38392</v>
      </c>
      <c r="C2375" s="14" t="s">
        <v>319</v>
      </c>
      <c r="D2375" s="15" t="s">
        <v>152</v>
      </c>
      <c r="E2375" s="15" t="s">
        <v>153</v>
      </c>
      <c r="F2375" s="15" t="s">
        <v>135</v>
      </c>
      <c r="G2375" s="15" t="s">
        <v>25</v>
      </c>
      <c r="H2375" s="15" t="s">
        <v>32</v>
      </c>
      <c r="I2375" s="15" t="s">
        <v>45</v>
      </c>
      <c r="J2375" s="15" t="s">
        <v>253</v>
      </c>
      <c r="K2375" s="15">
        <v>35</v>
      </c>
      <c r="L2375" s="16">
        <v>35</v>
      </c>
      <c r="M2375" s="17">
        <v>1225</v>
      </c>
      <c r="N2375" s="15" t="s">
        <v>367</v>
      </c>
      <c r="O2375" s="15" t="s">
        <v>19</v>
      </c>
      <c r="Q2375"/>
    </row>
    <row r="2376" spans="1:17" ht="15.6" x14ac:dyDescent="0.3">
      <c r="A2376" s="11">
        <v>10377</v>
      </c>
      <c r="B2376" s="10">
        <v>38392</v>
      </c>
      <c r="C2376" s="10" t="s">
        <v>319</v>
      </c>
      <c r="D2376" s="11" t="s">
        <v>152</v>
      </c>
      <c r="E2376" s="11" t="s">
        <v>153</v>
      </c>
      <c r="F2376" s="11" t="s">
        <v>135</v>
      </c>
      <c r="G2376" s="11" t="s">
        <v>25</v>
      </c>
      <c r="H2376" s="11" t="s">
        <v>32</v>
      </c>
      <c r="I2376" s="11" t="s">
        <v>46</v>
      </c>
      <c r="J2376" s="11" t="s">
        <v>254</v>
      </c>
      <c r="K2376" s="11">
        <v>31</v>
      </c>
      <c r="L2376" s="12">
        <v>90</v>
      </c>
      <c r="M2376" s="13">
        <v>2790</v>
      </c>
      <c r="N2376" s="11" t="s">
        <v>367</v>
      </c>
      <c r="O2376" s="11" t="s">
        <v>19</v>
      </c>
      <c r="Q2376"/>
    </row>
    <row r="2377" spans="1:17" ht="15.6" x14ac:dyDescent="0.3">
      <c r="A2377" s="15">
        <v>10377</v>
      </c>
      <c r="B2377" s="14">
        <v>38392</v>
      </c>
      <c r="C2377" s="14" t="s">
        <v>319</v>
      </c>
      <c r="D2377" s="15" t="s">
        <v>152</v>
      </c>
      <c r="E2377" s="15" t="s">
        <v>153</v>
      </c>
      <c r="F2377" s="15" t="s">
        <v>135</v>
      </c>
      <c r="G2377" s="15" t="s">
        <v>25</v>
      </c>
      <c r="H2377" s="15" t="s">
        <v>32</v>
      </c>
      <c r="I2377" s="15" t="s">
        <v>33</v>
      </c>
      <c r="J2377" s="15" t="s">
        <v>245</v>
      </c>
      <c r="K2377" s="15">
        <v>36</v>
      </c>
      <c r="L2377" s="16">
        <v>85</v>
      </c>
      <c r="M2377" s="17">
        <v>3060</v>
      </c>
      <c r="N2377" s="15" t="s">
        <v>367</v>
      </c>
      <c r="O2377" s="15" t="s">
        <v>19</v>
      </c>
      <c r="Q2377"/>
    </row>
    <row r="2378" spans="1:17" ht="15.6" x14ac:dyDescent="0.3">
      <c r="A2378" s="11">
        <v>10377</v>
      </c>
      <c r="B2378" s="10">
        <v>38392</v>
      </c>
      <c r="C2378" s="10" t="s">
        <v>319</v>
      </c>
      <c r="D2378" s="11" t="s">
        <v>152</v>
      </c>
      <c r="E2378" s="11" t="s">
        <v>153</v>
      </c>
      <c r="F2378" s="11" t="s">
        <v>135</v>
      </c>
      <c r="G2378" s="11" t="s">
        <v>25</v>
      </c>
      <c r="H2378" s="11" t="s">
        <v>32</v>
      </c>
      <c r="I2378" s="11" t="s">
        <v>44</v>
      </c>
      <c r="J2378" s="11" t="s">
        <v>252</v>
      </c>
      <c r="K2378" s="11">
        <v>39</v>
      </c>
      <c r="L2378" s="12">
        <v>55</v>
      </c>
      <c r="M2378" s="13">
        <v>2145</v>
      </c>
      <c r="N2378" s="11" t="s">
        <v>367</v>
      </c>
      <c r="O2378" s="11" t="s">
        <v>19</v>
      </c>
      <c r="Q2378"/>
    </row>
    <row r="2379" spans="1:17" ht="15.6" x14ac:dyDescent="0.3">
      <c r="A2379" s="15">
        <v>10378</v>
      </c>
      <c r="B2379" s="14">
        <v>38393</v>
      </c>
      <c r="C2379" s="14" t="s">
        <v>279</v>
      </c>
      <c r="D2379" s="15" t="s">
        <v>41</v>
      </c>
      <c r="E2379" s="15" t="s">
        <v>42</v>
      </c>
      <c r="F2379" s="15" t="s">
        <v>43</v>
      </c>
      <c r="G2379" s="15" t="s">
        <v>25</v>
      </c>
      <c r="H2379" s="15" t="s">
        <v>32</v>
      </c>
      <c r="I2379" s="15" t="s">
        <v>33</v>
      </c>
      <c r="J2379" s="15" t="s">
        <v>245</v>
      </c>
      <c r="K2379" s="15">
        <v>34</v>
      </c>
      <c r="L2379" s="16">
        <v>85</v>
      </c>
      <c r="M2379" s="17">
        <v>2890</v>
      </c>
      <c r="N2379" s="15" t="s">
        <v>367</v>
      </c>
      <c r="O2379" s="15" t="s">
        <v>19</v>
      </c>
      <c r="Q2379"/>
    </row>
    <row r="2380" spans="1:17" ht="15.6" x14ac:dyDescent="0.3">
      <c r="A2380" s="11">
        <v>10379</v>
      </c>
      <c r="B2380" s="10">
        <v>38393</v>
      </c>
      <c r="C2380" s="10" t="s">
        <v>279</v>
      </c>
      <c r="D2380" s="11" t="s">
        <v>41</v>
      </c>
      <c r="E2380" s="11" t="s">
        <v>42</v>
      </c>
      <c r="F2380" s="11" t="s">
        <v>43</v>
      </c>
      <c r="G2380" s="11" t="s">
        <v>25</v>
      </c>
      <c r="H2380" s="11" t="s">
        <v>17</v>
      </c>
      <c r="I2380" s="11" t="s">
        <v>52</v>
      </c>
      <c r="J2380" s="11" t="s">
        <v>256</v>
      </c>
      <c r="K2380" s="11">
        <v>39</v>
      </c>
      <c r="L2380" s="12">
        <v>45</v>
      </c>
      <c r="M2380" s="13">
        <v>1755</v>
      </c>
      <c r="N2380" s="11" t="s">
        <v>367</v>
      </c>
      <c r="O2380" s="11" t="s">
        <v>19</v>
      </c>
      <c r="Q2380"/>
    </row>
    <row r="2381" spans="1:17" ht="15.6" x14ac:dyDescent="0.3">
      <c r="A2381" s="15">
        <v>10379</v>
      </c>
      <c r="B2381" s="14">
        <v>38393</v>
      </c>
      <c r="C2381" s="14" t="s">
        <v>279</v>
      </c>
      <c r="D2381" s="15" t="s">
        <v>41</v>
      </c>
      <c r="E2381" s="15" t="s">
        <v>42</v>
      </c>
      <c r="F2381" s="15" t="s">
        <v>43</v>
      </c>
      <c r="G2381" s="15" t="s">
        <v>25</v>
      </c>
      <c r="H2381" s="15" t="s">
        <v>17</v>
      </c>
      <c r="I2381" s="15" t="s">
        <v>26</v>
      </c>
      <c r="J2381" s="15" t="s">
        <v>244</v>
      </c>
      <c r="K2381" s="15">
        <v>27</v>
      </c>
      <c r="L2381" s="16">
        <v>60</v>
      </c>
      <c r="M2381" s="17">
        <v>1620</v>
      </c>
      <c r="N2381" s="15" t="s">
        <v>367</v>
      </c>
      <c r="O2381" s="15" t="s">
        <v>19</v>
      </c>
      <c r="Q2381"/>
    </row>
    <row r="2382" spans="1:17" ht="15.6" x14ac:dyDescent="0.3">
      <c r="A2382" s="11">
        <v>10379</v>
      </c>
      <c r="B2382" s="10">
        <v>38393</v>
      </c>
      <c r="C2382" s="10" t="s">
        <v>279</v>
      </c>
      <c r="D2382" s="11" t="s">
        <v>41</v>
      </c>
      <c r="E2382" s="11" t="s">
        <v>42</v>
      </c>
      <c r="F2382" s="11" t="s">
        <v>43</v>
      </c>
      <c r="G2382" s="11" t="s">
        <v>25</v>
      </c>
      <c r="H2382" s="11" t="s">
        <v>32</v>
      </c>
      <c r="I2382" s="11" t="s">
        <v>33</v>
      </c>
      <c r="J2382" s="11" t="s">
        <v>245</v>
      </c>
      <c r="K2382" s="11">
        <v>29</v>
      </c>
      <c r="L2382" s="12">
        <v>85</v>
      </c>
      <c r="M2382" s="13">
        <v>2465</v>
      </c>
      <c r="N2382" s="11" t="s">
        <v>367</v>
      </c>
      <c r="O2382" s="11" t="s">
        <v>19</v>
      </c>
      <c r="Q2382"/>
    </row>
    <row r="2383" spans="1:17" ht="15.6" x14ac:dyDescent="0.3">
      <c r="A2383" s="15">
        <v>10378</v>
      </c>
      <c r="B2383" s="14">
        <v>38393</v>
      </c>
      <c r="C2383" s="14" t="s">
        <v>279</v>
      </c>
      <c r="D2383" s="15" t="s">
        <v>41</v>
      </c>
      <c r="E2383" s="15" t="s">
        <v>42</v>
      </c>
      <c r="F2383" s="15" t="s">
        <v>43</v>
      </c>
      <c r="G2383" s="15" t="s">
        <v>25</v>
      </c>
      <c r="H2383" s="15" t="s">
        <v>32</v>
      </c>
      <c r="I2383" s="15" t="s">
        <v>33</v>
      </c>
      <c r="J2383" s="15" t="s">
        <v>245</v>
      </c>
      <c r="K2383" s="15">
        <v>22</v>
      </c>
      <c r="L2383" s="16">
        <v>85</v>
      </c>
      <c r="M2383" s="17">
        <v>1870</v>
      </c>
      <c r="N2383" s="15" t="s">
        <v>367</v>
      </c>
      <c r="O2383" s="15" t="s">
        <v>19</v>
      </c>
      <c r="Q2383"/>
    </row>
    <row r="2384" spans="1:17" ht="15.6" x14ac:dyDescent="0.3">
      <c r="A2384" s="11">
        <v>10378</v>
      </c>
      <c r="B2384" s="10">
        <v>38393</v>
      </c>
      <c r="C2384" s="10" t="s">
        <v>279</v>
      </c>
      <c r="D2384" s="11" t="s">
        <v>41</v>
      </c>
      <c r="E2384" s="11" t="s">
        <v>42</v>
      </c>
      <c r="F2384" s="11" t="s">
        <v>43</v>
      </c>
      <c r="G2384" s="11" t="s">
        <v>25</v>
      </c>
      <c r="H2384" s="11" t="s">
        <v>32</v>
      </c>
      <c r="I2384" s="11" t="s">
        <v>34</v>
      </c>
      <c r="J2384" s="11" t="s">
        <v>246</v>
      </c>
      <c r="K2384" s="11">
        <v>43</v>
      </c>
      <c r="L2384" s="12">
        <v>80</v>
      </c>
      <c r="M2384" s="13">
        <v>3440</v>
      </c>
      <c r="N2384" s="11" t="s">
        <v>367</v>
      </c>
      <c r="O2384" s="11" t="s">
        <v>19</v>
      </c>
      <c r="Q2384"/>
    </row>
    <row r="2385" spans="1:17" ht="15.6" x14ac:dyDescent="0.3">
      <c r="A2385" s="15">
        <v>10379</v>
      </c>
      <c r="B2385" s="14">
        <v>38393</v>
      </c>
      <c r="C2385" s="14" t="s">
        <v>279</v>
      </c>
      <c r="D2385" s="15" t="s">
        <v>41</v>
      </c>
      <c r="E2385" s="15" t="s">
        <v>42</v>
      </c>
      <c r="F2385" s="15" t="s">
        <v>43</v>
      </c>
      <c r="G2385" s="15" t="s">
        <v>25</v>
      </c>
      <c r="H2385" s="15" t="s">
        <v>32</v>
      </c>
      <c r="I2385" s="15" t="s">
        <v>46</v>
      </c>
      <c r="J2385" s="15" t="s">
        <v>254</v>
      </c>
      <c r="K2385" s="15">
        <v>32</v>
      </c>
      <c r="L2385" s="16">
        <v>90</v>
      </c>
      <c r="M2385" s="17">
        <v>2880</v>
      </c>
      <c r="N2385" s="15" t="s">
        <v>367</v>
      </c>
      <c r="O2385" s="15" t="s">
        <v>19</v>
      </c>
      <c r="Q2385"/>
    </row>
    <row r="2386" spans="1:17" ht="15.6" x14ac:dyDescent="0.3">
      <c r="A2386" s="11">
        <v>10378</v>
      </c>
      <c r="B2386" s="10">
        <v>38393</v>
      </c>
      <c r="C2386" s="10" t="s">
        <v>279</v>
      </c>
      <c r="D2386" s="11" t="s">
        <v>41</v>
      </c>
      <c r="E2386" s="11" t="s">
        <v>42</v>
      </c>
      <c r="F2386" s="11" t="s">
        <v>43</v>
      </c>
      <c r="G2386" s="11" t="s">
        <v>25</v>
      </c>
      <c r="H2386" s="11" t="s">
        <v>68</v>
      </c>
      <c r="I2386" s="11" t="s">
        <v>70</v>
      </c>
      <c r="J2386" s="11" t="s">
        <v>267</v>
      </c>
      <c r="K2386" s="11">
        <v>28</v>
      </c>
      <c r="L2386" s="12">
        <v>50</v>
      </c>
      <c r="M2386" s="13">
        <v>1400</v>
      </c>
      <c r="N2386" s="11" t="s">
        <v>367</v>
      </c>
      <c r="O2386" s="11" t="s">
        <v>19</v>
      </c>
      <c r="Q2386"/>
    </row>
    <row r="2387" spans="1:17" ht="15.6" x14ac:dyDescent="0.3">
      <c r="A2387" s="15">
        <v>10378</v>
      </c>
      <c r="B2387" s="14">
        <v>38393</v>
      </c>
      <c r="C2387" s="14" t="s">
        <v>279</v>
      </c>
      <c r="D2387" s="15" t="s">
        <v>41</v>
      </c>
      <c r="E2387" s="15" t="s">
        <v>42</v>
      </c>
      <c r="F2387" s="15" t="s">
        <v>43</v>
      </c>
      <c r="G2387" s="15" t="s">
        <v>25</v>
      </c>
      <c r="H2387" s="15" t="s">
        <v>32</v>
      </c>
      <c r="I2387" s="15" t="s">
        <v>45</v>
      </c>
      <c r="J2387" s="15" t="s">
        <v>253</v>
      </c>
      <c r="K2387" s="15">
        <v>49</v>
      </c>
      <c r="L2387" s="16">
        <v>35</v>
      </c>
      <c r="M2387" s="17">
        <v>1715</v>
      </c>
      <c r="N2387" s="15" t="s">
        <v>367</v>
      </c>
      <c r="O2387" s="15" t="s">
        <v>19</v>
      </c>
      <c r="Q2387"/>
    </row>
    <row r="2388" spans="1:17" ht="15.6" x14ac:dyDescent="0.3">
      <c r="A2388" s="11">
        <v>10379</v>
      </c>
      <c r="B2388" s="10">
        <v>38393</v>
      </c>
      <c r="C2388" s="10" t="s">
        <v>279</v>
      </c>
      <c r="D2388" s="11" t="s">
        <v>41</v>
      </c>
      <c r="E2388" s="11" t="s">
        <v>42</v>
      </c>
      <c r="F2388" s="11" t="s">
        <v>43</v>
      </c>
      <c r="G2388" s="11" t="s">
        <v>25</v>
      </c>
      <c r="H2388" s="11" t="s">
        <v>32</v>
      </c>
      <c r="I2388" s="11" t="s">
        <v>44</v>
      </c>
      <c r="J2388" s="11" t="s">
        <v>252</v>
      </c>
      <c r="K2388" s="11">
        <v>32</v>
      </c>
      <c r="L2388" s="12">
        <v>55</v>
      </c>
      <c r="M2388" s="13">
        <v>1760</v>
      </c>
      <c r="N2388" s="11" t="s">
        <v>367</v>
      </c>
      <c r="O2388" s="11" t="s">
        <v>19</v>
      </c>
      <c r="Q2388"/>
    </row>
    <row r="2389" spans="1:17" ht="15.6" x14ac:dyDescent="0.3">
      <c r="A2389" s="15">
        <v>10378</v>
      </c>
      <c r="B2389" s="14">
        <v>38393</v>
      </c>
      <c r="C2389" s="14" t="s">
        <v>279</v>
      </c>
      <c r="D2389" s="15" t="s">
        <v>41</v>
      </c>
      <c r="E2389" s="15" t="s">
        <v>42</v>
      </c>
      <c r="F2389" s="15" t="s">
        <v>43</v>
      </c>
      <c r="G2389" s="15" t="s">
        <v>25</v>
      </c>
      <c r="H2389" s="15" t="s">
        <v>32</v>
      </c>
      <c r="I2389" s="15" t="s">
        <v>45</v>
      </c>
      <c r="J2389" s="15" t="s">
        <v>253</v>
      </c>
      <c r="K2389" s="15">
        <v>41</v>
      </c>
      <c r="L2389" s="16">
        <v>35</v>
      </c>
      <c r="M2389" s="17">
        <v>1435</v>
      </c>
      <c r="N2389" s="15" t="s">
        <v>367</v>
      </c>
      <c r="O2389" s="15" t="s">
        <v>19</v>
      </c>
      <c r="Q2389"/>
    </row>
    <row r="2390" spans="1:17" ht="15.6" x14ac:dyDescent="0.3">
      <c r="A2390" s="11">
        <v>10378</v>
      </c>
      <c r="B2390" s="10">
        <v>38393</v>
      </c>
      <c r="C2390" s="10" t="s">
        <v>279</v>
      </c>
      <c r="D2390" s="11" t="s">
        <v>41</v>
      </c>
      <c r="E2390" s="11" t="s">
        <v>42</v>
      </c>
      <c r="F2390" s="11" t="s">
        <v>43</v>
      </c>
      <c r="G2390" s="11" t="s">
        <v>25</v>
      </c>
      <c r="H2390" s="11" t="s">
        <v>32</v>
      </c>
      <c r="I2390" s="11" t="s">
        <v>45</v>
      </c>
      <c r="J2390" s="11" t="s">
        <v>253</v>
      </c>
      <c r="K2390" s="11">
        <v>46</v>
      </c>
      <c r="L2390" s="12">
        <v>35</v>
      </c>
      <c r="M2390" s="13">
        <v>1610</v>
      </c>
      <c r="N2390" s="11" t="s">
        <v>367</v>
      </c>
      <c r="O2390" s="11" t="s">
        <v>19</v>
      </c>
      <c r="Q2390"/>
    </row>
    <row r="2391" spans="1:17" ht="15.6" x14ac:dyDescent="0.3">
      <c r="A2391" s="15">
        <v>10378</v>
      </c>
      <c r="B2391" s="14">
        <v>38393</v>
      </c>
      <c r="C2391" s="14" t="s">
        <v>279</v>
      </c>
      <c r="D2391" s="15" t="s">
        <v>41</v>
      </c>
      <c r="E2391" s="15" t="s">
        <v>42</v>
      </c>
      <c r="F2391" s="15" t="s">
        <v>43</v>
      </c>
      <c r="G2391" s="15" t="s">
        <v>25</v>
      </c>
      <c r="H2391" s="15" t="s">
        <v>32</v>
      </c>
      <c r="I2391" s="15" t="s">
        <v>44</v>
      </c>
      <c r="J2391" s="15" t="s">
        <v>252</v>
      </c>
      <c r="K2391" s="15">
        <v>33</v>
      </c>
      <c r="L2391" s="16">
        <v>55</v>
      </c>
      <c r="M2391" s="17">
        <v>1815</v>
      </c>
      <c r="N2391" s="15" t="s">
        <v>367</v>
      </c>
      <c r="O2391" s="15" t="s">
        <v>19</v>
      </c>
      <c r="Q2391"/>
    </row>
    <row r="2392" spans="1:17" ht="15.6" x14ac:dyDescent="0.3">
      <c r="A2392" s="11">
        <v>10378</v>
      </c>
      <c r="B2392" s="10">
        <v>38393</v>
      </c>
      <c r="C2392" s="10" t="s">
        <v>279</v>
      </c>
      <c r="D2392" s="11" t="s">
        <v>41</v>
      </c>
      <c r="E2392" s="11" t="s">
        <v>42</v>
      </c>
      <c r="F2392" s="11" t="s">
        <v>43</v>
      </c>
      <c r="G2392" s="11" t="s">
        <v>25</v>
      </c>
      <c r="H2392" s="11" t="s">
        <v>32</v>
      </c>
      <c r="I2392" s="11" t="s">
        <v>33</v>
      </c>
      <c r="J2392" s="11" t="s">
        <v>245</v>
      </c>
      <c r="K2392" s="11">
        <v>41</v>
      </c>
      <c r="L2392" s="12">
        <v>85</v>
      </c>
      <c r="M2392" s="13">
        <v>3485</v>
      </c>
      <c r="N2392" s="11" t="s">
        <v>367</v>
      </c>
      <c r="O2392" s="11" t="s">
        <v>19</v>
      </c>
      <c r="Q2392"/>
    </row>
    <row r="2393" spans="1:17" ht="15.6" x14ac:dyDescent="0.3">
      <c r="A2393" s="15">
        <v>10378</v>
      </c>
      <c r="B2393" s="14">
        <v>38393</v>
      </c>
      <c r="C2393" s="14" t="s">
        <v>279</v>
      </c>
      <c r="D2393" s="15" t="s">
        <v>41</v>
      </c>
      <c r="E2393" s="15" t="s">
        <v>42</v>
      </c>
      <c r="F2393" s="15" t="s">
        <v>43</v>
      </c>
      <c r="G2393" s="15" t="s">
        <v>25</v>
      </c>
      <c r="H2393" s="15" t="s">
        <v>68</v>
      </c>
      <c r="I2393" s="15" t="s">
        <v>69</v>
      </c>
      <c r="J2393" s="15" t="s">
        <v>266</v>
      </c>
      <c r="K2393" s="15">
        <v>40</v>
      </c>
      <c r="L2393" s="16">
        <v>25</v>
      </c>
      <c r="M2393" s="17">
        <v>1000</v>
      </c>
      <c r="N2393" s="15" t="s">
        <v>367</v>
      </c>
      <c r="O2393" s="15" t="s">
        <v>19</v>
      </c>
      <c r="Q2393"/>
    </row>
    <row r="2394" spans="1:17" ht="15.6" x14ac:dyDescent="0.3">
      <c r="A2394" s="11">
        <v>10380</v>
      </c>
      <c r="B2394" s="10">
        <v>38399</v>
      </c>
      <c r="C2394" s="10" t="s">
        <v>279</v>
      </c>
      <c r="D2394" s="11" t="s">
        <v>41</v>
      </c>
      <c r="E2394" s="11" t="s">
        <v>42</v>
      </c>
      <c r="F2394" s="11" t="s">
        <v>43</v>
      </c>
      <c r="G2394" s="11" t="s">
        <v>25</v>
      </c>
      <c r="H2394" s="11" t="s">
        <v>17</v>
      </c>
      <c r="I2394" s="11" t="s">
        <v>20</v>
      </c>
      <c r="J2394" s="11" t="s">
        <v>242</v>
      </c>
      <c r="K2394" s="11">
        <v>27</v>
      </c>
      <c r="L2394" s="12">
        <v>48</v>
      </c>
      <c r="M2394" s="13">
        <v>1296</v>
      </c>
      <c r="N2394" s="11" t="s">
        <v>367</v>
      </c>
      <c r="O2394" s="11" t="s">
        <v>19</v>
      </c>
      <c r="Q2394"/>
    </row>
    <row r="2395" spans="1:17" ht="15.6" x14ac:dyDescent="0.3">
      <c r="A2395" s="15">
        <v>10380</v>
      </c>
      <c r="B2395" s="14">
        <v>38399</v>
      </c>
      <c r="C2395" s="14" t="s">
        <v>279</v>
      </c>
      <c r="D2395" s="15" t="s">
        <v>41</v>
      </c>
      <c r="E2395" s="15" t="s">
        <v>42</v>
      </c>
      <c r="F2395" s="15" t="s">
        <v>43</v>
      </c>
      <c r="G2395" s="15" t="s">
        <v>25</v>
      </c>
      <c r="H2395" s="15" t="s">
        <v>17</v>
      </c>
      <c r="I2395" s="15" t="s">
        <v>82</v>
      </c>
      <c r="J2395" s="15" t="s">
        <v>270</v>
      </c>
      <c r="K2395" s="15">
        <v>40</v>
      </c>
      <c r="L2395" s="16">
        <v>75</v>
      </c>
      <c r="M2395" s="17">
        <v>3000</v>
      </c>
      <c r="N2395" s="15" t="s">
        <v>367</v>
      </c>
      <c r="O2395" s="15" t="s">
        <v>19</v>
      </c>
      <c r="Q2395"/>
    </row>
    <row r="2396" spans="1:17" ht="15.6" x14ac:dyDescent="0.3">
      <c r="A2396" s="11">
        <v>10380</v>
      </c>
      <c r="B2396" s="10">
        <v>38399</v>
      </c>
      <c r="C2396" s="10" t="s">
        <v>279</v>
      </c>
      <c r="D2396" s="11" t="s">
        <v>41</v>
      </c>
      <c r="E2396" s="11" t="s">
        <v>42</v>
      </c>
      <c r="F2396" s="11" t="s">
        <v>43</v>
      </c>
      <c r="G2396" s="11" t="s">
        <v>25</v>
      </c>
      <c r="H2396" s="11" t="s">
        <v>17</v>
      </c>
      <c r="I2396" s="11" t="s">
        <v>20</v>
      </c>
      <c r="J2396" s="11" t="s">
        <v>242</v>
      </c>
      <c r="K2396" s="11">
        <v>21</v>
      </c>
      <c r="L2396" s="12">
        <v>48</v>
      </c>
      <c r="M2396" s="13">
        <v>1008</v>
      </c>
      <c r="N2396" s="11" t="s">
        <v>367</v>
      </c>
      <c r="O2396" s="11" t="s">
        <v>19</v>
      </c>
      <c r="Q2396"/>
    </row>
    <row r="2397" spans="1:17" ht="15.6" x14ac:dyDescent="0.3">
      <c r="A2397" s="15">
        <v>10380</v>
      </c>
      <c r="B2397" s="14">
        <v>38399</v>
      </c>
      <c r="C2397" s="14" t="s">
        <v>279</v>
      </c>
      <c r="D2397" s="15" t="s">
        <v>41</v>
      </c>
      <c r="E2397" s="15" t="s">
        <v>42</v>
      </c>
      <c r="F2397" s="15" t="s">
        <v>43</v>
      </c>
      <c r="G2397" s="15" t="s">
        <v>25</v>
      </c>
      <c r="H2397" s="15" t="s">
        <v>17</v>
      </c>
      <c r="I2397" s="15" t="s">
        <v>82</v>
      </c>
      <c r="J2397" s="15" t="s">
        <v>270</v>
      </c>
      <c r="K2397" s="15">
        <v>32</v>
      </c>
      <c r="L2397" s="16">
        <v>75</v>
      </c>
      <c r="M2397" s="17">
        <v>2400</v>
      </c>
      <c r="N2397" s="15" t="s">
        <v>367</v>
      </c>
      <c r="O2397" s="15" t="s">
        <v>19</v>
      </c>
      <c r="Q2397"/>
    </row>
    <row r="2398" spans="1:17" ht="15.6" x14ac:dyDescent="0.3">
      <c r="A2398" s="11">
        <v>10380</v>
      </c>
      <c r="B2398" s="10">
        <v>38399</v>
      </c>
      <c r="C2398" s="10" t="s">
        <v>279</v>
      </c>
      <c r="D2398" s="11" t="s">
        <v>41</v>
      </c>
      <c r="E2398" s="11" t="s">
        <v>42</v>
      </c>
      <c r="F2398" s="11" t="s">
        <v>43</v>
      </c>
      <c r="G2398" s="11" t="s">
        <v>25</v>
      </c>
      <c r="H2398" s="11" t="s">
        <v>32</v>
      </c>
      <c r="I2398" s="11" t="s">
        <v>44</v>
      </c>
      <c r="J2398" s="11" t="s">
        <v>252</v>
      </c>
      <c r="K2398" s="11">
        <v>24</v>
      </c>
      <c r="L2398" s="12">
        <v>55</v>
      </c>
      <c r="M2398" s="13">
        <v>1320</v>
      </c>
      <c r="N2398" s="11" t="s">
        <v>367</v>
      </c>
      <c r="O2398" s="11" t="s">
        <v>19</v>
      </c>
      <c r="Q2398"/>
    </row>
    <row r="2399" spans="1:17" ht="15.6" x14ac:dyDescent="0.3">
      <c r="A2399" s="15">
        <v>10380</v>
      </c>
      <c r="B2399" s="14">
        <v>38399</v>
      </c>
      <c r="C2399" s="14" t="s">
        <v>279</v>
      </c>
      <c r="D2399" s="15" t="s">
        <v>41</v>
      </c>
      <c r="E2399" s="15" t="s">
        <v>42</v>
      </c>
      <c r="F2399" s="15" t="s">
        <v>43</v>
      </c>
      <c r="G2399" s="15" t="s">
        <v>25</v>
      </c>
      <c r="H2399" s="15" t="s">
        <v>32</v>
      </c>
      <c r="I2399" s="15" t="s">
        <v>45</v>
      </c>
      <c r="J2399" s="15" t="s">
        <v>253</v>
      </c>
      <c r="K2399" s="15">
        <v>34</v>
      </c>
      <c r="L2399" s="16">
        <v>35</v>
      </c>
      <c r="M2399" s="17">
        <v>1190</v>
      </c>
      <c r="N2399" s="15" t="s">
        <v>367</v>
      </c>
      <c r="O2399" s="15" t="s">
        <v>19</v>
      </c>
      <c r="Q2399"/>
    </row>
    <row r="2400" spans="1:17" ht="15.6" x14ac:dyDescent="0.3">
      <c r="A2400" s="11">
        <v>10380</v>
      </c>
      <c r="B2400" s="10">
        <v>38399</v>
      </c>
      <c r="C2400" s="10" t="s">
        <v>279</v>
      </c>
      <c r="D2400" s="11" t="s">
        <v>41</v>
      </c>
      <c r="E2400" s="11" t="s">
        <v>42</v>
      </c>
      <c r="F2400" s="11" t="s">
        <v>43</v>
      </c>
      <c r="G2400" s="11" t="s">
        <v>25</v>
      </c>
      <c r="H2400" s="11" t="s">
        <v>17</v>
      </c>
      <c r="I2400" s="11" t="s">
        <v>26</v>
      </c>
      <c r="J2400" s="11" t="s">
        <v>244</v>
      </c>
      <c r="K2400" s="11">
        <v>32</v>
      </c>
      <c r="L2400" s="12">
        <v>60</v>
      </c>
      <c r="M2400" s="13">
        <v>1920</v>
      </c>
      <c r="N2400" s="11" t="s">
        <v>367</v>
      </c>
      <c r="O2400" s="11" t="s">
        <v>19</v>
      </c>
      <c r="Q2400"/>
    </row>
    <row r="2401" spans="1:17" ht="15.6" x14ac:dyDescent="0.3">
      <c r="A2401" s="15">
        <v>10380</v>
      </c>
      <c r="B2401" s="14">
        <v>38399</v>
      </c>
      <c r="C2401" s="14" t="s">
        <v>279</v>
      </c>
      <c r="D2401" s="15" t="s">
        <v>41</v>
      </c>
      <c r="E2401" s="15" t="s">
        <v>42</v>
      </c>
      <c r="F2401" s="15" t="s">
        <v>43</v>
      </c>
      <c r="G2401" s="15" t="s">
        <v>25</v>
      </c>
      <c r="H2401" s="15" t="s">
        <v>17</v>
      </c>
      <c r="I2401" s="15" t="s">
        <v>26</v>
      </c>
      <c r="J2401" s="15" t="s">
        <v>244</v>
      </c>
      <c r="K2401" s="15">
        <v>27</v>
      </c>
      <c r="L2401" s="16">
        <v>60</v>
      </c>
      <c r="M2401" s="17">
        <v>1620</v>
      </c>
      <c r="N2401" s="15" t="s">
        <v>367</v>
      </c>
      <c r="O2401" s="15" t="s">
        <v>19</v>
      </c>
      <c r="Q2401"/>
    </row>
    <row r="2402" spans="1:17" ht="15.6" x14ac:dyDescent="0.3">
      <c r="A2402" s="11">
        <v>10380</v>
      </c>
      <c r="B2402" s="10">
        <v>38399</v>
      </c>
      <c r="C2402" s="10" t="s">
        <v>279</v>
      </c>
      <c r="D2402" s="11" t="s">
        <v>41</v>
      </c>
      <c r="E2402" s="11" t="s">
        <v>42</v>
      </c>
      <c r="F2402" s="11" t="s">
        <v>43</v>
      </c>
      <c r="G2402" s="11" t="s">
        <v>25</v>
      </c>
      <c r="H2402" s="11" t="s">
        <v>32</v>
      </c>
      <c r="I2402" s="11" t="s">
        <v>46</v>
      </c>
      <c r="J2402" s="11" t="s">
        <v>254</v>
      </c>
      <c r="K2402" s="11">
        <v>36</v>
      </c>
      <c r="L2402" s="12">
        <v>90</v>
      </c>
      <c r="M2402" s="13">
        <v>3240</v>
      </c>
      <c r="N2402" s="11" t="s">
        <v>367</v>
      </c>
      <c r="O2402" s="11" t="s">
        <v>19</v>
      </c>
      <c r="Q2402"/>
    </row>
    <row r="2403" spans="1:17" ht="15.6" x14ac:dyDescent="0.3">
      <c r="A2403" s="15">
        <v>10380</v>
      </c>
      <c r="B2403" s="14">
        <v>38399</v>
      </c>
      <c r="C2403" s="14" t="s">
        <v>279</v>
      </c>
      <c r="D2403" s="15" t="s">
        <v>41</v>
      </c>
      <c r="E2403" s="15" t="s">
        <v>42</v>
      </c>
      <c r="F2403" s="15" t="s">
        <v>43</v>
      </c>
      <c r="G2403" s="15" t="s">
        <v>25</v>
      </c>
      <c r="H2403" s="15" t="s">
        <v>32</v>
      </c>
      <c r="I2403" s="15" t="s">
        <v>33</v>
      </c>
      <c r="J2403" s="15" t="s">
        <v>245</v>
      </c>
      <c r="K2403" s="15">
        <v>44</v>
      </c>
      <c r="L2403" s="16">
        <v>85</v>
      </c>
      <c r="M2403" s="17">
        <v>3740</v>
      </c>
      <c r="N2403" s="15" t="s">
        <v>367</v>
      </c>
      <c r="O2403" s="15" t="s">
        <v>19</v>
      </c>
      <c r="Q2403"/>
    </row>
    <row r="2404" spans="1:17" ht="15.6" x14ac:dyDescent="0.3">
      <c r="A2404" s="11">
        <v>10380</v>
      </c>
      <c r="B2404" s="10">
        <v>38399</v>
      </c>
      <c r="C2404" s="10" t="s">
        <v>279</v>
      </c>
      <c r="D2404" s="11" t="s">
        <v>41</v>
      </c>
      <c r="E2404" s="11" t="s">
        <v>42</v>
      </c>
      <c r="F2404" s="11" t="s">
        <v>43</v>
      </c>
      <c r="G2404" s="11" t="s">
        <v>25</v>
      </c>
      <c r="H2404" s="11" t="s">
        <v>32</v>
      </c>
      <c r="I2404" s="11" t="s">
        <v>33</v>
      </c>
      <c r="J2404" s="11" t="s">
        <v>245</v>
      </c>
      <c r="K2404" s="11">
        <v>44</v>
      </c>
      <c r="L2404" s="12">
        <v>85</v>
      </c>
      <c r="M2404" s="13">
        <v>3740</v>
      </c>
      <c r="N2404" s="11" t="s">
        <v>367</v>
      </c>
      <c r="O2404" s="11" t="s">
        <v>19</v>
      </c>
      <c r="Q2404"/>
    </row>
    <row r="2405" spans="1:17" ht="15.6" x14ac:dyDescent="0.3">
      <c r="A2405" s="15">
        <v>10380</v>
      </c>
      <c r="B2405" s="14">
        <v>38399</v>
      </c>
      <c r="C2405" s="14" t="s">
        <v>279</v>
      </c>
      <c r="D2405" s="15" t="s">
        <v>41</v>
      </c>
      <c r="E2405" s="15" t="s">
        <v>42</v>
      </c>
      <c r="F2405" s="15" t="s">
        <v>43</v>
      </c>
      <c r="G2405" s="15" t="s">
        <v>25</v>
      </c>
      <c r="H2405" s="15" t="s">
        <v>32</v>
      </c>
      <c r="I2405" s="15" t="s">
        <v>34</v>
      </c>
      <c r="J2405" s="15" t="s">
        <v>246</v>
      </c>
      <c r="K2405" s="15">
        <v>34</v>
      </c>
      <c r="L2405" s="16">
        <v>80</v>
      </c>
      <c r="M2405" s="17">
        <v>2720</v>
      </c>
      <c r="N2405" s="15" t="s">
        <v>367</v>
      </c>
      <c r="O2405" s="15" t="s">
        <v>19</v>
      </c>
      <c r="Q2405"/>
    </row>
    <row r="2406" spans="1:17" ht="15.6" x14ac:dyDescent="0.3">
      <c r="A2406" s="11">
        <v>10380</v>
      </c>
      <c r="B2406" s="10">
        <v>38399</v>
      </c>
      <c r="C2406" s="10" t="s">
        <v>279</v>
      </c>
      <c r="D2406" s="11" t="s">
        <v>41</v>
      </c>
      <c r="E2406" s="11" t="s">
        <v>42</v>
      </c>
      <c r="F2406" s="11" t="s">
        <v>43</v>
      </c>
      <c r="G2406" s="11" t="s">
        <v>25</v>
      </c>
      <c r="H2406" s="11" t="s">
        <v>17</v>
      </c>
      <c r="I2406" s="11" t="s">
        <v>20</v>
      </c>
      <c r="J2406" s="11" t="s">
        <v>242</v>
      </c>
      <c r="K2406" s="11">
        <v>43</v>
      </c>
      <c r="L2406" s="12">
        <v>48</v>
      </c>
      <c r="M2406" s="13">
        <v>2064</v>
      </c>
      <c r="N2406" s="11" t="s">
        <v>367</v>
      </c>
      <c r="O2406" s="11" t="s">
        <v>19</v>
      </c>
      <c r="Q2406"/>
    </row>
    <row r="2407" spans="1:17" ht="15.6" x14ac:dyDescent="0.3">
      <c r="A2407" s="15">
        <v>10381</v>
      </c>
      <c r="B2407" s="14">
        <v>38400</v>
      </c>
      <c r="C2407" s="14" t="s">
        <v>321</v>
      </c>
      <c r="D2407" s="15" t="s">
        <v>156</v>
      </c>
      <c r="E2407" s="15" t="s">
        <v>87</v>
      </c>
      <c r="F2407" s="15" t="s">
        <v>15</v>
      </c>
      <c r="G2407" s="15" t="s">
        <v>16</v>
      </c>
      <c r="H2407" s="15" t="s">
        <v>32</v>
      </c>
      <c r="I2407" s="15" t="s">
        <v>33</v>
      </c>
      <c r="J2407" s="15" t="s">
        <v>245</v>
      </c>
      <c r="K2407" s="15">
        <v>36</v>
      </c>
      <c r="L2407" s="16">
        <v>85</v>
      </c>
      <c r="M2407" s="17">
        <v>3060</v>
      </c>
      <c r="N2407" s="15" t="s">
        <v>367</v>
      </c>
      <c r="O2407" s="15" t="s">
        <v>19</v>
      </c>
      <c r="Q2407"/>
    </row>
    <row r="2408" spans="1:17" ht="15.6" x14ac:dyDescent="0.3">
      <c r="A2408" s="11">
        <v>10381</v>
      </c>
      <c r="B2408" s="10">
        <v>38400</v>
      </c>
      <c r="C2408" s="10" t="s">
        <v>321</v>
      </c>
      <c r="D2408" s="11" t="s">
        <v>156</v>
      </c>
      <c r="E2408" s="11" t="s">
        <v>87</v>
      </c>
      <c r="F2408" s="11" t="s">
        <v>15</v>
      </c>
      <c r="G2408" s="11" t="s">
        <v>16</v>
      </c>
      <c r="H2408" s="11" t="s">
        <v>32</v>
      </c>
      <c r="I2408" s="11" t="s">
        <v>33</v>
      </c>
      <c r="J2408" s="11" t="s">
        <v>245</v>
      </c>
      <c r="K2408" s="11">
        <v>37</v>
      </c>
      <c r="L2408" s="12">
        <v>85</v>
      </c>
      <c r="M2408" s="13">
        <v>3145</v>
      </c>
      <c r="N2408" s="11" t="s">
        <v>367</v>
      </c>
      <c r="O2408" s="11" t="s">
        <v>19</v>
      </c>
      <c r="Q2408"/>
    </row>
    <row r="2409" spans="1:17" ht="15.6" x14ac:dyDescent="0.3">
      <c r="A2409" s="15">
        <v>10382</v>
      </c>
      <c r="B2409" s="14">
        <v>38400</v>
      </c>
      <c r="C2409" s="14" t="s">
        <v>288</v>
      </c>
      <c r="D2409" s="15" t="s">
        <v>88</v>
      </c>
      <c r="E2409" s="15" t="s">
        <v>89</v>
      </c>
      <c r="F2409" s="15" t="s">
        <v>15</v>
      </c>
      <c r="G2409" s="15" t="s">
        <v>16</v>
      </c>
      <c r="H2409" s="15" t="s">
        <v>32</v>
      </c>
      <c r="I2409" s="15" t="s">
        <v>46</v>
      </c>
      <c r="J2409" s="15" t="s">
        <v>254</v>
      </c>
      <c r="K2409" s="15">
        <v>34</v>
      </c>
      <c r="L2409" s="16">
        <v>90</v>
      </c>
      <c r="M2409" s="17">
        <v>3060</v>
      </c>
      <c r="N2409" s="15" t="s">
        <v>367</v>
      </c>
      <c r="O2409" s="15" t="s">
        <v>19</v>
      </c>
      <c r="Q2409"/>
    </row>
    <row r="2410" spans="1:17" ht="15.6" x14ac:dyDescent="0.3">
      <c r="A2410" s="11">
        <v>10381</v>
      </c>
      <c r="B2410" s="10">
        <v>38400</v>
      </c>
      <c r="C2410" s="10" t="s">
        <v>321</v>
      </c>
      <c r="D2410" s="11" t="s">
        <v>156</v>
      </c>
      <c r="E2410" s="11" t="s">
        <v>87</v>
      </c>
      <c r="F2410" s="11" t="s">
        <v>15</v>
      </c>
      <c r="G2410" s="11" t="s">
        <v>16</v>
      </c>
      <c r="H2410" s="11" t="s">
        <v>35</v>
      </c>
      <c r="I2410" s="11" t="s">
        <v>38</v>
      </c>
      <c r="J2410" s="11" t="s">
        <v>249</v>
      </c>
      <c r="K2410" s="11">
        <v>20</v>
      </c>
      <c r="L2410" s="12">
        <v>20</v>
      </c>
      <c r="M2410" s="13">
        <v>400</v>
      </c>
      <c r="N2410" s="11" t="s">
        <v>367</v>
      </c>
      <c r="O2410" s="11" t="s">
        <v>19</v>
      </c>
      <c r="Q2410"/>
    </row>
    <row r="2411" spans="1:17" ht="15.6" x14ac:dyDescent="0.3">
      <c r="A2411" s="15">
        <v>10382</v>
      </c>
      <c r="B2411" s="14">
        <v>38400</v>
      </c>
      <c r="C2411" s="14" t="s">
        <v>288</v>
      </c>
      <c r="D2411" s="15" t="s">
        <v>88</v>
      </c>
      <c r="E2411" s="15" t="s">
        <v>89</v>
      </c>
      <c r="F2411" s="15" t="s">
        <v>15</v>
      </c>
      <c r="G2411" s="15" t="s">
        <v>16</v>
      </c>
      <c r="H2411" s="15" t="s">
        <v>32</v>
      </c>
      <c r="I2411" s="15" t="s">
        <v>44</v>
      </c>
      <c r="J2411" s="15" t="s">
        <v>252</v>
      </c>
      <c r="K2411" s="15">
        <v>37</v>
      </c>
      <c r="L2411" s="16">
        <v>55</v>
      </c>
      <c r="M2411" s="17">
        <v>2035</v>
      </c>
      <c r="N2411" s="15" t="s">
        <v>367</v>
      </c>
      <c r="O2411" s="15" t="s">
        <v>19</v>
      </c>
      <c r="Q2411"/>
    </row>
    <row r="2412" spans="1:17" ht="15.6" x14ac:dyDescent="0.3">
      <c r="A2412" s="11">
        <v>10382</v>
      </c>
      <c r="B2412" s="10">
        <v>38400</v>
      </c>
      <c r="C2412" s="10" t="s">
        <v>288</v>
      </c>
      <c r="D2412" s="11" t="s">
        <v>88</v>
      </c>
      <c r="E2412" s="11" t="s">
        <v>89</v>
      </c>
      <c r="F2412" s="11" t="s">
        <v>15</v>
      </c>
      <c r="G2412" s="11" t="s">
        <v>16</v>
      </c>
      <c r="H2412" s="11" t="s">
        <v>32</v>
      </c>
      <c r="I2412" s="11" t="s">
        <v>34</v>
      </c>
      <c r="J2412" s="11" t="s">
        <v>246</v>
      </c>
      <c r="K2412" s="11">
        <v>34</v>
      </c>
      <c r="L2412" s="12">
        <v>80</v>
      </c>
      <c r="M2412" s="13">
        <v>2720</v>
      </c>
      <c r="N2412" s="11" t="s">
        <v>367</v>
      </c>
      <c r="O2412" s="11" t="s">
        <v>19</v>
      </c>
      <c r="Q2412"/>
    </row>
    <row r="2413" spans="1:17" ht="15.6" x14ac:dyDescent="0.3">
      <c r="A2413" s="15">
        <v>10382</v>
      </c>
      <c r="B2413" s="14">
        <v>38400</v>
      </c>
      <c r="C2413" s="14" t="s">
        <v>288</v>
      </c>
      <c r="D2413" s="15" t="s">
        <v>88</v>
      </c>
      <c r="E2413" s="15" t="s">
        <v>89</v>
      </c>
      <c r="F2413" s="15" t="s">
        <v>15</v>
      </c>
      <c r="G2413" s="15" t="s">
        <v>16</v>
      </c>
      <c r="H2413" s="15" t="s">
        <v>35</v>
      </c>
      <c r="I2413" s="15" t="s">
        <v>39</v>
      </c>
      <c r="J2413" s="15" t="s">
        <v>250</v>
      </c>
      <c r="K2413" s="15">
        <v>32</v>
      </c>
      <c r="L2413" s="16">
        <v>20</v>
      </c>
      <c r="M2413" s="17">
        <v>640</v>
      </c>
      <c r="N2413" s="15" t="s">
        <v>367</v>
      </c>
      <c r="O2413" s="15" t="s">
        <v>19</v>
      </c>
      <c r="Q2413"/>
    </row>
    <row r="2414" spans="1:17" ht="15.6" x14ac:dyDescent="0.3">
      <c r="A2414" s="11">
        <v>10381</v>
      </c>
      <c r="B2414" s="10">
        <v>38400</v>
      </c>
      <c r="C2414" s="10" t="s">
        <v>321</v>
      </c>
      <c r="D2414" s="11" t="s">
        <v>156</v>
      </c>
      <c r="E2414" s="11" t="s">
        <v>87</v>
      </c>
      <c r="F2414" s="11" t="s">
        <v>15</v>
      </c>
      <c r="G2414" s="11" t="s">
        <v>16</v>
      </c>
      <c r="H2414" s="11" t="s">
        <v>35</v>
      </c>
      <c r="I2414" s="11" t="s">
        <v>37</v>
      </c>
      <c r="J2414" s="11" t="s">
        <v>248</v>
      </c>
      <c r="K2414" s="11">
        <v>48</v>
      </c>
      <c r="L2414" s="12">
        <v>30</v>
      </c>
      <c r="M2414" s="13">
        <v>1440</v>
      </c>
      <c r="N2414" s="11" t="s">
        <v>367</v>
      </c>
      <c r="O2414" s="11" t="s">
        <v>19</v>
      </c>
      <c r="Q2414"/>
    </row>
    <row r="2415" spans="1:17" ht="15.6" x14ac:dyDescent="0.3">
      <c r="A2415" s="15">
        <v>10381</v>
      </c>
      <c r="B2415" s="14">
        <v>38400</v>
      </c>
      <c r="C2415" s="14" t="s">
        <v>321</v>
      </c>
      <c r="D2415" s="15" t="s">
        <v>156</v>
      </c>
      <c r="E2415" s="15" t="s">
        <v>87</v>
      </c>
      <c r="F2415" s="15" t="s">
        <v>15</v>
      </c>
      <c r="G2415" s="15" t="s">
        <v>16</v>
      </c>
      <c r="H2415" s="15" t="s">
        <v>17</v>
      </c>
      <c r="I2415" s="15" t="s">
        <v>20</v>
      </c>
      <c r="J2415" s="15" t="s">
        <v>242</v>
      </c>
      <c r="K2415" s="15">
        <v>25</v>
      </c>
      <c r="L2415" s="16">
        <v>48</v>
      </c>
      <c r="M2415" s="17">
        <v>1200</v>
      </c>
      <c r="N2415" s="15" t="s">
        <v>367</v>
      </c>
      <c r="O2415" s="15" t="s">
        <v>19</v>
      </c>
      <c r="Q2415"/>
    </row>
    <row r="2416" spans="1:17" ht="15.6" x14ac:dyDescent="0.3">
      <c r="A2416" s="11">
        <v>10382</v>
      </c>
      <c r="B2416" s="10">
        <v>38400</v>
      </c>
      <c r="C2416" s="10" t="s">
        <v>288</v>
      </c>
      <c r="D2416" s="11" t="s">
        <v>88</v>
      </c>
      <c r="E2416" s="11" t="s">
        <v>89</v>
      </c>
      <c r="F2416" s="11" t="s">
        <v>15</v>
      </c>
      <c r="G2416" s="11" t="s">
        <v>16</v>
      </c>
      <c r="H2416" s="11" t="s">
        <v>32</v>
      </c>
      <c r="I2416" s="11" t="s">
        <v>33</v>
      </c>
      <c r="J2416" s="11" t="s">
        <v>245</v>
      </c>
      <c r="K2416" s="11">
        <v>25</v>
      </c>
      <c r="L2416" s="12">
        <v>85</v>
      </c>
      <c r="M2416" s="13">
        <v>2125</v>
      </c>
      <c r="N2416" s="11" t="s">
        <v>367</v>
      </c>
      <c r="O2416" s="11" t="s">
        <v>19</v>
      </c>
      <c r="Q2416"/>
    </row>
    <row r="2417" spans="1:17" ht="15.6" x14ac:dyDescent="0.3">
      <c r="A2417" s="15">
        <v>10381</v>
      </c>
      <c r="B2417" s="14">
        <v>38400</v>
      </c>
      <c r="C2417" s="14" t="s">
        <v>321</v>
      </c>
      <c r="D2417" s="15" t="s">
        <v>156</v>
      </c>
      <c r="E2417" s="15" t="s">
        <v>87</v>
      </c>
      <c r="F2417" s="15" t="s">
        <v>15</v>
      </c>
      <c r="G2417" s="15" t="s">
        <v>16</v>
      </c>
      <c r="H2417" s="15" t="s">
        <v>35</v>
      </c>
      <c r="I2417" s="15" t="s">
        <v>39</v>
      </c>
      <c r="J2417" s="15" t="s">
        <v>250</v>
      </c>
      <c r="K2417" s="15">
        <v>35</v>
      </c>
      <c r="L2417" s="16">
        <v>20</v>
      </c>
      <c r="M2417" s="17">
        <v>700</v>
      </c>
      <c r="N2417" s="15" t="s">
        <v>367</v>
      </c>
      <c r="O2417" s="15" t="s">
        <v>19</v>
      </c>
      <c r="Q2417"/>
    </row>
    <row r="2418" spans="1:17" ht="15.6" x14ac:dyDescent="0.3">
      <c r="A2418" s="11">
        <v>10381</v>
      </c>
      <c r="B2418" s="10">
        <v>38400</v>
      </c>
      <c r="C2418" s="10" t="s">
        <v>321</v>
      </c>
      <c r="D2418" s="11" t="s">
        <v>156</v>
      </c>
      <c r="E2418" s="11" t="s">
        <v>87</v>
      </c>
      <c r="F2418" s="11" t="s">
        <v>15</v>
      </c>
      <c r="G2418" s="11" t="s">
        <v>16</v>
      </c>
      <c r="H2418" s="11" t="s">
        <v>17</v>
      </c>
      <c r="I2418" s="11" t="s">
        <v>20</v>
      </c>
      <c r="J2418" s="11" t="s">
        <v>242</v>
      </c>
      <c r="K2418" s="11">
        <v>41</v>
      </c>
      <c r="L2418" s="12">
        <v>48</v>
      </c>
      <c r="M2418" s="13">
        <v>1968</v>
      </c>
      <c r="N2418" s="11" t="s">
        <v>367</v>
      </c>
      <c r="O2418" s="11" t="s">
        <v>19</v>
      </c>
      <c r="Q2418"/>
    </row>
    <row r="2419" spans="1:17" ht="15.6" x14ac:dyDescent="0.3">
      <c r="A2419" s="15">
        <v>10381</v>
      </c>
      <c r="B2419" s="14">
        <v>38400</v>
      </c>
      <c r="C2419" s="14" t="s">
        <v>321</v>
      </c>
      <c r="D2419" s="15" t="s">
        <v>156</v>
      </c>
      <c r="E2419" s="15" t="s">
        <v>87</v>
      </c>
      <c r="F2419" s="15" t="s">
        <v>15</v>
      </c>
      <c r="G2419" s="15" t="s">
        <v>16</v>
      </c>
      <c r="H2419" s="15" t="s">
        <v>17</v>
      </c>
      <c r="I2419" s="15" t="s">
        <v>26</v>
      </c>
      <c r="J2419" s="15" t="s">
        <v>244</v>
      </c>
      <c r="K2419" s="15">
        <v>40</v>
      </c>
      <c r="L2419" s="16">
        <v>60</v>
      </c>
      <c r="M2419" s="17">
        <v>2400</v>
      </c>
      <c r="N2419" s="15" t="s">
        <v>367</v>
      </c>
      <c r="O2419" s="15" t="s">
        <v>19</v>
      </c>
      <c r="Q2419"/>
    </row>
    <row r="2420" spans="1:17" ht="15.6" x14ac:dyDescent="0.3">
      <c r="A2420" s="11">
        <v>10381</v>
      </c>
      <c r="B2420" s="10">
        <v>38400</v>
      </c>
      <c r="C2420" s="10" t="s">
        <v>321</v>
      </c>
      <c r="D2420" s="11" t="s">
        <v>156</v>
      </c>
      <c r="E2420" s="11" t="s">
        <v>87</v>
      </c>
      <c r="F2420" s="11" t="s">
        <v>15</v>
      </c>
      <c r="G2420" s="11" t="s">
        <v>16</v>
      </c>
      <c r="H2420" s="11" t="s">
        <v>17</v>
      </c>
      <c r="I2420" s="11" t="s">
        <v>18</v>
      </c>
      <c r="J2420" s="11" t="s">
        <v>241</v>
      </c>
      <c r="K2420" s="11">
        <v>35</v>
      </c>
      <c r="L2420" s="12">
        <v>30</v>
      </c>
      <c r="M2420" s="13">
        <v>1050</v>
      </c>
      <c r="N2420" s="11" t="s">
        <v>367</v>
      </c>
      <c r="O2420" s="11" t="s">
        <v>19</v>
      </c>
      <c r="Q2420"/>
    </row>
    <row r="2421" spans="1:17" ht="15.6" x14ac:dyDescent="0.3">
      <c r="A2421" s="15">
        <v>10382</v>
      </c>
      <c r="B2421" s="14">
        <v>38400</v>
      </c>
      <c r="C2421" s="14" t="s">
        <v>288</v>
      </c>
      <c r="D2421" s="15" t="s">
        <v>88</v>
      </c>
      <c r="E2421" s="15" t="s">
        <v>89</v>
      </c>
      <c r="F2421" s="15" t="s">
        <v>15</v>
      </c>
      <c r="G2421" s="15" t="s">
        <v>16</v>
      </c>
      <c r="H2421" s="15" t="s">
        <v>17</v>
      </c>
      <c r="I2421" s="15" t="s">
        <v>82</v>
      </c>
      <c r="J2421" s="15" t="s">
        <v>270</v>
      </c>
      <c r="K2421" s="15">
        <v>50</v>
      </c>
      <c r="L2421" s="16">
        <v>75</v>
      </c>
      <c r="M2421" s="17">
        <v>3750</v>
      </c>
      <c r="N2421" s="15" t="s">
        <v>368</v>
      </c>
      <c r="O2421" s="15" t="s">
        <v>19</v>
      </c>
      <c r="Q2421"/>
    </row>
    <row r="2422" spans="1:17" ht="15.6" x14ac:dyDescent="0.3">
      <c r="A2422" s="11">
        <v>10382</v>
      </c>
      <c r="B2422" s="10">
        <v>38400</v>
      </c>
      <c r="C2422" s="10" t="s">
        <v>288</v>
      </c>
      <c r="D2422" s="11" t="s">
        <v>88</v>
      </c>
      <c r="E2422" s="11" t="s">
        <v>89</v>
      </c>
      <c r="F2422" s="11" t="s">
        <v>15</v>
      </c>
      <c r="G2422" s="11" t="s">
        <v>16</v>
      </c>
      <c r="H2422" s="11" t="s">
        <v>35</v>
      </c>
      <c r="I2422" s="11" t="s">
        <v>40</v>
      </c>
      <c r="J2422" s="11" t="s">
        <v>251</v>
      </c>
      <c r="K2422" s="11">
        <v>39</v>
      </c>
      <c r="L2422" s="12">
        <v>25</v>
      </c>
      <c r="M2422" s="13">
        <v>975</v>
      </c>
      <c r="N2422" s="11" t="s">
        <v>367</v>
      </c>
      <c r="O2422" s="11" t="s">
        <v>19</v>
      </c>
      <c r="Q2422"/>
    </row>
    <row r="2423" spans="1:17" ht="15.6" x14ac:dyDescent="0.3">
      <c r="A2423" s="15">
        <v>10382</v>
      </c>
      <c r="B2423" s="14">
        <v>38400</v>
      </c>
      <c r="C2423" s="14" t="s">
        <v>288</v>
      </c>
      <c r="D2423" s="15" t="s">
        <v>88</v>
      </c>
      <c r="E2423" s="15" t="s">
        <v>89</v>
      </c>
      <c r="F2423" s="15" t="s">
        <v>15</v>
      </c>
      <c r="G2423" s="15" t="s">
        <v>16</v>
      </c>
      <c r="H2423" s="15" t="s">
        <v>17</v>
      </c>
      <c r="I2423" s="15" t="s">
        <v>20</v>
      </c>
      <c r="J2423" s="15" t="s">
        <v>242</v>
      </c>
      <c r="K2423" s="15">
        <v>39</v>
      </c>
      <c r="L2423" s="16">
        <v>48</v>
      </c>
      <c r="M2423" s="17">
        <v>1872</v>
      </c>
      <c r="N2423" s="15" t="s">
        <v>367</v>
      </c>
      <c r="O2423" s="15" t="s">
        <v>19</v>
      </c>
      <c r="Q2423"/>
    </row>
    <row r="2424" spans="1:17" ht="15.6" x14ac:dyDescent="0.3">
      <c r="A2424" s="11">
        <v>10382</v>
      </c>
      <c r="B2424" s="10">
        <v>38400</v>
      </c>
      <c r="C2424" s="10" t="s">
        <v>288</v>
      </c>
      <c r="D2424" s="11" t="s">
        <v>88</v>
      </c>
      <c r="E2424" s="11" t="s">
        <v>89</v>
      </c>
      <c r="F2424" s="11" t="s">
        <v>15</v>
      </c>
      <c r="G2424" s="11" t="s">
        <v>16</v>
      </c>
      <c r="H2424" s="11" t="s">
        <v>35</v>
      </c>
      <c r="I2424" s="11" t="s">
        <v>38</v>
      </c>
      <c r="J2424" s="11" t="s">
        <v>249</v>
      </c>
      <c r="K2424" s="11">
        <v>20</v>
      </c>
      <c r="L2424" s="12">
        <v>20</v>
      </c>
      <c r="M2424" s="13">
        <v>400</v>
      </c>
      <c r="N2424" s="11" t="s">
        <v>367</v>
      </c>
      <c r="O2424" s="11" t="s">
        <v>19</v>
      </c>
      <c r="Q2424"/>
    </row>
    <row r="2425" spans="1:17" ht="15.6" x14ac:dyDescent="0.3">
      <c r="A2425" s="15">
        <v>10382</v>
      </c>
      <c r="B2425" s="14">
        <v>38400</v>
      </c>
      <c r="C2425" s="14" t="s">
        <v>288</v>
      </c>
      <c r="D2425" s="15" t="s">
        <v>88</v>
      </c>
      <c r="E2425" s="15" t="s">
        <v>89</v>
      </c>
      <c r="F2425" s="15" t="s">
        <v>15</v>
      </c>
      <c r="G2425" s="15" t="s">
        <v>16</v>
      </c>
      <c r="H2425" s="15" t="s">
        <v>17</v>
      </c>
      <c r="I2425" s="15" t="s">
        <v>26</v>
      </c>
      <c r="J2425" s="15" t="s">
        <v>244</v>
      </c>
      <c r="K2425" s="15">
        <v>33</v>
      </c>
      <c r="L2425" s="16">
        <v>60</v>
      </c>
      <c r="M2425" s="17">
        <v>1980</v>
      </c>
      <c r="N2425" s="15" t="s">
        <v>367</v>
      </c>
      <c r="O2425" s="15" t="s">
        <v>19</v>
      </c>
      <c r="Q2425"/>
    </row>
    <row r="2426" spans="1:17" ht="15.6" x14ac:dyDescent="0.3">
      <c r="A2426" s="11">
        <v>10382</v>
      </c>
      <c r="B2426" s="10">
        <v>38400</v>
      </c>
      <c r="C2426" s="10" t="s">
        <v>288</v>
      </c>
      <c r="D2426" s="11" t="s">
        <v>88</v>
      </c>
      <c r="E2426" s="11" t="s">
        <v>89</v>
      </c>
      <c r="F2426" s="11" t="s">
        <v>15</v>
      </c>
      <c r="G2426" s="11" t="s">
        <v>16</v>
      </c>
      <c r="H2426" s="11" t="s">
        <v>35</v>
      </c>
      <c r="I2426" s="11" t="s">
        <v>39</v>
      </c>
      <c r="J2426" s="11" t="s">
        <v>250</v>
      </c>
      <c r="K2426" s="11">
        <v>26</v>
      </c>
      <c r="L2426" s="12">
        <v>20</v>
      </c>
      <c r="M2426" s="13">
        <v>520</v>
      </c>
      <c r="N2426" s="11" t="s">
        <v>367</v>
      </c>
      <c r="O2426" s="11" t="s">
        <v>19</v>
      </c>
      <c r="Q2426"/>
    </row>
    <row r="2427" spans="1:17" ht="15.6" x14ac:dyDescent="0.3">
      <c r="A2427" s="15">
        <v>10382</v>
      </c>
      <c r="B2427" s="14">
        <v>38400</v>
      </c>
      <c r="C2427" s="14" t="s">
        <v>288</v>
      </c>
      <c r="D2427" s="15" t="s">
        <v>88</v>
      </c>
      <c r="E2427" s="15" t="s">
        <v>89</v>
      </c>
      <c r="F2427" s="15" t="s">
        <v>15</v>
      </c>
      <c r="G2427" s="15" t="s">
        <v>16</v>
      </c>
      <c r="H2427" s="15" t="s">
        <v>35</v>
      </c>
      <c r="I2427" s="15" t="s">
        <v>39</v>
      </c>
      <c r="J2427" s="15" t="s">
        <v>250</v>
      </c>
      <c r="K2427" s="15">
        <v>48</v>
      </c>
      <c r="L2427" s="16">
        <v>20</v>
      </c>
      <c r="M2427" s="17">
        <v>960</v>
      </c>
      <c r="N2427" s="15" t="s">
        <v>367</v>
      </c>
      <c r="O2427" s="15" t="s">
        <v>19</v>
      </c>
      <c r="Q2427"/>
    </row>
    <row r="2428" spans="1:17" ht="15.6" x14ac:dyDescent="0.3">
      <c r="A2428" s="11">
        <v>10382</v>
      </c>
      <c r="B2428" s="10">
        <v>38400</v>
      </c>
      <c r="C2428" s="10" t="s">
        <v>288</v>
      </c>
      <c r="D2428" s="11" t="s">
        <v>88</v>
      </c>
      <c r="E2428" s="11" t="s">
        <v>89</v>
      </c>
      <c r="F2428" s="11" t="s">
        <v>15</v>
      </c>
      <c r="G2428" s="11" t="s">
        <v>16</v>
      </c>
      <c r="H2428" s="11" t="s">
        <v>32</v>
      </c>
      <c r="I2428" s="11" t="s">
        <v>34</v>
      </c>
      <c r="J2428" s="11" t="s">
        <v>246</v>
      </c>
      <c r="K2428" s="11">
        <v>34</v>
      </c>
      <c r="L2428" s="12">
        <v>80</v>
      </c>
      <c r="M2428" s="13">
        <v>2720</v>
      </c>
      <c r="N2428" s="11" t="s">
        <v>367</v>
      </c>
      <c r="O2428" s="11" t="s">
        <v>19</v>
      </c>
      <c r="Q2428"/>
    </row>
    <row r="2429" spans="1:17" ht="15.6" x14ac:dyDescent="0.3">
      <c r="A2429" s="15">
        <v>10383</v>
      </c>
      <c r="B2429" s="14">
        <v>38405</v>
      </c>
      <c r="C2429" s="14" t="s">
        <v>279</v>
      </c>
      <c r="D2429" s="15" t="s">
        <v>41</v>
      </c>
      <c r="E2429" s="15" t="s">
        <v>42</v>
      </c>
      <c r="F2429" s="15" t="s">
        <v>43</v>
      </c>
      <c r="G2429" s="15" t="s">
        <v>25</v>
      </c>
      <c r="H2429" s="15" t="s">
        <v>35</v>
      </c>
      <c r="I2429" s="15" t="s">
        <v>38</v>
      </c>
      <c r="J2429" s="15" t="s">
        <v>249</v>
      </c>
      <c r="K2429" s="15">
        <v>27</v>
      </c>
      <c r="L2429" s="16">
        <v>20</v>
      </c>
      <c r="M2429" s="17">
        <v>540</v>
      </c>
      <c r="N2429" s="15" t="s">
        <v>367</v>
      </c>
      <c r="O2429" s="15" t="s">
        <v>19</v>
      </c>
      <c r="Q2429"/>
    </row>
    <row r="2430" spans="1:17" ht="15.6" x14ac:dyDescent="0.3">
      <c r="A2430" s="11">
        <v>10383</v>
      </c>
      <c r="B2430" s="10">
        <v>38405</v>
      </c>
      <c r="C2430" s="10" t="s">
        <v>279</v>
      </c>
      <c r="D2430" s="11" t="s">
        <v>41</v>
      </c>
      <c r="E2430" s="11" t="s">
        <v>42</v>
      </c>
      <c r="F2430" s="11" t="s">
        <v>43</v>
      </c>
      <c r="G2430" s="11" t="s">
        <v>25</v>
      </c>
      <c r="H2430" s="11" t="s">
        <v>17</v>
      </c>
      <c r="I2430" s="11" t="s">
        <v>26</v>
      </c>
      <c r="J2430" s="11" t="s">
        <v>244</v>
      </c>
      <c r="K2430" s="11">
        <v>24</v>
      </c>
      <c r="L2430" s="12">
        <v>60</v>
      </c>
      <c r="M2430" s="13">
        <v>1440</v>
      </c>
      <c r="N2430" s="11" t="s">
        <v>367</v>
      </c>
      <c r="O2430" s="11" t="s">
        <v>19</v>
      </c>
      <c r="Q2430"/>
    </row>
    <row r="2431" spans="1:17" ht="15.6" x14ac:dyDescent="0.3">
      <c r="A2431" s="15">
        <v>10383</v>
      </c>
      <c r="B2431" s="14">
        <v>38405</v>
      </c>
      <c r="C2431" s="14" t="s">
        <v>279</v>
      </c>
      <c r="D2431" s="15" t="s">
        <v>41</v>
      </c>
      <c r="E2431" s="15" t="s">
        <v>42</v>
      </c>
      <c r="F2431" s="15" t="s">
        <v>43</v>
      </c>
      <c r="G2431" s="15" t="s">
        <v>25</v>
      </c>
      <c r="H2431" s="15" t="s">
        <v>32</v>
      </c>
      <c r="I2431" s="15" t="s">
        <v>46</v>
      </c>
      <c r="J2431" s="15" t="s">
        <v>254</v>
      </c>
      <c r="K2431" s="15">
        <v>47</v>
      </c>
      <c r="L2431" s="16">
        <v>90</v>
      </c>
      <c r="M2431" s="17">
        <v>4230</v>
      </c>
      <c r="N2431" s="15" t="s">
        <v>367</v>
      </c>
      <c r="O2431" s="15" t="s">
        <v>19</v>
      </c>
      <c r="Q2431"/>
    </row>
    <row r="2432" spans="1:17" ht="15.6" x14ac:dyDescent="0.3">
      <c r="A2432" s="11">
        <v>10383</v>
      </c>
      <c r="B2432" s="10">
        <v>38405</v>
      </c>
      <c r="C2432" s="10" t="s">
        <v>279</v>
      </c>
      <c r="D2432" s="11" t="s">
        <v>41</v>
      </c>
      <c r="E2432" s="11" t="s">
        <v>42</v>
      </c>
      <c r="F2432" s="11" t="s">
        <v>43</v>
      </c>
      <c r="G2432" s="11" t="s">
        <v>25</v>
      </c>
      <c r="H2432" s="11" t="s">
        <v>47</v>
      </c>
      <c r="I2432" s="11" t="s">
        <v>119</v>
      </c>
      <c r="J2432" s="11" t="s">
        <v>272</v>
      </c>
      <c r="K2432" s="11">
        <v>26</v>
      </c>
      <c r="L2432" s="12">
        <v>60</v>
      </c>
      <c r="M2432" s="13">
        <v>1560</v>
      </c>
      <c r="N2432" s="11" t="s">
        <v>367</v>
      </c>
      <c r="O2432" s="11" t="s">
        <v>19</v>
      </c>
      <c r="Q2432"/>
    </row>
    <row r="2433" spans="1:17" ht="15.6" x14ac:dyDescent="0.3">
      <c r="A2433" s="15">
        <v>10383</v>
      </c>
      <c r="B2433" s="14">
        <v>38405</v>
      </c>
      <c r="C2433" s="14" t="s">
        <v>279</v>
      </c>
      <c r="D2433" s="15" t="s">
        <v>41</v>
      </c>
      <c r="E2433" s="15" t="s">
        <v>42</v>
      </c>
      <c r="F2433" s="15" t="s">
        <v>43</v>
      </c>
      <c r="G2433" s="15" t="s">
        <v>25</v>
      </c>
      <c r="H2433" s="15" t="s">
        <v>32</v>
      </c>
      <c r="I2433" s="15" t="s">
        <v>34</v>
      </c>
      <c r="J2433" s="15" t="s">
        <v>246</v>
      </c>
      <c r="K2433" s="15">
        <v>38</v>
      </c>
      <c r="L2433" s="16">
        <v>80</v>
      </c>
      <c r="M2433" s="17">
        <v>3040</v>
      </c>
      <c r="N2433" s="15" t="s">
        <v>367</v>
      </c>
      <c r="O2433" s="15" t="s">
        <v>19</v>
      </c>
      <c r="Q2433"/>
    </row>
    <row r="2434" spans="1:17" ht="15.6" x14ac:dyDescent="0.3">
      <c r="A2434" s="11">
        <v>10383</v>
      </c>
      <c r="B2434" s="10">
        <v>38405</v>
      </c>
      <c r="C2434" s="10" t="s">
        <v>279</v>
      </c>
      <c r="D2434" s="11" t="s">
        <v>41</v>
      </c>
      <c r="E2434" s="11" t="s">
        <v>42</v>
      </c>
      <c r="F2434" s="11" t="s">
        <v>43</v>
      </c>
      <c r="G2434" s="11" t="s">
        <v>25</v>
      </c>
      <c r="H2434" s="11" t="s">
        <v>17</v>
      </c>
      <c r="I2434" s="11" t="s">
        <v>20</v>
      </c>
      <c r="J2434" s="11" t="s">
        <v>242</v>
      </c>
      <c r="K2434" s="11">
        <v>28</v>
      </c>
      <c r="L2434" s="12">
        <v>48</v>
      </c>
      <c r="M2434" s="13">
        <v>1344</v>
      </c>
      <c r="N2434" s="11" t="s">
        <v>367</v>
      </c>
      <c r="O2434" s="11" t="s">
        <v>19</v>
      </c>
      <c r="Q2434"/>
    </row>
    <row r="2435" spans="1:17" ht="15.6" x14ac:dyDescent="0.3">
      <c r="A2435" s="15">
        <v>10383</v>
      </c>
      <c r="B2435" s="14">
        <v>38405</v>
      </c>
      <c r="C2435" s="14" t="s">
        <v>279</v>
      </c>
      <c r="D2435" s="15" t="s">
        <v>41</v>
      </c>
      <c r="E2435" s="15" t="s">
        <v>42</v>
      </c>
      <c r="F2435" s="15" t="s">
        <v>43</v>
      </c>
      <c r="G2435" s="15" t="s">
        <v>25</v>
      </c>
      <c r="H2435" s="15" t="s">
        <v>32</v>
      </c>
      <c r="I2435" s="15" t="s">
        <v>46</v>
      </c>
      <c r="J2435" s="15" t="s">
        <v>254</v>
      </c>
      <c r="K2435" s="15">
        <v>22</v>
      </c>
      <c r="L2435" s="16">
        <v>90</v>
      </c>
      <c r="M2435" s="17">
        <v>1980</v>
      </c>
      <c r="N2435" s="15" t="s">
        <v>367</v>
      </c>
      <c r="O2435" s="15" t="s">
        <v>19</v>
      </c>
      <c r="Q2435"/>
    </row>
    <row r="2436" spans="1:17" ht="15.6" x14ac:dyDescent="0.3">
      <c r="A2436" s="11">
        <v>10383</v>
      </c>
      <c r="B2436" s="10">
        <v>38405</v>
      </c>
      <c r="C2436" s="10" t="s">
        <v>279</v>
      </c>
      <c r="D2436" s="11" t="s">
        <v>41</v>
      </c>
      <c r="E2436" s="11" t="s">
        <v>42</v>
      </c>
      <c r="F2436" s="11" t="s">
        <v>43</v>
      </c>
      <c r="G2436" s="11" t="s">
        <v>25</v>
      </c>
      <c r="H2436" s="11" t="s">
        <v>32</v>
      </c>
      <c r="I2436" s="11" t="s">
        <v>46</v>
      </c>
      <c r="J2436" s="11" t="s">
        <v>254</v>
      </c>
      <c r="K2436" s="11">
        <v>40</v>
      </c>
      <c r="L2436" s="12">
        <v>90</v>
      </c>
      <c r="M2436" s="13">
        <v>3600</v>
      </c>
      <c r="N2436" s="11" t="s">
        <v>367</v>
      </c>
      <c r="O2436" s="11" t="s">
        <v>19</v>
      </c>
      <c r="Q2436"/>
    </row>
    <row r="2437" spans="1:17" ht="15.6" x14ac:dyDescent="0.3">
      <c r="A2437" s="15">
        <v>10383</v>
      </c>
      <c r="B2437" s="14">
        <v>38405</v>
      </c>
      <c r="C2437" s="14" t="s">
        <v>279</v>
      </c>
      <c r="D2437" s="15" t="s">
        <v>41</v>
      </c>
      <c r="E2437" s="15" t="s">
        <v>42</v>
      </c>
      <c r="F2437" s="15" t="s">
        <v>43</v>
      </c>
      <c r="G2437" s="15" t="s">
        <v>25</v>
      </c>
      <c r="H2437" s="15" t="s">
        <v>32</v>
      </c>
      <c r="I2437" s="15" t="s">
        <v>46</v>
      </c>
      <c r="J2437" s="15" t="s">
        <v>254</v>
      </c>
      <c r="K2437" s="15">
        <v>21</v>
      </c>
      <c r="L2437" s="16">
        <v>90</v>
      </c>
      <c r="M2437" s="17">
        <v>1890</v>
      </c>
      <c r="N2437" s="15" t="s">
        <v>367</v>
      </c>
      <c r="O2437" s="15" t="s">
        <v>19</v>
      </c>
      <c r="Q2437"/>
    </row>
    <row r="2438" spans="1:17" ht="15.6" x14ac:dyDescent="0.3">
      <c r="A2438" s="11">
        <v>10383</v>
      </c>
      <c r="B2438" s="10">
        <v>38405</v>
      </c>
      <c r="C2438" s="10" t="s">
        <v>279</v>
      </c>
      <c r="D2438" s="11" t="s">
        <v>41</v>
      </c>
      <c r="E2438" s="11" t="s">
        <v>42</v>
      </c>
      <c r="F2438" s="11" t="s">
        <v>43</v>
      </c>
      <c r="G2438" s="11" t="s">
        <v>25</v>
      </c>
      <c r="H2438" s="11" t="s">
        <v>35</v>
      </c>
      <c r="I2438" s="11" t="s">
        <v>39</v>
      </c>
      <c r="J2438" s="11" t="s">
        <v>250</v>
      </c>
      <c r="K2438" s="11">
        <v>32</v>
      </c>
      <c r="L2438" s="12">
        <v>20</v>
      </c>
      <c r="M2438" s="13">
        <v>640</v>
      </c>
      <c r="N2438" s="11" t="s">
        <v>367</v>
      </c>
      <c r="O2438" s="11" t="s">
        <v>19</v>
      </c>
      <c r="Q2438"/>
    </row>
    <row r="2439" spans="1:17" ht="15.6" x14ac:dyDescent="0.3">
      <c r="A2439" s="15">
        <v>10383</v>
      </c>
      <c r="B2439" s="14">
        <v>38405</v>
      </c>
      <c r="C2439" s="14" t="s">
        <v>279</v>
      </c>
      <c r="D2439" s="15" t="s">
        <v>41</v>
      </c>
      <c r="E2439" s="15" t="s">
        <v>42</v>
      </c>
      <c r="F2439" s="15" t="s">
        <v>43</v>
      </c>
      <c r="G2439" s="15" t="s">
        <v>25</v>
      </c>
      <c r="H2439" s="15" t="s">
        <v>47</v>
      </c>
      <c r="I2439" s="15" t="s">
        <v>48</v>
      </c>
      <c r="J2439" s="15" t="s">
        <v>255</v>
      </c>
      <c r="K2439" s="15">
        <v>44</v>
      </c>
      <c r="L2439" s="16">
        <v>70</v>
      </c>
      <c r="M2439" s="17">
        <v>3080</v>
      </c>
      <c r="N2439" s="15" t="s">
        <v>367</v>
      </c>
      <c r="O2439" s="15" t="s">
        <v>19</v>
      </c>
      <c r="Q2439"/>
    </row>
    <row r="2440" spans="1:17" ht="15.6" x14ac:dyDescent="0.3">
      <c r="A2440" s="11">
        <v>10383</v>
      </c>
      <c r="B2440" s="10">
        <v>38405</v>
      </c>
      <c r="C2440" s="10" t="s">
        <v>279</v>
      </c>
      <c r="D2440" s="11" t="s">
        <v>41</v>
      </c>
      <c r="E2440" s="11" t="s">
        <v>42</v>
      </c>
      <c r="F2440" s="11" t="s">
        <v>43</v>
      </c>
      <c r="G2440" s="11" t="s">
        <v>25</v>
      </c>
      <c r="H2440" s="11" t="s">
        <v>35</v>
      </c>
      <c r="I2440" s="11" t="s">
        <v>39</v>
      </c>
      <c r="J2440" s="11" t="s">
        <v>250</v>
      </c>
      <c r="K2440" s="11">
        <v>29</v>
      </c>
      <c r="L2440" s="12">
        <v>20</v>
      </c>
      <c r="M2440" s="13">
        <v>580</v>
      </c>
      <c r="N2440" s="11" t="s">
        <v>367</v>
      </c>
      <c r="O2440" s="11" t="s">
        <v>19</v>
      </c>
      <c r="Q2440"/>
    </row>
    <row r="2441" spans="1:17" ht="15.6" x14ac:dyDescent="0.3">
      <c r="A2441" s="15">
        <v>10383</v>
      </c>
      <c r="B2441" s="14">
        <v>38405</v>
      </c>
      <c r="C2441" s="14" t="s">
        <v>279</v>
      </c>
      <c r="D2441" s="15" t="s">
        <v>41</v>
      </c>
      <c r="E2441" s="15" t="s">
        <v>42</v>
      </c>
      <c r="F2441" s="15" t="s">
        <v>43</v>
      </c>
      <c r="G2441" s="15" t="s">
        <v>25</v>
      </c>
      <c r="H2441" s="15" t="s">
        <v>47</v>
      </c>
      <c r="I2441" s="15" t="s">
        <v>119</v>
      </c>
      <c r="J2441" s="15" t="s">
        <v>272</v>
      </c>
      <c r="K2441" s="15">
        <v>38</v>
      </c>
      <c r="L2441" s="16">
        <v>60</v>
      </c>
      <c r="M2441" s="17">
        <v>2280</v>
      </c>
      <c r="N2441" s="15" t="s">
        <v>367</v>
      </c>
      <c r="O2441" s="15" t="s">
        <v>19</v>
      </c>
      <c r="Q2441"/>
    </row>
    <row r="2442" spans="1:17" ht="15.6" x14ac:dyDescent="0.3">
      <c r="A2442" s="11">
        <v>10384</v>
      </c>
      <c r="B2442" s="10">
        <v>38406</v>
      </c>
      <c r="C2442" s="10" t="s">
        <v>321</v>
      </c>
      <c r="D2442" s="11" t="s">
        <v>156</v>
      </c>
      <c r="E2442" s="11" t="s">
        <v>87</v>
      </c>
      <c r="F2442" s="11" t="s">
        <v>15</v>
      </c>
      <c r="G2442" s="11" t="s">
        <v>16</v>
      </c>
      <c r="H2442" s="11" t="s">
        <v>32</v>
      </c>
      <c r="I2442" s="11" t="s">
        <v>44</v>
      </c>
      <c r="J2442" s="11" t="s">
        <v>252</v>
      </c>
      <c r="K2442" s="11">
        <v>34</v>
      </c>
      <c r="L2442" s="12">
        <v>55</v>
      </c>
      <c r="M2442" s="13">
        <v>1870</v>
      </c>
      <c r="N2442" s="11" t="s">
        <v>367</v>
      </c>
      <c r="O2442" s="11" t="s">
        <v>19</v>
      </c>
      <c r="Q2442"/>
    </row>
    <row r="2443" spans="1:17" ht="15.6" x14ac:dyDescent="0.3">
      <c r="A2443" s="15">
        <v>10384</v>
      </c>
      <c r="B2443" s="14">
        <v>38406</v>
      </c>
      <c r="C2443" s="14" t="s">
        <v>321</v>
      </c>
      <c r="D2443" s="15" t="s">
        <v>156</v>
      </c>
      <c r="E2443" s="15" t="s">
        <v>87</v>
      </c>
      <c r="F2443" s="15" t="s">
        <v>15</v>
      </c>
      <c r="G2443" s="15" t="s">
        <v>16</v>
      </c>
      <c r="H2443" s="15" t="s">
        <v>54</v>
      </c>
      <c r="I2443" s="15" t="s">
        <v>55</v>
      </c>
      <c r="J2443" s="15" t="s">
        <v>258</v>
      </c>
      <c r="K2443" s="15">
        <v>28</v>
      </c>
      <c r="L2443" s="16">
        <v>180</v>
      </c>
      <c r="M2443" s="17">
        <v>5040</v>
      </c>
      <c r="N2443" s="15" t="s">
        <v>367</v>
      </c>
      <c r="O2443" s="15" t="s">
        <v>19</v>
      </c>
      <c r="Q2443"/>
    </row>
    <row r="2444" spans="1:17" ht="15.6" x14ac:dyDescent="0.3">
      <c r="A2444" s="11">
        <v>10384</v>
      </c>
      <c r="B2444" s="10">
        <v>38406</v>
      </c>
      <c r="C2444" s="10" t="s">
        <v>321</v>
      </c>
      <c r="D2444" s="11" t="s">
        <v>156</v>
      </c>
      <c r="E2444" s="11" t="s">
        <v>87</v>
      </c>
      <c r="F2444" s="11" t="s">
        <v>15</v>
      </c>
      <c r="G2444" s="11" t="s">
        <v>16</v>
      </c>
      <c r="H2444" s="11" t="s">
        <v>17</v>
      </c>
      <c r="I2444" s="11" t="s">
        <v>18</v>
      </c>
      <c r="J2444" s="11" t="s">
        <v>241</v>
      </c>
      <c r="K2444" s="11">
        <v>43</v>
      </c>
      <c r="L2444" s="12">
        <v>30</v>
      </c>
      <c r="M2444" s="13">
        <v>1290</v>
      </c>
      <c r="N2444" s="11" t="s">
        <v>367</v>
      </c>
      <c r="O2444" s="11" t="s">
        <v>19</v>
      </c>
      <c r="Q2444"/>
    </row>
    <row r="2445" spans="1:17" ht="15.6" x14ac:dyDescent="0.3">
      <c r="A2445" s="15">
        <v>10384</v>
      </c>
      <c r="B2445" s="14">
        <v>38406</v>
      </c>
      <c r="C2445" s="14" t="s">
        <v>321</v>
      </c>
      <c r="D2445" s="15" t="s">
        <v>156</v>
      </c>
      <c r="E2445" s="15" t="s">
        <v>87</v>
      </c>
      <c r="F2445" s="15" t="s">
        <v>15</v>
      </c>
      <c r="G2445" s="15" t="s">
        <v>16</v>
      </c>
      <c r="H2445" s="15" t="s">
        <v>54</v>
      </c>
      <c r="I2445" s="15" t="s">
        <v>56</v>
      </c>
      <c r="J2445" s="15" t="s">
        <v>259</v>
      </c>
      <c r="K2445" s="15">
        <v>49</v>
      </c>
      <c r="L2445" s="16">
        <v>250</v>
      </c>
      <c r="M2445" s="17">
        <v>12250</v>
      </c>
      <c r="N2445" s="15" t="s">
        <v>367</v>
      </c>
      <c r="O2445" s="15" t="s">
        <v>19</v>
      </c>
      <c r="Q2445"/>
    </row>
    <row r="2446" spans="1:17" ht="15.6" x14ac:dyDescent="0.3">
      <c r="A2446" s="11">
        <v>10385</v>
      </c>
      <c r="B2446" s="10">
        <v>38411</v>
      </c>
      <c r="C2446" s="10" t="s">
        <v>288</v>
      </c>
      <c r="D2446" s="11" t="s">
        <v>88</v>
      </c>
      <c r="E2446" s="11" t="s">
        <v>89</v>
      </c>
      <c r="F2446" s="11" t="s">
        <v>15</v>
      </c>
      <c r="G2446" s="11" t="s">
        <v>16</v>
      </c>
      <c r="H2446" s="11" t="s">
        <v>17</v>
      </c>
      <c r="I2446" s="11" t="s">
        <v>18</v>
      </c>
      <c r="J2446" s="11" t="s">
        <v>241</v>
      </c>
      <c r="K2446" s="11">
        <v>37</v>
      </c>
      <c r="L2446" s="12">
        <v>30</v>
      </c>
      <c r="M2446" s="13">
        <v>1110</v>
      </c>
      <c r="N2446" s="11" t="s">
        <v>367</v>
      </c>
      <c r="O2446" s="11" t="s">
        <v>19</v>
      </c>
      <c r="Q2446"/>
    </row>
    <row r="2447" spans="1:17" ht="15.6" x14ac:dyDescent="0.3">
      <c r="A2447" s="15">
        <v>10385</v>
      </c>
      <c r="B2447" s="14">
        <v>38411</v>
      </c>
      <c r="C2447" s="14" t="s">
        <v>288</v>
      </c>
      <c r="D2447" s="15" t="s">
        <v>88</v>
      </c>
      <c r="E2447" s="15" t="s">
        <v>89</v>
      </c>
      <c r="F2447" s="15" t="s">
        <v>15</v>
      </c>
      <c r="G2447" s="15" t="s">
        <v>16</v>
      </c>
      <c r="H2447" s="15" t="s">
        <v>54</v>
      </c>
      <c r="I2447" s="15" t="s">
        <v>55</v>
      </c>
      <c r="J2447" s="15" t="s">
        <v>258</v>
      </c>
      <c r="K2447" s="15">
        <v>25</v>
      </c>
      <c r="L2447" s="16">
        <v>180</v>
      </c>
      <c r="M2447" s="17">
        <v>4500</v>
      </c>
      <c r="N2447" s="15" t="s">
        <v>367</v>
      </c>
      <c r="O2447" s="15" t="s">
        <v>19</v>
      </c>
      <c r="Q2447"/>
    </row>
    <row r="2448" spans="1:17" ht="15.6" x14ac:dyDescent="0.3">
      <c r="A2448" s="11">
        <v>10387</v>
      </c>
      <c r="B2448" s="10">
        <v>38413</v>
      </c>
      <c r="C2448" s="10" t="s">
        <v>292</v>
      </c>
      <c r="D2448" s="11" t="s">
        <v>97</v>
      </c>
      <c r="E2448" s="11" t="s">
        <v>98</v>
      </c>
      <c r="F2448" s="11" t="s">
        <v>98</v>
      </c>
      <c r="G2448" s="11" t="s">
        <v>74</v>
      </c>
      <c r="H2448" s="11" t="s">
        <v>68</v>
      </c>
      <c r="I2448" s="11" t="s">
        <v>70</v>
      </c>
      <c r="J2448" s="11" t="s">
        <v>267</v>
      </c>
      <c r="K2448" s="11">
        <v>44</v>
      </c>
      <c r="L2448" s="12">
        <v>50</v>
      </c>
      <c r="M2448" s="13">
        <v>2200</v>
      </c>
      <c r="N2448" s="11" t="s">
        <v>367</v>
      </c>
      <c r="O2448" s="11" t="s">
        <v>19</v>
      </c>
      <c r="Q2448"/>
    </row>
    <row r="2449" spans="1:17" ht="15.6" x14ac:dyDescent="0.3">
      <c r="A2449" s="15">
        <v>10388</v>
      </c>
      <c r="B2449" s="14">
        <v>38414</v>
      </c>
      <c r="C2449" s="14" t="s">
        <v>325</v>
      </c>
      <c r="D2449" s="15" t="s">
        <v>163</v>
      </c>
      <c r="E2449" s="15" t="s">
        <v>137</v>
      </c>
      <c r="F2449" s="15" t="s">
        <v>15</v>
      </c>
      <c r="G2449" s="15" t="s">
        <v>16</v>
      </c>
      <c r="H2449" s="15" t="s">
        <v>68</v>
      </c>
      <c r="I2449" s="15" t="s">
        <v>69</v>
      </c>
      <c r="J2449" s="15" t="s">
        <v>266</v>
      </c>
      <c r="K2449" s="15">
        <v>42</v>
      </c>
      <c r="L2449" s="16">
        <v>25</v>
      </c>
      <c r="M2449" s="17">
        <v>1050</v>
      </c>
      <c r="N2449" s="15" t="s">
        <v>367</v>
      </c>
      <c r="O2449" s="15" t="s">
        <v>19</v>
      </c>
      <c r="Q2449"/>
    </row>
    <row r="2450" spans="1:17" ht="15.6" x14ac:dyDescent="0.3">
      <c r="A2450" s="11">
        <v>10388</v>
      </c>
      <c r="B2450" s="10">
        <v>38414</v>
      </c>
      <c r="C2450" s="10" t="s">
        <v>325</v>
      </c>
      <c r="D2450" s="11" t="s">
        <v>163</v>
      </c>
      <c r="E2450" s="11" t="s">
        <v>137</v>
      </c>
      <c r="F2450" s="11" t="s">
        <v>15</v>
      </c>
      <c r="G2450" s="11" t="s">
        <v>16</v>
      </c>
      <c r="H2450" s="11" t="s">
        <v>68</v>
      </c>
      <c r="I2450" s="11" t="s">
        <v>69</v>
      </c>
      <c r="J2450" s="11" t="s">
        <v>266</v>
      </c>
      <c r="K2450" s="11">
        <v>50</v>
      </c>
      <c r="L2450" s="12">
        <v>25</v>
      </c>
      <c r="M2450" s="13">
        <v>1250</v>
      </c>
      <c r="N2450" s="11" t="s">
        <v>368</v>
      </c>
      <c r="O2450" s="11" t="s">
        <v>19</v>
      </c>
      <c r="Q2450"/>
    </row>
    <row r="2451" spans="1:17" ht="15.6" x14ac:dyDescent="0.3">
      <c r="A2451" s="15">
        <v>10388</v>
      </c>
      <c r="B2451" s="14">
        <v>38414</v>
      </c>
      <c r="C2451" s="14" t="s">
        <v>325</v>
      </c>
      <c r="D2451" s="15" t="s">
        <v>163</v>
      </c>
      <c r="E2451" s="15" t="s">
        <v>137</v>
      </c>
      <c r="F2451" s="15" t="s">
        <v>15</v>
      </c>
      <c r="G2451" s="15" t="s">
        <v>16</v>
      </c>
      <c r="H2451" s="15" t="s">
        <v>68</v>
      </c>
      <c r="I2451" s="15" t="s">
        <v>69</v>
      </c>
      <c r="J2451" s="15" t="s">
        <v>266</v>
      </c>
      <c r="K2451" s="15">
        <v>21</v>
      </c>
      <c r="L2451" s="16">
        <v>25</v>
      </c>
      <c r="M2451" s="17">
        <v>525</v>
      </c>
      <c r="N2451" s="15" t="s">
        <v>367</v>
      </c>
      <c r="O2451" s="15" t="s">
        <v>19</v>
      </c>
      <c r="Q2451"/>
    </row>
    <row r="2452" spans="1:17" ht="15.6" x14ac:dyDescent="0.3">
      <c r="A2452" s="11">
        <v>10389</v>
      </c>
      <c r="B2452" s="10">
        <v>38414</v>
      </c>
      <c r="C2452" s="10" t="s">
        <v>326</v>
      </c>
      <c r="D2452" s="11" t="s">
        <v>164</v>
      </c>
      <c r="E2452" s="11" t="s">
        <v>165</v>
      </c>
      <c r="F2452" s="11" t="s">
        <v>85</v>
      </c>
      <c r="G2452" s="11" t="s">
        <v>25</v>
      </c>
      <c r="H2452" s="11" t="s">
        <v>32</v>
      </c>
      <c r="I2452" s="11" t="s">
        <v>33</v>
      </c>
      <c r="J2452" s="11" t="s">
        <v>245</v>
      </c>
      <c r="K2452" s="11">
        <v>26</v>
      </c>
      <c r="L2452" s="12">
        <v>85</v>
      </c>
      <c r="M2452" s="13">
        <v>2210</v>
      </c>
      <c r="N2452" s="11" t="s">
        <v>367</v>
      </c>
      <c r="O2452" s="11" t="s">
        <v>19</v>
      </c>
      <c r="Q2452"/>
    </row>
    <row r="2453" spans="1:17" ht="15.6" x14ac:dyDescent="0.3">
      <c r="A2453" s="15">
        <v>10388</v>
      </c>
      <c r="B2453" s="14">
        <v>38414</v>
      </c>
      <c r="C2453" s="14" t="s">
        <v>325</v>
      </c>
      <c r="D2453" s="15" t="s">
        <v>163</v>
      </c>
      <c r="E2453" s="15" t="s">
        <v>137</v>
      </c>
      <c r="F2453" s="15" t="s">
        <v>15</v>
      </c>
      <c r="G2453" s="15" t="s">
        <v>16</v>
      </c>
      <c r="H2453" s="15" t="s">
        <v>68</v>
      </c>
      <c r="I2453" s="15" t="s">
        <v>76</v>
      </c>
      <c r="J2453" s="15" t="s">
        <v>269</v>
      </c>
      <c r="K2453" s="15">
        <v>44</v>
      </c>
      <c r="L2453" s="16">
        <v>30</v>
      </c>
      <c r="M2453" s="17">
        <v>1320</v>
      </c>
      <c r="N2453" s="15" t="s">
        <v>367</v>
      </c>
      <c r="O2453" s="15" t="s">
        <v>19</v>
      </c>
      <c r="Q2453"/>
    </row>
    <row r="2454" spans="1:17" ht="15.6" x14ac:dyDescent="0.3">
      <c r="A2454" s="11">
        <v>10389</v>
      </c>
      <c r="B2454" s="10">
        <v>38414</v>
      </c>
      <c r="C2454" s="10" t="s">
        <v>326</v>
      </c>
      <c r="D2454" s="11" t="s">
        <v>164</v>
      </c>
      <c r="E2454" s="11" t="s">
        <v>165</v>
      </c>
      <c r="F2454" s="11" t="s">
        <v>85</v>
      </c>
      <c r="G2454" s="11" t="s">
        <v>25</v>
      </c>
      <c r="H2454" s="11" t="s">
        <v>32</v>
      </c>
      <c r="I2454" s="11" t="s">
        <v>34</v>
      </c>
      <c r="J2454" s="11" t="s">
        <v>246</v>
      </c>
      <c r="K2454" s="11">
        <v>25</v>
      </c>
      <c r="L2454" s="12">
        <v>80</v>
      </c>
      <c r="M2454" s="13">
        <v>2000</v>
      </c>
      <c r="N2454" s="11" t="s">
        <v>367</v>
      </c>
      <c r="O2454" s="11" t="s">
        <v>19</v>
      </c>
      <c r="Q2454"/>
    </row>
    <row r="2455" spans="1:17" ht="15.6" x14ac:dyDescent="0.3">
      <c r="A2455" s="15">
        <v>10389</v>
      </c>
      <c r="B2455" s="14">
        <v>38414</v>
      </c>
      <c r="C2455" s="14" t="s">
        <v>326</v>
      </c>
      <c r="D2455" s="15" t="s">
        <v>164</v>
      </c>
      <c r="E2455" s="15" t="s">
        <v>165</v>
      </c>
      <c r="F2455" s="15" t="s">
        <v>85</v>
      </c>
      <c r="G2455" s="15" t="s">
        <v>25</v>
      </c>
      <c r="H2455" s="15" t="s">
        <v>32</v>
      </c>
      <c r="I2455" s="15" t="s">
        <v>44</v>
      </c>
      <c r="J2455" s="15" t="s">
        <v>252</v>
      </c>
      <c r="K2455" s="15">
        <v>36</v>
      </c>
      <c r="L2455" s="16">
        <v>55</v>
      </c>
      <c r="M2455" s="17">
        <v>1980</v>
      </c>
      <c r="N2455" s="15" t="s">
        <v>367</v>
      </c>
      <c r="O2455" s="15" t="s">
        <v>19</v>
      </c>
      <c r="Q2455"/>
    </row>
    <row r="2456" spans="1:17" ht="15.6" x14ac:dyDescent="0.3">
      <c r="A2456" s="11">
        <v>10389</v>
      </c>
      <c r="B2456" s="10">
        <v>38414</v>
      </c>
      <c r="C2456" s="10" t="s">
        <v>326</v>
      </c>
      <c r="D2456" s="11" t="s">
        <v>164</v>
      </c>
      <c r="E2456" s="11" t="s">
        <v>165</v>
      </c>
      <c r="F2456" s="11" t="s">
        <v>85</v>
      </c>
      <c r="G2456" s="11" t="s">
        <v>25</v>
      </c>
      <c r="H2456" s="11" t="s">
        <v>32</v>
      </c>
      <c r="I2456" s="11" t="s">
        <v>44</v>
      </c>
      <c r="J2456" s="11" t="s">
        <v>252</v>
      </c>
      <c r="K2456" s="11">
        <v>47</v>
      </c>
      <c r="L2456" s="12">
        <v>55</v>
      </c>
      <c r="M2456" s="13">
        <v>2585</v>
      </c>
      <c r="N2456" s="11" t="s">
        <v>367</v>
      </c>
      <c r="O2456" s="11" t="s">
        <v>19</v>
      </c>
      <c r="Q2456"/>
    </row>
    <row r="2457" spans="1:17" ht="15.6" x14ac:dyDescent="0.3">
      <c r="A2457" s="15">
        <v>10389</v>
      </c>
      <c r="B2457" s="14">
        <v>38414</v>
      </c>
      <c r="C2457" s="14" t="s">
        <v>326</v>
      </c>
      <c r="D2457" s="15" t="s">
        <v>164</v>
      </c>
      <c r="E2457" s="15" t="s">
        <v>165</v>
      </c>
      <c r="F2457" s="15" t="s">
        <v>85</v>
      </c>
      <c r="G2457" s="15" t="s">
        <v>25</v>
      </c>
      <c r="H2457" s="15" t="s">
        <v>32</v>
      </c>
      <c r="I2457" s="15" t="s">
        <v>46</v>
      </c>
      <c r="J2457" s="15" t="s">
        <v>254</v>
      </c>
      <c r="K2457" s="15">
        <v>49</v>
      </c>
      <c r="L2457" s="16">
        <v>90</v>
      </c>
      <c r="M2457" s="17">
        <v>4410</v>
      </c>
      <c r="N2457" s="15" t="s">
        <v>367</v>
      </c>
      <c r="O2457" s="15" t="s">
        <v>19</v>
      </c>
      <c r="Q2457"/>
    </row>
    <row r="2458" spans="1:17" ht="15.6" x14ac:dyDescent="0.3">
      <c r="A2458" s="11">
        <v>10389</v>
      </c>
      <c r="B2458" s="10">
        <v>38414</v>
      </c>
      <c r="C2458" s="10" t="s">
        <v>326</v>
      </c>
      <c r="D2458" s="11" t="s">
        <v>164</v>
      </c>
      <c r="E2458" s="11" t="s">
        <v>165</v>
      </c>
      <c r="F2458" s="11" t="s">
        <v>85</v>
      </c>
      <c r="G2458" s="11" t="s">
        <v>25</v>
      </c>
      <c r="H2458" s="11" t="s">
        <v>68</v>
      </c>
      <c r="I2458" s="11" t="s">
        <v>76</v>
      </c>
      <c r="J2458" s="11" t="s">
        <v>269</v>
      </c>
      <c r="K2458" s="11">
        <v>39</v>
      </c>
      <c r="L2458" s="12">
        <v>30</v>
      </c>
      <c r="M2458" s="13">
        <v>1170</v>
      </c>
      <c r="N2458" s="11" t="s">
        <v>367</v>
      </c>
      <c r="O2458" s="11" t="s">
        <v>19</v>
      </c>
      <c r="Q2458"/>
    </row>
    <row r="2459" spans="1:17" ht="15.6" x14ac:dyDescent="0.3">
      <c r="A2459" s="15">
        <v>10389</v>
      </c>
      <c r="B2459" s="14">
        <v>38414</v>
      </c>
      <c r="C2459" s="14" t="s">
        <v>326</v>
      </c>
      <c r="D2459" s="15" t="s">
        <v>164</v>
      </c>
      <c r="E2459" s="15" t="s">
        <v>165</v>
      </c>
      <c r="F2459" s="15" t="s">
        <v>85</v>
      </c>
      <c r="G2459" s="15" t="s">
        <v>25</v>
      </c>
      <c r="H2459" s="15" t="s">
        <v>68</v>
      </c>
      <c r="I2459" s="15" t="s">
        <v>75</v>
      </c>
      <c r="J2459" s="15" t="s">
        <v>268</v>
      </c>
      <c r="K2459" s="15">
        <v>45</v>
      </c>
      <c r="L2459" s="16">
        <v>35</v>
      </c>
      <c r="M2459" s="17">
        <v>1575</v>
      </c>
      <c r="N2459" s="15" t="s">
        <v>367</v>
      </c>
      <c r="O2459" s="15" t="s">
        <v>19</v>
      </c>
      <c r="Q2459"/>
    </row>
    <row r="2460" spans="1:17" ht="15.6" x14ac:dyDescent="0.3">
      <c r="A2460" s="11">
        <v>10389</v>
      </c>
      <c r="B2460" s="10">
        <v>38414</v>
      </c>
      <c r="C2460" s="10" t="s">
        <v>326</v>
      </c>
      <c r="D2460" s="11" t="s">
        <v>164</v>
      </c>
      <c r="E2460" s="11" t="s">
        <v>165</v>
      </c>
      <c r="F2460" s="11" t="s">
        <v>85</v>
      </c>
      <c r="G2460" s="11" t="s">
        <v>25</v>
      </c>
      <c r="H2460" s="11" t="s">
        <v>68</v>
      </c>
      <c r="I2460" s="11" t="s">
        <v>70</v>
      </c>
      <c r="J2460" s="11" t="s">
        <v>267</v>
      </c>
      <c r="K2460" s="11">
        <v>49</v>
      </c>
      <c r="L2460" s="12">
        <v>50</v>
      </c>
      <c r="M2460" s="13">
        <v>2450</v>
      </c>
      <c r="N2460" s="11" t="s">
        <v>367</v>
      </c>
      <c r="O2460" s="11" t="s">
        <v>19</v>
      </c>
      <c r="Q2460"/>
    </row>
    <row r="2461" spans="1:17" ht="15.6" x14ac:dyDescent="0.3">
      <c r="A2461" s="15">
        <v>10388</v>
      </c>
      <c r="B2461" s="14">
        <v>38414</v>
      </c>
      <c r="C2461" s="14" t="s">
        <v>325</v>
      </c>
      <c r="D2461" s="15" t="s">
        <v>163</v>
      </c>
      <c r="E2461" s="15" t="s">
        <v>137</v>
      </c>
      <c r="F2461" s="15" t="s">
        <v>15</v>
      </c>
      <c r="G2461" s="15" t="s">
        <v>16</v>
      </c>
      <c r="H2461" s="15" t="s">
        <v>17</v>
      </c>
      <c r="I2461" s="15" t="s">
        <v>82</v>
      </c>
      <c r="J2461" s="15" t="s">
        <v>270</v>
      </c>
      <c r="K2461" s="15">
        <v>35</v>
      </c>
      <c r="L2461" s="16">
        <v>75</v>
      </c>
      <c r="M2461" s="17">
        <v>2625</v>
      </c>
      <c r="N2461" s="15" t="s">
        <v>367</v>
      </c>
      <c r="O2461" s="15" t="s">
        <v>19</v>
      </c>
      <c r="Q2461"/>
    </row>
    <row r="2462" spans="1:17" ht="15.6" x14ac:dyDescent="0.3">
      <c r="A2462" s="11">
        <v>10388</v>
      </c>
      <c r="B2462" s="10">
        <v>38414</v>
      </c>
      <c r="C2462" s="10" t="s">
        <v>325</v>
      </c>
      <c r="D2462" s="11" t="s">
        <v>163</v>
      </c>
      <c r="E2462" s="11" t="s">
        <v>137</v>
      </c>
      <c r="F2462" s="11" t="s">
        <v>15</v>
      </c>
      <c r="G2462" s="11" t="s">
        <v>16</v>
      </c>
      <c r="H2462" s="11" t="s">
        <v>17</v>
      </c>
      <c r="I2462" s="11" t="s">
        <v>20</v>
      </c>
      <c r="J2462" s="11" t="s">
        <v>242</v>
      </c>
      <c r="K2462" s="11">
        <v>27</v>
      </c>
      <c r="L2462" s="12">
        <v>48</v>
      </c>
      <c r="M2462" s="13">
        <v>1296</v>
      </c>
      <c r="N2462" s="11" t="s">
        <v>367</v>
      </c>
      <c r="O2462" s="11" t="s">
        <v>19</v>
      </c>
      <c r="Q2462"/>
    </row>
    <row r="2463" spans="1:17" ht="15.6" x14ac:dyDescent="0.3">
      <c r="A2463" s="15">
        <v>10388</v>
      </c>
      <c r="B2463" s="14">
        <v>38414</v>
      </c>
      <c r="C2463" s="14" t="s">
        <v>325</v>
      </c>
      <c r="D2463" s="15" t="s">
        <v>163</v>
      </c>
      <c r="E2463" s="15" t="s">
        <v>137</v>
      </c>
      <c r="F2463" s="15" t="s">
        <v>15</v>
      </c>
      <c r="G2463" s="15" t="s">
        <v>16</v>
      </c>
      <c r="H2463" s="15" t="s">
        <v>61</v>
      </c>
      <c r="I2463" s="15" t="s">
        <v>62</v>
      </c>
      <c r="J2463" s="15" t="s">
        <v>261</v>
      </c>
      <c r="K2463" s="15">
        <v>46</v>
      </c>
      <c r="L2463" s="16">
        <v>15</v>
      </c>
      <c r="M2463" s="17">
        <v>690</v>
      </c>
      <c r="N2463" s="15" t="s">
        <v>367</v>
      </c>
      <c r="O2463" s="15" t="s">
        <v>19</v>
      </c>
      <c r="Q2463"/>
    </row>
    <row r="2464" spans="1:17" ht="15.6" x14ac:dyDescent="0.3">
      <c r="A2464" s="11">
        <v>10388</v>
      </c>
      <c r="B2464" s="10">
        <v>38414</v>
      </c>
      <c r="C2464" s="10" t="s">
        <v>325</v>
      </c>
      <c r="D2464" s="11" t="s">
        <v>163</v>
      </c>
      <c r="E2464" s="11" t="s">
        <v>137</v>
      </c>
      <c r="F2464" s="11" t="s">
        <v>15</v>
      </c>
      <c r="G2464" s="11" t="s">
        <v>16</v>
      </c>
      <c r="H2464" s="11" t="s">
        <v>61</v>
      </c>
      <c r="I2464" s="11" t="s">
        <v>65</v>
      </c>
      <c r="J2464" s="11" t="s">
        <v>264</v>
      </c>
      <c r="K2464" s="11">
        <v>50</v>
      </c>
      <c r="L2464" s="12">
        <v>30</v>
      </c>
      <c r="M2464" s="13">
        <v>1500</v>
      </c>
      <c r="N2464" s="11" t="s">
        <v>368</v>
      </c>
      <c r="O2464" s="11" t="s">
        <v>19</v>
      </c>
      <c r="Q2464"/>
    </row>
    <row r="2465" spans="1:17" ht="15.6" x14ac:dyDescent="0.3">
      <c r="A2465" s="15">
        <v>10390</v>
      </c>
      <c r="B2465" s="14">
        <v>38415</v>
      </c>
      <c r="C2465" s="14" t="s">
        <v>288</v>
      </c>
      <c r="D2465" s="15" t="s">
        <v>88</v>
      </c>
      <c r="E2465" s="15" t="s">
        <v>89</v>
      </c>
      <c r="F2465" s="15" t="s">
        <v>15</v>
      </c>
      <c r="G2465" s="15" t="s">
        <v>16</v>
      </c>
      <c r="H2465" s="15" t="s">
        <v>32</v>
      </c>
      <c r="I2465" s="15" t="s">
        <v>44</v>
      </c>
      <c r="J2465" s="15" t="s">
        <v>252</v>
      </c>
      <c r="K2465" s="15">
        <v>36</v>
      </c>
      <c r="L2465" s="16">
        <v>55</v>
      </c>
      <c r="M2465" s="17">
        <v>1980</v>
      </c>
      <c r="N2465" s="15" t="s">
        <v>367</v>
      </c>
      <c r="O2465" s="15" t="s">
        <v>19</v>
      </c>
      <c r="Q2465"/>
    </row>
    <row r="2466" spans="1:17" ht="15.6" x14ac:dyDescent="0.3">
      <c r="A2466" s="11">
        <v>10390</v>
      </c>
      <c r="B2466" s="10">
        <v>38415</v>
      </c>
      <c r="C2466" s="10" t="s">
        <v>288</v>
      </c>
      <c r="D2466" s="11" t="s">
        <v>88</v>
      </c>
      <c r="E2466" s="11" t="s">
        <v>89</v>
      </c>
      <c r="F2466" s="11" t="s">
        <v>15</v>
      </c>
      <c r="G2466" s="11" t="s">
        <v>16</v>
      </c>
      <c r="H2466" s="11" t="s">
        <v>32</v>
      </c>
      <c r="I2466" s="11" t="s">
        <v>44</v>
      </c>
      <c r="J2466" s="11" t="s">
        <v>252</v>
      </c>
      <c r="K2466" s="11">
        <v>34</v>
      </c>
      <c r="L2466" s="12">
        <v>55</v>
      </c>
      <c r="M2466" s="13">
        <v>1870</v>
      </c>
      <c r="N2466" s="11" t="s">
        <v>367</v>
      </c>
      <c r="O2466" s="11" t="s">
        <v>19</v>
      </c>
      <c r="Q2466"/>
    </row>
    <row r="2467" spans="1:17" ht="15.6" x14ac:dyDescent="0.3">
      <c r="A2467" s="15">
        <v>10390</v>
      </c>
      <c r="B2467" s="14">
        <v>38415</v>
      </c>
      <c r="C2467" s="14" t="s">
        <v>288</v>
      </c>
      <c r="D2467" s="15" t="s">
        <v>88</v>
      </c>
      <c r="E2467" s="15" t="s">
        <v>89</v>
      </c>
      <c r="F2467" s="15" t="s">
        <v>15</v>
      </c>
      <c r="G2467" s="15" t="s">
        <v>16</v>
      </c>
      <c r="H2467" s="15" t="s">
        <v>17</v>
      </c>
      <c r="I2467" s="15" t="s">
        <v>20</v>
      </c>
      <c r="J2467" s="15" t="s">
        <v>242</v>
      </c>
      <c r="K2467" s="15">
        <v>31</v>
      </c>
      <c r="L2467" s="16">
        <v>48</v>
      </c>
      <c r="M2467" s="17">
        <v>1488</v>
      </c>
      <c r="N2467" s="15" t="s">
        <v>367</v>
      </c>
      <c r="O2467" s="15" t="s">
        <v>19</v>
      </c>
      <c r="Q2467"/>
    </row>
    <row r="2468" spans="1:17" ht="15.6" x14ac:dyDescent="0.3">
      <c r="A2468" s="11">
        <v>10390</v>
      </c>
      <c r="B2468" s="10">
        <v>38415</v>
      </c>
      <c r="C2468" s="10" t="s">
        <v>288</v>
      </c>
      <c r="D2468" s="11" t="s">
        <v>88</v>
      </c>
      <c r="E2468" s="11" t="s">
        <v>89</v>
      </c>
      <c r="F2468" s="11" t="s">
        <v>15</v>
      </c>
      <c r="G2468" s="11" t="s">
        <v>16</v>
      </c>
      <c r="H2468" s="11" t="s">
        <v>17</v>
      </c>
      <c r="I2468" s="11" t="s">
        <v>52</v>
      </c>
      <c r="J2468" s="11" t="s">
        <v>256</v>
      </c>
      <c r="K2468" s="11">
        <v>26</v>
      </c>
      <c r="L2468" s="12">
        <v>45</v>
      </c>
      <c r="M2468" s="13">
        <v>1170</v>
      </c>
      <c r="N2468" s="11" t="s">
        <v>367</v>
      </c>
      <c r="O2468" s="11" t="s">
        <v>19</v>
      </c>
      <c r="Q2468"/>
    </row>
    <row r="2469" spans="1:17" ht="15.6" x14ac:dyDescent="0.3">
      <c r="A2469" s="15">
        <v>10390</v>
      </c>
      <c r="B2469" s="14">
        <v>38415</v>
      </c>
      <c r="C2469" s="14" t="s">
        <v>288</v>
      </c>
      <c r="D2469" s="15" t="s">
        <v>88</v>
      </c>
      <c r="E2469" s="15" t="s">
        <v>89</v>
      </c>
      <c r="F2469" s="15" t="s">
        <v>15</v>
      </c>
      <c r="G2469" s="15" t="s">
        <v>16</v>
      </c>
      <c r="H2469" s="15" t="s">
        <v>32</v>
      </c>
      <c r="I2469" s="15" t="s">
        <v>46</v>
      </c>
      <c r="J2469" s="15" t="s">
        <v>254</v>
      </c>
      <c r="K2469" s="15">
        <v>40</v>
      </c>
      <c r="L2469" s="16">
        <v>90</v>
      </c>
      <c r="M2469" s="17">
        <v>3600</v>
      </c>
      <c r="N2469" s="15" t="s">
        <v>367</v>
      </c>
      <c r="O2469" s="15" t="s">
        <v>19</v>
      </c>
      <c r="Q2469"/>
    </row>
    <row r="2470" spans="1:17" ht="15.6" x14ac:dyDescent="0.3">
      <c r="A2470" s="11">
        <v>10390</v>
      </c>
      <c r="B2470" s="10">
        <v>38415</v>
      </c>
      <c r="C2470" s="10" t="s">
        <v>288</v>
      </c>
      <c r="D2470" s="11" t="s">
        <v>88</v>
      </c>
      <c r="E2470" s="11" t="s">
        <v>89</v>
      </c>
      <c r="F2470" s="11" t="s">
        <v>15</v>
      </c>
      <c r="G2470" s="11" t="s">
        <v>16</v>
      </c>
      <c r="H2470" s="11" t="s">
        <v>32</v>
      </c>
      <c r="I2470" s="11" t="s">
        <v>45</v>
      </c>
      <c r="J2470" s="11" t="s">
        <v>253</v>
      </c>
      <c r="K2470" s="11">
        <v>50</v>
      </c>
      <c r="L2470" s="12">
        <v>35</v>
      </c>
      <c r="M2470" s="13">
        <v>1750</v>
      </c>
      <c r="N2470" s="11" t="s">
        <v>368</v>
      </c>
      <c r="O2470" s="11" t="s">
        <v>19</v>
      </c>
      <c r="Q2470"/>
    </row>
    <row r="2471" spans="1:17" ht="15.6" x14ac:dyDescent="0.3">
      <c r="A2471" s="15">
        <v>10390</v>
      </c>
      <c r="B2471" s="14">
        <v>38415</v>
      </c>
      <c r="C2471" s="14" t="s">
        <v>288</v>
      </c>
      <c r="D2471" s="15" t="s">
        <v>88</v>
      </c>
      <c r="E2471" s="15" t="s">
        <v>89</v>
      </c>
      <c r="F2471" s="15" t="s">
        <v>15</v>
      </c>
      <c r="G2471" s="15" t="s">
        <v>16</v>
      </c>
      <c r="H2471" s="15" t="s">
        <v>68</v>
      </c>
      <c r="I2471" s="15" t="s">
        <v>69</v>
      </c>
      <c r="J2471" s="15" t="s">
        <v>266</v>
      </c>
      <c r="K2471" s="15">
        <v>36</v>
      </c>
      <c r="L2471" s="16">
        <v>25</v>
      </c>
      <c r="M2471" s="17">
        <v>900</v>
      </c>
      <c r="N2471" s="15" t="s">
        <v>367</v>
      </c>
      <c r="O2471" s="15" t="s">
        <v>19</v>
      </c>
      <c r="Q2471"/>
    </row>
    <row r="2472" spans="1:17" ht="15.6" x14ac:dyDescent="0.3">
      <c r="A2472" s="11">
        <v>10390</v>
      </c>
      <c r="B2472" s="10">
        <v>38415</v>
      </c>
      <c r="C2472" s="10" t="s">
        <v>288</v>
      </c>
      <c r="D2472" s="11" t="s">
        <v>88</v>
      </c>
      <c r="E2472" s="11" t="s">
        <v>89</v>
      </c>
      <c r="F2472" s="11" t="s">
        <v>15</v>
      </c>
      <c r="G2472" s="11" t="s">
        <v>16</v>
      </c>
      <c r="H2472" s="11" t="s">
        <v>32</v>
      </c>
      <c r="I2472" s="11" t="s">
        <v>46</v>
      </c>
      <c r="J2472" s="11" t="s">
        <v>254</v>
      </c>
      <c r="K2472" s="11">
        <v>49</v>
      </c>
      <c r="L2472" s="12">
        <v>90</v>
      </c>
      <c r="M2472" s="13">
        <v>4410</v>
      </c>
      <c r="N2472" s="11" t="s">
        <v>367</v>
      </c>
      <c r="O2472" s="11" t="s">
        <v>19</v>
      </c>
      <c r="Q2472"/>
    </row>
    <row r="2473" spans="1:17" ht="15.6" x14ac:dyDescent="0.3">
      <c r="A2473" s="15">
        <v>10390</v>
      </c>
      <c r="B2473" s="14">
        <v>38415</v>
      </c>
      <c r="C2473" s="14" t="s">
        <v>288</v>
      </c>
      <c r="D2473" s="15" t="s">
        <v>88</v>
      </c>
      <c r="E2473" s="15" t="s">
        <v>89</v>
      </c>
      <c r="F2473" s="15" t="s">
        <v>15</v>
      </c>
      <c r="G2473" s="15" t="s">
        <v>16</v>
      </c>
      <c r="H2473" s="15" t="s">
        <v>68</v>
      </c>
      <c r="I2473" s="15" t="s">
        <v>69</v>
      </c>
      <c r="J2473" s="15" t="s">
        <v>266</v>
      </c>
      <c r="K2473" s="15">
        <v>35</v>
      </c>
      <c r="L2473" s="16">
        <v>25</v>
      </c>
      <c r="M2473" s="17">
        <v>875</v>
      </c>
      <c r="N2473" s="15" t="s">
        <v>367</v>
      </c>
      <c r="O2473" s="15" t="s">
        <v>19</v>
      </c>
      <c r="Q2473"/>
    </row>
    <row r="2474" spans="1:17" ht="15.6" x14ac:dyDescent="0.3">
      <c r="A2474" s="11">
        <v>10390</v>
      </c>
      <c r="B2474" s="10">
        <v>38415</v>
      </c>
      <c r="C2474" s="10" t="s">
        <v>288</v>
      </c>
      <c r="D2474" s="11" t="s">
        <v>88</v>
      </c>
      <c r="E2474" s="11" t="s">
        <v>89</v>
      </c>
      <c r="F2474" s="11" t="s">
        <v>15</v>
      </c>
      <c r="G2474" s="11" t="s">
        <v>16</v>
      </c>
      <c r="H2474" s="11" t="s">
        <v>32</v>
      </c>
      <c r="I2474" s="11" t="s">
        <v>45</v>
      </c>
      <c r="J2474" s="11" t="s">
        <v>253</v>
      </c>
      <c r="K2474" s="11">
        <v>37</v>
      </c>
      <c r="L2474" s="12">
        <v>35</v>
      </c>
      <c r="M2474" s="13">
        <v>1295</v>
      </c>
      <c r="N2474" s="11" t="s">
        <v>367</v>
      </c>
      <c r="O2474" s="11" t="s">
        <v>19</v>
      </c>
      <c r="Q2474"/>
    </row>
    <row r="2475" spans="1:17" ht="15.6" x14ac:dyDescent="0.3">
      <c r="A2475" s="15">
        <v>10390</v>
      </c>
      <c r="B2475" s="14">
        <v>38415</v>
      </c>
      <c r="C2475" s="14" t="s">
        <v>288</v>
      </c>
      <c r="D2475" s="15" t="s">
        <v>88</v>
      </c>
      <c r="E2475" s="15" t="s">
        <v>89</v>
      </c>
      <c r="F2475" s="15" t="s">
        <v>15</v>
      </c>
      <c r="G2475" s="15" t="s">
        <v>16</v>
      </c>
      <c r="H2475" s="15" t="s">
        <v>32</v>
      </c>
      <c r="I2475" s="15" t="s">
        <v>33</v>
      </c>
      <c r="J2475" s="15" t="s">
        <v>245</v>
      </c>
      <c r="K2475" s="15">
        <v>46</v>
      </c>
      <c r="L2475" s="16">
        <v>85</v>
      </c>
      <c r="M2475" s="17">
        <v>3910</v>
      </c>
      <c r="N2475" s="15" t="s">
        <v>367</v>
      </c>
      <c r="O2475" s="15" t="s">
        <v>19</v>
      </c>
      <c r="Q2475"/>
    </row>
    <row r="2476" spans="1:17" ht="15.6" x14ac:dyDescent="0.3">
      <c r="A2476" s="11">
        <v>10390</v>
      </c>
      <c r="B2476" s="10">
        <v>38415</v>
      </c>
      <c r="C2476" s="10" t="s">
        <v>288</v>
      </c>
      <c r="D2476" s="11" t="s">
        <v>88</v>
      </c>
      <c r="E2476" s="11" t="s">
        <v>89</v>
      </c>
      <c r="F2476" s="11" t="s">
        <v>15</v>
      </c>
      <c r="G2476" s="11" t="s">
        <v>16</v>
      </c>
      <c r="H2476" s="11" t="s">
        <v>32</v>
      </c>
      <c r="I2476" s="11" t="s">
        <v>46</v>
      </c>
      <c r="J2476" s="11" t="s">
        <v>254</v>
      </c>
      <c r="K2476" s="11">
        <v>45</v>
      </c>
      <c r="L2476" s="12">
        <v>90</v>
      </c>
      <c r="M2476" s="13">
        <v>4050</v>
      </c>
      <c r="N2476" s="11" t="s">
        <v>367</v>
      </c>
      <c r="O2476" s="11" t="s">
        <v>19</v>
      </c>
      <c r="Q2476"/>
    </row>
    <row r="2477" spans="1:17" ht="15.6" x14ac:dyDescent="0.3">
      <c r="A2477" s="15">
        <v>10390</v>
      </c>
      <c r="B2477" s="14">
        <v>38415</v>
      </c>
      <c r="C2477" s="14" t="s">
        <v>288</v>
      </c>
      <c r="D2477" s="15" t="s">
        <v>88</v>
      </c>
      <c r="E2477" s="15" t="s">
        <v>89</v>
      </c>
      <c r="F2477" s="15" t="s">
        <v>15</v>
      </c>
      <c r="G2477" s="15" t="s">
        <v>16</v>
      </c>
      <c r="H2477" s="15" t="s">
        <v>32</v>
      </c>
      <c r="I2477" s="15" t="s">
        <v>44</v>
      </c>
      <c r="J2477" s="15" t="s">
        <v>252</v>
      </c>
      <c r="K2477" s="15">
        <v>30</v>
      </c>
      <c r="L2477" s="16">
        <v>55</v>
      </c>
      <c r="M2477" s="17">
        <v>1650</v>
      </c>
      <c r="N2477" s="15" t="s">
        <v>367</v>
      </c>
      <c r="O2477" s="15" t="s">
        <v>19</v>
      </c>
      <c r="Q2477"/>
    </row>
    <row r="2478" spans="1:17" ht="15.6" x14ac:dyDescent="0.3">
      <c r="A2478" s="11">
        <v>10390</v>
      </c>
      <c r="B2478" s="10">
        <v>38415</v>
      </c>
      <c r="C2478" s="10" t="s">
        <v>288</v>
      </c>
      <c r="D2478" s="11" t="s">
        <v>88</v>
      </c>
      <c r="E2478" s="11" t="s">
        <v>89</v>
      </c>
      <c r="F2478" s="11" t="s">
        <v>15</v>
      </c>
      <c r="G2478" s="11" t="s">
        <v>16</v>
      </c>
      <c r="H2478" s="11" t="s">
        <v>68</v>
      </c>
      <c r="I2478" s="11" t="s">
        <v>70</v>
      </c>
      <c r="J2478" s="11" t="s">
        <v>267</v>
      </c>
      <c r="K2478" s="11">
        <v>41</v>
      </c>
      <c r="L2478" s="12">
        <v>50</v>
      </c>
      <c r="M2478" s="13">
        <v>2050</v>
      </c>
      <c r="N2478" s="11" t="s">
        <v>367</v>
      </c>
      <c r="O2478" s="11" t="s">
        <v>19</v>
      </c>
      <c r="Q2478"/>
    </row>
    <row r="2479" spans="1:17" ht="15.6" x14ac:dyDescent="0.3">
      <c r="A2479" s="15">
        <v>10390</v>
      </c>
      <c r="B2479" s="14">
        <v>38415</v>
      </c>
      <c r="C2479" s="14" t="s">
        <v>288</v>
      </c>
      <c r="D2479" s="15" t="s">
        <v>88</v>
      </c>
      <c r="E2479" s="15" t="s">
        <v>89</v>
      </c>
      <c r="F2479" s="15" t="s">
        <v>15</v>
      </c>
      <c r="G2479" s="15" t="s">
        <v>16</v>
      </c>
      <c r="H2479" s="15" t="s">
        <v>68</v>
      </c>
      <c r="I2479" s="15" t="s">
        <v>70</v>
      </c>
      <c r="J2479" s="15" t="s">
        <v>267</v>
      </c>
      <c r="K2479" s="15">
        <v>45</v>
      </c>
      <c r="L2479" s="16">
        <v>50</v>
      </c>
      <c r="M2479" s="17">
        <v>2250</v>
      </c>
      <c r="N2479" s="15" t="s">
        <v>367</v>
      </c>
      <c r="O2479" s="15" t="s">
        <v>19</v>
      </c>
      <c r="Q2479"/>
    </row>
    <row r="2480" spans="1:17" ht="15.6" x14ac:dyDescent="0.3">
      <c r="A2480" s="11">
        <v>10390</v>
      </c>
      <c r="B2480" s="10">
        <v>38415</v>
      </c>
      <c r="C2480" s="10" t="s">
        <v>288</v>
      </c>
      <c r="D2480" s="11" t="s">
        <v>88</v>
      </c>
      <c r="E2480" s="11" t="s">
        <v>89</v>
      </c>
      <c r="F2480" s="11" t="s">
        <v>15</v>
      </c>
      <c r="G2480" s="11" t="s">
        <v>16</v>
      </c>
      <c r="H2480" s="11" t="s">
        <v>68</v>
      </c>
      <c r="I2480" s="11" t="s">
        <v>69</v>
      </c>
      <c r="J2480" s="11" t="s">
        <v>266</v>
      </c>
      <c r="K2480" s="11">
        <v>22</v>
      </c>
      <c r="L2480" s="12">
        <v>25</v>
      </c>
      <c r="M2480" s="13">
        <v>550</v>
      </c>
      <c r="N2480" s="11" t="s">
        <v>367</v>
      </c>
      <c r="O2480" s="11" t="s">
        <v>19</v>
      </c>
      <c r="Q2480"/>
    </row>
    <row r="2481" spans="1:17" ht="15.6" x14ac:dyDescent="0.3">
      <c r="A2481" s="15">
        <v>10391</v>
      </c>
      <c r="B2481" s="14">
        <v>38420</v>
      </c>
      <c r="C2481" s="14" t="s">
        <v>313</v>
      </c>
      <c r="D2481" s="15" t="s">
        <v>141</v>
      </c>
      <c r="E2481" s="15" t="s">
        <v>142</v>
      </c>
      <c r="F2481" s="15" t="s">
        <v>106</v>
      </c>
      <c r="G2481" s="15" t="s">
        <v>107</v>
      </c>
      <c r="H2481" s="15" t="s">
        <v>32</v>
      </c>
      <c r="I2481" s="15" t="s">
        <v>34</v>
      </c>
      <c r="J2481" s="15" t="s">
        <v>246</v>
      </c>
      <c r="K2481" s="15">
        <v>24</v>
      </c>
      <c r="L2481" s="16">
        <v>80</v>
      </c>
      <c r="M2481" s="17">
        <v>1920</v>
      </c>
      <c r="N2481" s="15" t="s">
        <v>367</v>
      </c>
      <c r="O2481" s="15" t="s">
        <v>19</v>
      </c>
      <c r="Q2481"/>
    </row>
    <row r="2482" spans="1:17" ht="15.6" x14ac:dyDescent="0.3">
      <c r="A2482" s="11">
        <v>10391</v>
      </c>
      <c r="B2482" s="10">
        <v>38420</v>
      </c>
      <c r="C2482" s="10" t="s">
        <v>313</v>
      </c>
      <c r="D2482" s="11" t="s">
        <v>141</v>
      </c>
      <c r="E2482" s="11" t="s">
        <v>142</v>
      </c>
      <c r="F2482" s="11" t="s">
        <v>106</v>
      </c>
      <c r="G2482" s="11" t="s">
        <v>107</v>
      </c>
      <c r="H2482" s="11" t="s">
        <v>32</v>
      </c>
      <c r="I2482" s="11" t="s">
        <v>46</v>
      </c>
      <c r="J2482" s="11" t="s">
        <v>254</v>
      </c>
      <c r="K2482" s="11">
        <v>37</v>
      </c>
      <c r="L2482" s="12">
        <v>90</v>
      </c>
      <c r="M2482" s="13">
        <v>3330</v>
      </c>
      <c r="N2482" s="11" t="s">
        <v>367</v>
      </c>
      <c r="O2482" s="11" t="s">
        <v>19</v>
      </c>
      <c r="Q2482"/>
    </row>
    <row r="2483" spans="1:17" ht="15.6" x14ac:dyDescent="0.3">
      <c r="A2483" s="15">
        <v>10391</v>
      </c>
      <c r="B2483" s="14">
        <v>38420</v>
      </c>
      <c r="C2483" s="14" t="s">
        <v>313</v>
      </c>
      <c r="D2483" s="15" t="s">
        <v>141</v>
      </c>
      <c r="E2483" s="15" t="s">
        <v>142</v>
      </c>
      <c r="F2483" s="15" t="s">
        <v>106</v>
      </c>
      <c r="G2483" s="15" t="s">
        <v>107</v>
      </c>
      <c r="H2483" s="15" t="s">
        <v>35</v>
      </c>
      <c r="I2483" s="15" t="s">
        <v>38</v>
      </c>
      <c r="J2483" s="15" t="s">
        <v>249</v>
      </c>
      <c r="K2483" s="15">
        <v>39</v>
      </c>
      <c r="L2483" s="16">
        <v>20</v>
      </c>
      <c r="M2483" s="17">
        <v>780</v>
      </c>
      <c r="N2483" s="15" t="s">
        <v>367</v>
      </c>
      <c r="O2483" s="15" t="s">
        <v>19</v>
      </c>
      <c r="Q2483"/>
    </row>
    <row r="2484" spans="1:17" ht="15.6" x14ac:dyDescent="0.3">
      <c r="A2484" s="11">
        <v>10391</v>
      </c>
      <c r="B2484" s="10">
        <v>38420</v>
      </c>
      <c r="C2484" s="10" t="s">
        <v>313</v>
      </c>
      <c r="D2484" s="11" t="s">
        <v>141</v>
      </c>
      <c r="E2484" s="11" t="s">
        <v>142</v>
      </c>
      <c r="F2484" s="11" t="s">
        <v>106</v>
      </c>
      <c r="G2484" s="11" t="s">
        <v>107</v>
      </c>
      <c r="H2484" s="11" t="s">
        <v>35</v>
      </c>
      <c r="I2484" s="11" t="s">
        <v>36</v>
      </c>
      <c r="J2484" s="11" t="s">
        <v>247</v>
      </c>
      <c r="K2484" s="11">
        <v>29</v>
      </c>
      <c r="L2484" s="12">
        <v>30</v>
      </c>
      <c r="M2484" s="13">
        <v>870</v>
      </c>
      <c r="N2484" s="11" t="s">
        <v>367</v>
      </c>
      <c r="O2484" s="11" t="s">
        <v>19</v>
      </c>
      <c r="Q2484"/>
    </row>
    <row r="2485" spans="1:17" ht="15.6" x14ac:dyDescent="0.3">
      <c r="A2485" s="15">
        <v>10391</v>
      </c>
      <c r="B2485" s="14">
        <v>38420</v>
      </c>
      <c r="C2485" s="14" t="s">
        <v>313</v>
      </c>
      <c r="D2485" s="15" t="s">
        <v>141</v>
      </c>
      <c r="E2485" s="15" t="s">
        <v>142</v>
      </c>
      <c r="F2485" s="15" t="s">
        <v>106</v>
      </c>
      <c r="G2485" s="15" t="s">
        <v>107</v>
      </c>
      <c r="H2485" s="15" t="s">
        <v>17</v>
      </c>
      <c r="I2485" s="15" t="s">
        <v>18</v>
      </c>
      <c r="J2485" s="15" t="s">
        <v>241</v>
      </c>
      <c r="K2485" s="15">
        <v>35</v>
      </c>
      <c r="L2485" s="16">
        <v>30</v>
      </c>
      <c r="M2485" s="17">
        <v>1050</v>
      </c>
      <c r="N2485" s="15" t="s">
        <v>367</v>
      </c>
      <c r="O2485" s="15" t="s">
        <v>19</v>
      </c>
      <c r="Q2485"/>
    </row>
    <row r="2486" spans="1:17" ht="15.6" x14ac:dyDescent="0.3">
      <c r="A2486" s="11">
        <v>10391</v>
      </c>
      <c r="B2486" s="10">
        <v>38420</v>
      </c>
      <c r="C2486" s="10" t="s">
        <v>313</v>
      </c>
      <c r="D2486" s="11" t="s">
        <v>141</v>
      </c>
      <c r="E2486" s="11" t="s">
        <v>142</v>
      </c>
      <c r="F2486" s="11" t="s">
        <v>106</v>
      </c>
      <c r="G2486" s="11" t="s">
        <v>107</v>
      </c>
      <c r="H2486" s="11" t="s">
        <v>17</v>
      </c>
      <c r="I2486" s="11" t="s">
        <v>20</v>
      </c>
      <c r="J2486" s="11" t="s">
        <v>242</v>
      </c>
      <c r="K2486" s="11">
        <v>42</v>
      </c>
      <c r="L2486" s="12">
        <v>48</v>
      </c>
      <c r="M2486" s="13">
        <v>2016</v>
      </c>
      <c r="N2486" s="11" t="s">
        <v>367</v>
      </c>
      <c r="O2486" s="11" t="s">
        <v>19</v>
      </c>
      <c r="Q2486"/>
    </row>
    <row r="2487" spans="1:17" ht="15.6" x14ac:dyDescent="0.3">
      <c r="A2487" s="15">
        <v>10391</v>
      </c>
      <c r="B2487" s="14">
        <v>38420</v>
      </c>
      <c r="C2487" s="14" t="s">
        <v>313</v>
      </c>
      <c r="D2487" s="15" t="s">
        <v>141</v>
      </c>
      <c r="E2487" s="15" t="s">
        <v>142</v>
      </c>
      <c r="F2487" s="15" t="s">
        <v>106</v>
      </c>
      <c r="G2487" s="15" t="s">
        <v>107</v>
      </c>
      <c r="H2487" s="15" t="s">
        <v>35</v>
      </c>
      <c r="I2487" s="15" t="s">
        <v>39</v>
      </c>
      <c r="J2487" s="15" t="s">
        <v>250</v>
      </c>
      <c r="K2487" s="15">
        <v>44</v>
      </c>
      <c r="L2487" s="16">
        <v>20</v>
      </c>
      <c r="M2487" s="17">
        <v>880</v>
      </c>
      <c r="N2487" s="15" t="s">
        <v>367</v>
      </c>
      <c r="O2487" s="15" t="s">
        <v>19</v>
      </c>
      <c r="Q2487"/>
    </row>
    <row r="2488" spans="1:17" ht="15.6" x14ac:dyDescent="0.3">
      <c r="A2488" s="11">
        <v>10391</v>
      </c>
      <c r="B2488" s="10">
        <v>38420</v>
      </c>
      <c r="C2488" s="10" t="s">
        <v>313</v>
      </c>
      <c r="D2488" s="11" t="s">
        <v>141</v>
      </c>
      <c r="E2488" s="11" t="s">
        <v>142</v>
      </c>
      <c r="F2488" s="11" t="s">
        <v>106</v>
      </c>
      <c r="G2488" s="11" t="s">
        <v>107</v>
      </c>
      <c r="H2488" s="11" t="s">
        <v>17</v>
      </c>
      <c r="I2488" s="11" t="s">
        <v>20</v>
      </c>
      <c r="J2488" s="11" t="s">
        <v>242</v>
      </c>
      <c r="K2488" s="11">
        <v>32</v>
      </c>
      <c r="L2488" s="12">
        <v>48</v>
      </c>
      <c r="M2488" s="13">
        <v>1536</v>
      </c>
      <c r="N2488" s="11" t="s">
        <v>367</v>
      </c>
      <c r="O2488" s="11" t="s">
        <v>19</v>
      </c>
      <c r="Q2488"/>
    </row>
    <row r="2489" spans="1:17" ht="15.6" x14ac:dyDescent="0.3">
      <c r="A2489" s="15">
        <v>10391</v>
      </c>
      <c r="B2489" s="14">
        <v>38420</v>
      </c>
      <c r="C2489" s="14" t="s">
        <v>313</v>
      </c>
      <c r="D2489" s="15" t="s">
        <v>141</v>
      </c>
      <c r="E2489" s="15" t="s">
        <v>142</v>
      </c>
      <c r="F2489" s="15" t="s">
        <v>106</v>
      </c>
      <c r="G2489" s="15" t="s">
        <v>107</v>
      </c>
      <c r="H2489" s="15" t="s">
        <v>17</v>
      </c>
      <c r="I2489" s="15" t="s">
        <v>26</v>
      </c>
      <c r="J2489" s="15" t="s">
        <v>244</v>
      </c>
      <c r="K2489" s="15">
        <v>33</v>
      </c>
      <c r="L2489" s="16">
        <v>60</v>
      </c>
      <c r="M2489" s="17">
        <v>1980</v>
      </c>
      <c r="N2489" s="15" t="s">
        <v>367</v>
      </c>
      <c r="O2489" s="15" t="s">
        <v>19</v>
      </c>
      <c r="Q2489"/>
    </row>
    <row r="2490" spans="1:17" ht="15.6" x14ac:dyDescent="0.3">
      <c r="A2490" s="11">
        <v>10391</v>
      </c>
      <c r="B2490" s="10">
        <v>38420</v>
      </c>
      <c r="C2490" s="10" t="s">
        <v>313</v>
      </c>
      <c r="D2490" s="11" t="s">
        <v>141</v>
      </c>
      <c r="E2490" s="11" t="s">
        <v>142</v>
      </c>
      <c r="F2490" s="11" t="s">
        <v>106</v>
      </c>
      <c r="G2490" s="11" t="s">
        <v>107</v>
      </c>
      <c r="H2490" s="11" t="s">
        <v>17</v>
      </c>
      <c r="I2490" s="11" t="s">
        <v>82</v>
      </c>
      <c r="J2490" s="11" t="s">
        <v>270</v>
      </c>
      <c r="K2490" s="11">
        <v>24</v>
      </c>
      <c r="L2490" s="12">
        <v>75</v>
      </c>
      <c r="M2490" s="13">
        <v>1800</v>
      </c>
      <c r="N2490" s="11" t="s">
        <v>367</v>
      </c>
      <c r="O2490" s="11" t="s">
        <v>19</v>
      </c>
      <c r="Q2490"/>
    </row>
    <row r="2491" spans="1:17" ht="15.6" x14ac:dyDescent="0.3">
      <c r="A2491" s="15">
        <v>10392</v>
      </c>
      <c r="B2491" s="14">
        <v>38421</v>
      </c>
      <c r="C2491" s="14" t="s">
        <v>324</v>
      </c>
      <c r="D2491" s="15" t="s">
        <v>161</v>
      </c>
      <c r="E2491" s="15" t="s">
        <v>162</v>
      </c>
      <c r="F2491" s="15" t="s">
        <v>103</v>
      </c>
      <c r="G2491" s="15" t="s">
        <v>25</v>
      </c>
      <c r="H2491" s="15" t="s">
        <v>17</v>
      </c>
      <c r="I2491" s="15" t="s">
        <v>20</v>
      </c>
      <c r="J2491" s="15" t="s">
        <v>242</v>
      </c>
      <c r="K2491" s="15">
        <v>37</v>
      </c>
      <c r="L2491" s="16">
        <v>48</v>
      </c>
      <c r="M2491" s="17">
        <v>1776</v>
      </c>
      <c r="N2491" s="15" t="s">
        <v>367</v>
      </c>
      <c r="O2491" s="15" t="s">
        <v>19</v>
      </c>
      <c r="Q2491"/>
    </row>
    <row r="2492" spans="1:17" ht="15.6" x14ac:dyDescent="0.3">
      <c r="A2492" s="11">
        <v>10392</v>
      </c>
      <c r="B2492" s="10">
        <v>38421</v>
      </c>
      <c r="C2492" s="10" t="s">
        <v>324</v>
      </c>
      <c r="D2492" s="11" t="s">
        <v>161</v>
      </c>
      <c r="E2492" s="11" t="s">
        <v>162</v>
      </c>
      <c r="F2492" s="11" t="s">
        <v>103</v>
      </c>
      <c r="G2492" s="11" t="s">
        <v>25</v>
      </c>
      <c r="H2492" s="11" t="s">
        <v>17</v>
      </c>
      <c r="I2492" s="11" t="s">
        <v>26</v>
      </c>
      <c r="J2492" s="11" t="s">
        <v>244</v>
      </c>
      <c r="K2492" s="11">
        <v>29</v>
      </c>
      <c r="L2492" s="12">
        <v>60</v>
      </c>
      <c r="M2492" s="13">
        <v>1740</v>
      </c>
      <c r="N2492" s="11" t="s">
        <v>367</v>
      </c>
      <c r="O2492" s="11" t="s">
        <v>19</v>
      </c>
      <c r="Q2492"/>
    </row>
    <row r="2493" spans="1:17" ht="15.6" x14ac:dyDescent="0.3">
      <c r="A2493" s="15">
        <v>10392</v>
      </c>
      <c r="B2493" s="14">
        <v>38421</v>
      </c>
      <c r="C2493" s="14" t="s">
        <v>324</v>
      </c>
      <c r="D2493" s="15" t="s">
        <v>161</v>
      </c>
      <c r="E2493" s="15" t="s">
        <v>162</v>
      </c>
      <c r="F2493" s="15" t="s">
        <v>103</v>
      </c>
      <c r="G2493" s="15" t="s">
        <v>25</v>
      </c>
      <c r="H2493" s="15" t="s">
        <v>17</v>
      </c>
      <c r="I2493" s="15" t="s">
        <v>20</v>
      </c>
      <c r="J2493" s="15" t="s">
        <v>242</v>
      </c>
      <c r="K2493" s="15">
        <v>36</v>
      </c>
      <c r="L2493" s="16">
        <v>48</v>
      </c>
      <c r="M2493" s="17">
        <v>1728</v>
      </c>
      <c r="N2493" s="15" t="s">
        <v>367</v>
      </c>
      <c r="O2493" s="15" t="s">
        <v>19</v>
      </c>
      <c r="Q2493"/>
    </row>
    <row r="2494" spans="1:17" ht="15.6" x14ac:dyDescent="0.3">
      <c r="A2494" s="11">
        <v>10394</v>
      </c>
      <c r="B2494" s="10">
        <v>38426</v>
      </c>
      <c r="C2494" s="10" t="s">
        <v>279</v>
      </c>
      <c r="D2494" s="11" t="s">
        <v>41</v>
      </c>
      <c r="E2494" s="11" t="s">
        <v>42</v>
      </c>
      <c r="F2494" s="11" t="s">
        <v>43</v>
      </c>
      <c r="G2494" s="11" t="s">
        <v>25</v>
      </c>
      <c r="H2494" s="11" t="s">
        <v>32</v>
      </c>
      <c r="I2494" s="11" t="s">
        <v>44</v>
      </c>
      <c r="J2494" s="11" t="s">
        <v>252</v>
      </c>
      <c r="K2494" s="11">
        <v>22</v>
      </c>
      <c r="L2494" s="12">
        <v>55</v>
      </c>
      <c r="M2494" s="13">
        <v>1210</v>
      </c>
      <c r="N2494" s="11" t="s">
        <v>367</v>
      </c>
      <c r="O2494" s="11" t="s">
        <v>19</v>
      </c>
      <c r="Q2494"/>
    </row>
    <row r="2495" spans="1:17" ht="15.6" x14ac:dyDescent="0.3">
      <c r="A2495" s="15">
        <v>10394</v>
      </c>
      <c r="B2495" s="14">
        <v>38426</v>
      </c>
      <c r="C2495" s="14" t="s">
        <v>279</v>
      </c>
      <c r="D2495" s="15" t="s">
        <v>41</v>
      </c>
      <c r="E2495" s="15" t="s">
        <v>42</v>
      </c>
      <c r="F2495" s="15" t="s">
        <v>43</v>
      </c>
      <c r="G2495" s="15" t="s">
        <v>25</v>
      </c>
      <c r="H2495" s="15" t="s">
        <v>32</v>
      </c>
      <c r="I2495" s="15" t="s">
        <v>33</v>
      </c>
      <c r="J2495" s="15" t="s">
        <v>245</v>
      </c>
      <c r="K2495" s="15">
        <v>37</v>
      </c>
      <c r="L2495" s="16">
        <v>85</v>
      </c>
      <c r="M2495" s="17">
        <v>3145</v>
      </c>
      <c r="N2495" s="15" t="s">
        <v>367</v>
      </c>
      <c r="O2495" s="15" t="s">
        <v>19</v>
      </c>
      <c r="Q2495"/>
    </row>
    <row r="2496" spans="1:17" ht="15.6" x14ac:dyDescent="0.3">
      <c r="A2496" s="11">
        <v>10394</v>
      </c>
      <c r="B2496" s="10">
        <v>38426</v>
      </c>
      <c r="C2496" s="10" t="s">
        <v>279</v>
      </c>
      <c r="D2496" s="11" t="s">
        <v>41</v>
      </c>
      <c r="E2496" s="11" t="s">
        <v>42</v>
      </c>
      <c r="F2496" s="11" t="s">
        <v>43</v>
      </c>
      <c r="G2496" s="11" t="s">
        <v>25</v>
      </c>
      <c r="H2496" s="11" t="s">
        <v>32</v>
      </c>
      <c r="I2496" s="11" t="s">
        <v>45</v>
      </c>
      <c r="J2496" s="11" t="s">
        <v>253</v>
      </c>
      <c r="K2496" s="11">
        <v>31</v>
      </c>
      <c r="L2496" s="12">
        <v>35</v>
      </c>
      <c r="M2496" s="13">
        <v>1085</v>
      </c>
      <c r="N2496" s="11" t="s">
        <v>367</v>
      </c>
      <c r="O2496" s="11" t="s">
        <v>19</v>
      </c>
      <c r="Q2496"/>
    </row>
    <row r="2497" spans="1:17" ht="15.6" x14ac:dyDescent="0.3">
      <c r="A2497" s="15">
        <v>10394</v>
      </c>
      <c r="B2497" s="14">
        <v>38426</v>
      </c>
      <c r="C2497" s="14" t="s">
        <v>279</v>
      </c>
      <c r="D2497" s="15" t="s">
        <v>41</v>
      </c>
      <c r="E2497" s="15" t="s">
        <v>42</v>
      </c>
      <c r="F2497" s="15" t="s">
        <v>43</v>
      </c>
      <c r="G2497" s="15" t="s">
        <v>25</v>
      </c>
      <c r="H2497" s="15" t="s">
        <v>32</v>
      </c>
      <c r="I2497" s="15" t="s">
        <v>46</v>
      </c>
      <c r="J2497" s="15" t="s">
        <v>254</v>
      </c>
      <c r="K2497" s="15">
        <v>46</v>
      </c>
      <c r="L2497" s="16">
        <v>90</v>
      </c>
      <c r="M2497" s="17">
        <v>4140</v>
      </c>
      <c r="N2497" s="15" t="s">
        <v>367</v>
      </c>
      <c r="O2497" s="15" t="s">
        <v>19</v>
      </c>
      <c r="Q2497"/>
    </row>
    <row r="2498" spans="1:17" ht="15.6" x14ac:dyDescent="0.3">
      <c r="A2498" s="11">
        <v>10394</v>
      </c>
      <c r="B2498" s="10">
        <v>38426</v>
      </c>
      <c r="C2498" s="10" t="s">
        <v>279</v>
      </c>
      <c r="D2498" s="11" t="s">
        <v>41</v>
      </c>
      <c r="E2498" s="11" t="s">
        <v>42</v>
      </c>
      <c r="F2498" s="11" t="s">
        <v>43</v>
      </c>
      <c r="G2498" s="11" t="s">
        <v>25</v>
      </c>
      <c r="H2498" s="11" t="s">
        <v>32</v>
      </c>
      <c r="I2498" s="11" t="s">
        <v>33</v>
      </c>
      <c r="J2498" s="11" t="s">
        <v>245</v>
      </c>
      <c r="K2498" s="11">
        <v>37</v>
      </c>
      <c r="L2498" s="12">
        <v>85</v>
      </c>
      <c r="M2498" s="13">
        <v>3145</v>
      </c>
      <c r="N2498" s="11" t="s">
        <v>367</v>
      </c>
      <c r="O2498" s="11" t="s">
        <v>19</v>
      </c>
      <c r="Q2498"/>
    </row>
    <row r="2499" spans="1:17" ht="15.6" x14ac:dyDescent="0.3">
      <c r="A2499" s="15">
        <v>10394</v>
      </c>
      <c r="B2499" s="14">
        <v>38426</v>
      </c>
      <c r="C2499" s="14" t="s">
        <v>279</v>
      </c>
      <c r="D2499" s="15" t="s">
        <v>41</v>
      </c>
      <c r="E2499" s="15" t="s">
        <v>42</v>
      </c>
      <c r="F2499" s="15" t="s">
        <v>43</v>
      </c>
      <c r="G2499" s="15" t="s">
        <v>25</v>
      </c>
      <c r="H2499" s="15" t="s">
        <v>35</v>
      </c>
      <c r="I2499" s="15" t="s">
        <v>38</v>
      </c>
      <c r="J2499" s="15" t="s">
        <v>249</v>
      </c>
      <c r="K2499" s="15">
        <v>36</v>
      </c>
      <c r="L2499" s="16">
        <v>20</v>
      </c>
      <c r="M2499" s="17">
        <v>720</v>
      </c>
      <c r="N2499" s="15" t="s">
        <v>367</v>
      </c>
      <c r="O2499" s="15" t="s">
        <v>19</v>
      </c>
      <c r="Q2499"/>
    </row>
    <row r="2500" spans="1:17" ht="15.6" x14ac:dyDescent="0.3">
      <c r="A2500" s="11">
        <v>10394</v>
      </c>
      <c r="B2500" s="10">
        <v>38426</v>
      </c>
      <c r="C2500" s="10" t="s">
        <v>279</v>
      </c>
      <c r="D2500" s="11" t="s">
        <v>41</v>
      </c>
      <c r="E2500" s="11" t="s">
        <v>42</v>
      </c>
      <c r="F2500" s="11" t="s">
        <v>43</v>
      </c>
      <c r="G2500" s="11" t="s">
        <v>25</v>
      </c>
      <c r="H2500" s="11" t="s">
        <v>47</v>
      </c>
      <c r="I2500" s="11" t="s">
        <v>119</v>
      </c>
      <c r="J2500" s="11" t="s">
        <v>272</v>
      </c>
      <c r="K2500" s="11">
        <v>30</v>
      </c>
      <c r="L2500" s="12">
        <v>60</v>
      </c>
      <c r="M2500" s="13">
        <v>1800</v>
      </c>
      <c r="N2500" s="11" t="s">
        <v>367</v>
      </c>
      <c r="O2500" s="11" t="s">
        <v>19</v>
      </c>
      <c r="Q2500"/>
    </row>
    <row r="2501" spans="1:17" ht="15.6" x14ac:dyDescent="0.3">
      <c r="A2501" s="15">
        <v>10395</v>
      </c>
      <c r="B2501" s="14">
        <v>38428</v>
      </c>
      <c r="C2501" s="14" t="s">
        <v>305</v>
      </c>
      <c r="D2501" s="15" t="s">
        <v>126</v>
      </c>
      <c r="E2501" s="15" t="s">
        <v>91</v>
      </c>
      <c r="F2501" s="15" t="s">
        <v>92</v>
      </c>
      <c r="G2501" s="15" t="s">
        <v>25</v>
      </c>
      <c r="H2501" s="15" t="s">
        <v>32</v>
      </c>
      <c r="I2501" s="15" t="s">
        <v>33</v>
      </c>
      <c r="J2501" s="15" t="s">
        <v>245</v>
      </c>
      <c r="K2501" s="15">
        <v>32</v>
      </c>
      <c r="L2501" s="16">
        <v>85</v>
      </c>
      <c r="M2501" s="17">
        <v>2720</v>
      </c>
      <c r="N2501" s="15" t="s">
        <v>367</v>
      </c>
      <c r="O2501" s="15" t="s">
        <v>19</v>
      </c>
      <c r="Q2501"/>
    </row>
    <row r="2502" spans="1:17" ht="15.6" x14ac:dyDescent="0.3">
      <c r="A2502" s="11">
        <v>10395</v>
      </c>
      <c r="B2502" s="10">
        <v>38428</v>
      </c>
      <c r="C2502" s="10" t="s">
        <v>305</v>
      </c>
      <c r="D2502" s="11" t="s">
        <v>126</v>
      </c>
      <c r="E2502" s="11" t="s">
        <v>91</v>
      </c>
      <c r="F2502" s="11" t="s">
        <v>92</v>
      </c>
      <c r="G2502" s="11" t="s">
        <v>25</v>
      </c>
      <c r="H2502" s="11" t="s">
        <v>32</v>
      </c>
      <c r="I2502" s="11" t="s">
        <v>34</v>
      </c>
      <c r="J2502" s="11" t="s">
        <v>246</v>
      </c>
      <c r="K2502" s="11">
        <v>33</v>
      </c>
      <c r="L2502" s="12">
        <v>80</v>
      </c>
      <c r="M2502" s="13">
        <v>2640</v>
      </c>
      <c r="N2502" s="11" t="s">
        <v>367</v>
      </c>
      <c r="O2502" s="11" t="s">
        <v>19</v>
      </c>
      <c r="Q2502"/>
    </row>
    <row r="2503" spans="1:17" ht="15.6" x14ac:dyDescent="0.3">
      <c r="A2503" s="15">
        <v>10395</v>
      </c>
      <c r="B2503" s="14">
        <v>38428</v>
      </c>
      <c r="C2503" s="14" t="s">
        <v>305</v>
      </c>
      <c r="D2503" s="15" t="s">
        <v>126</v>
      </c>
      <c r="E2503" s="15" t="s">
        <v>91</v>
      </c>
      <c r="F2503" s="15" t="s">
        <v>92</v>
      </c>
      <c r="G2503" s="15" t="s">
        <v>25</v>
      </c>
      <c r="H2503" s="15" t="s">
        <v>35</v>
      </c>
      <c r="I2503" s="15" t="s">
        <v>36</v>
      </c>
      <c r="J2503" s="15" t="s">
        <v>247</v>
      </c>
      <c r="K2503" s="15">
        <v>46</v>
      </c>
      <c r="L2503" s="16">
        <v>30</v>
      </c>
      <c r="M2503" s="17">
        <v>1380</v>
      </c>
      <c r="N2503" s="15" t="s">
        <v>367</v>
      </c>
      <c r="O2503" s="15" t="s">
        <v>19</v>
      </c>
      <c r="Q2503"/>
    </row>
    <row r="2504" spans="1:17" ht="15.6" x14ac:dyDescent="0.3">
      <c r="A2504" s="11">
        <v>10395</v>
      </c>
      <c r="B2504" s="10">
        <v>38428</v>
      </c>
      <c r="C2504" s="10" t="s">
        <v>305</v>
      </c>
      <c r="D2504" s="11" t="s">
        <v>126</v>
      </c>
      <c r="E2504" s="11" t="s">
        <v>91</v>
      </c>
      <c r="F2504" s="11" t="s">
        <v>92</v>
      </c>
      <c r="G2504" s="11" t="s">
        <v>25</v>
      </c>
      <c r="H2504" s="11" t="s">
        <v>47</v>
      </c>
      <c r="I2504" s="11" t="s">
        <v>48</v>
      </c>
      <c r="J2504" s="11" t="s">
        <v>255</v>
      </c>
      <c r="K2504" s="11">
        <v>45</v>
      </c>
      <c r="L2504" s="12">
        <v>70</v>
      </c>
      <c r="M2504" s="13">
        <v>3150</v>
      </c>
      <c r="N2504" s="11" t="s">
        <v>367</v>
      </c>
      <c r="O2504" s="11" t="s">
        <v>19</v>
      </c>
      <c r="Q2504"/>
    </row>
    <row r="2505" spans="1:17" ht="15.6" x14ac:dyDescent="0.3">
      <c r="A2505" s="15">
        <v>10396</v>
      </c>
      <c r="B2505" s="14">
        <v>38434</v>
      </c>
      <c r="C2505" s="14" t="s">
        <v>288</v>
      </c>
      <c r="D2505" s="15" t="s">
        <v>88</v>
      </c>
      <c r="E2505" s="15" t="s">
        <v>89</v>
      </c>
      <c r="F2505" s="15" t="s">
        <v>15</v>
      </c>
      <c r="G2505" s="15" t="s">
        <v>16</v>
      </c>
      <c r="H2505" s="15" t="s">
        <v>32</v>
      </c>
      <c r="I2505" s="15" t="s">
        <v>34</v>
      </c>
      <c r="J2505" s="15" t="s">
        <v>246</v>
      </c>
      <c r="K2505" s="15">
        <v>33</v>
      </c>
      <c r="L2505" s="16">
        <v>80</v>
      </c>
      <c r="M2505" s="17">
        <v>2640</v>
      </c>
      <c r="N2505" s="15" t="s">
        <v>367</v>
      </c>
      <c r="O2505" s="15" t="s">
        <v>19</v>
      </c>
      <c r="Q2505"/>
    </row>
    <row r="2506" spans="1:17" ht="15.6" x14ac:dyDescent="0.3">
      <c r="A2506" s="11">
        <v>10396</v>
      </c>
      <c r="B2506" s="10">
        <v>38434</v>
      </c>
      <c r="C2506" s="10" t="s">
        <v>288</v>
      </c>
      <c r="D2506" s="11" t="s">
        <v>88</v>
      </c>
      <c r="E2506" s="11" t="s">
        <v>89</v>
      </c>
      <c r="F2506" s="11" t="s">
        <v>15</v>
      </c>
      <c r="G2506" s="11" t="s">
        <v>16</v>
      </c>
      <c r="H2506" s="11" t="s">
        <v>17</v>
      </c>
      <c r="I2506" s="11" t="s">
        <v>20</v>
      </c>
      <c r="J2506" s="11" t="s">
        <v>242</v>
      </c>
      <c r="K2506" s="11">
        <v>33</v>
      </c>
      <c r="L2506" s="12">
        <v>48</v>
      </c>
      <c r="M2506" s="13">
        <v>1584</v>
      </c>
      <c r="N2506" s="11" t="s">
        <v>367</v>
      </c>
      <c r="O2506" s="11" t="s">
        <v>19</v>
      </c>
      <c r="Q2506"/>
    </row>
    <row r="2507" spans="1:17" ht="15.6" x14ac:dyDescent="0.3">
      <c r="A2507" s="15">
        <v>10396</v>
      </c>
      <c r="B2507" s="14">
        <v>38434</v>
      </c>
      <c r="C2507" s="14" t="s">
        <v>288</v>
      </c>
      <c r="D2507" s="15" t="s">
        <v>88</v>
      </c>
      <c r="E2507" s="15" t="s">
        <v>89</v>
      </c>
      <c r="F2507" s="15" t="s">
        <v>15</v>
      </c>
      <c r="G2507" s="15" t="s">
        <v>16</v>
      </c>
      <c r="H2507" s="15" t="s">
        <v>47</v>
      </c>
      <c r="I2507" s="15" t="s">
        <v>119</v>
      </c>
      <c r="J2507" s="15" t="s">
        <v>272</v>
      </c>
      <c r="K2507" s="15">
        <v>24</v>
      </c>
      <c r="L2507" s="16">
        <v>60</v>
      </c>
      <c r="M2507" s="17">
        <v>1440</v>
      </c>
      <c r="N2507" s="15" t="s">
        <v>367</v>
      </c>
      <c r="O2507" s="15" t="s">
        <v>19</v>
      </c>
      <c r="Q2507"/>
    </row>
    <row r="2508" spans="1:17" ht="15.6" x14ac:dyDescent="0.3">
      <c r="A2508" s="11">
        <v>10396</v>
      </c>
      <c r="B2508" s="10">
        <v>38434</v>
      </c>
      <c r="C2508" s="10" t="s">
        <v>288</v>
      </c>
      <c r="D2508" s="11" t="s">
        <v>88</v>
      </c>
      <c r="E2508" s="11" t="s">
        <v>89</v>
      </c>
      <c r="F2508" s="11" t="s">
        <v>15</v>
      </c>
      <c r="G2508" s="11" t="s">
        <v>16</v>
      </c>
      <c r="H2508" s="11" t="s">
        <v>17</v>
      </c>
      <c r="I2508" s="11" t="s">
        <v>20</v>
      </c>
      <c r="J2508" s="11" t="s">
        <v>242</v>
      </c>
      <c r="K2508" s="11">
        <v>45</v>
      </c>
      <c r="L2508" s="12">
        <v>48</v>
      </c>
      <c r="M2508" s="13">
        <v>2160</v>
      </c>
      <c r="N2508" s="11" t="s">
        <v>367</v>
      </c>
      <c r="O2508" s="11" t="s">
        <v>19</v>
      </c>
      <c r="Q2508"/>
    </row>
    <row r="2509" spans="1:17" ht="15.6" x14ac:dyDescent="0.3">
      <c r="A2509" s="15">
        <v>10396</v>
      </c>
      <c r="B2509" s="14">
        <v>38434</v>
      </c>
      <c r="C2509" s="14" t="s">
        <v>288</v>
      </c>
      <c r="D2509" s="15" t="s">
        <v>88</v>
      </c>
      <c r="E2509" s="15" t="s">
        <v>89</v>
      </c>
      <c r="F2509" s="15" t="s">
        <v>15</v>
      </c>
      <c r="G2509" s="15" t="s">
        <v>16</v>
      </c>
      <c r="H2509" s="15" t="s">
        <v>54</v>
      </c>
      <c r="I2509" s="15" t="s">
        <v>57</v>
      </c>
      <c r="J2509" s="15" t="s">
        <v>260</v>
      </c>
      <c r="K2509" s="15">
        <v>49</v>
      </c>
      <c r="L2509" s="16">
        <v>220</v>
      </c>
      <c r="M2509" s="17">
        <v>10780</v>
      </c>
      <c r="N2509" s="15" t="s">
        <v>367</v>
      </c>
      <c r="O2509" s="15" t="s">
        <v>19</v>
      </c>
      <c r="Q2509"/>
    </row>
    <row r="2510" spans="1:17" ht="15.6" x14ac:dyDescent="0.3">
      <c r="A2510" s="11">
        <v>10396</v>
      </c>
      <c r="B2510" s="10">
        <v>38434</v>
      </c>
      <c r="C2510" s="10" t="s">
        <v>288</v>
      </c>
      <c r="D2510" s="11" t="s">
        <v>88</v>
      </c>
      <c r="E2510" s="11" t="s">
        <v>89</v>
      </c>
      <c r="F2510" s="11" t="s">
        <v>15</v>
      </c>
      <c r="G2510" s="11" t="s">
        <v>16</v>
      </c>
      <c r="H2510" s="11" t="s">
        <v>17</v>
      </c>
      <c r="I2510" s="11" t="s">
        <v>82</v>
      </c>
      <c r="J2510" s="11" t="s">
        <v>270</v>
      </c>
      <c r="K2510" s="11">
        <v>27</v>
      </c>
      <c r="L2510" s="12">
        <v>75</v>
      </c>
      <c r="M2510" s="13">
        <v>2025</v>
      </c>
      <c r="N2510" s="11" t="s">
        <v>367</v>
      </c>
      <c r="O2510" s="11" t="s">
        <v>19</v>
      </c>
      <c r="Q2510"/>
    </row>
    <row r="2511" spans="1:17" ht="15.6" x14ac:dyDescent="0.3">
      <c r="A2511" s="15">
        <v>10396</v>
      </c>
      <c r="B2511" s="14">
        <v>38434</v>
      </c>
      <c r="C2511" s="14" t="s">
        <v>288</v>
      </c>
      <c r="D2511" s="15" t="s">
        <v>88</v>
      </c>
      <c r="E2511" s="15" t="s">
        <v>89</v>
      </c>
      <c r="F2511" s="15" t="s">
        <v>15</v>
      </c>
      <c r="G2511" s="15" t="s">
        <v>16</v>
      </c>
      <c r="H2511" s="15" t="s">
        <v>17</v>
      </c>
      <c r="I2511" s="15" t="s">
        <v>20</v>
      </c>
      <c r="J2511" s="15" t="s">
        <v>242</v>
      </c>
      <c r="K2511" s="15">
        <v>37</v>
      </c>
      <c r="L2511" s="16">
        <v>48</v>
      </c>
      <c r="M2511" s="17">
        <v>1776</v>
      </c>
      <c r="N2511" s="15" t="s">
        <v>367</v>
      </c>
      <c r="O2511" s="15" t="s">
        <v>19</v>
      </c>
      <c r="Q2511"/>
    </row>
    <row r="2512" spans="1:17" ht="15.6" x14ac:dyDescent="0.3">
      <c r="A2512" s="11">
        <v>10396</v>
      </c>
      <c r="B2512" s="10">
        <v>38434</v>
      </c>
      <c r="C2512" s="10" t="s">
        <v>288</v>
      </c>
      <c r="D2512" s="11" t="s">
        <v>88</v>
      </c>
      <c r="E2512" s="11" t="s">
        <v>89</v>
      </c>
      <c r="F2512" s="11" t="s">
        <v>15</v>
      </c>
      <c r="G2512" s="11" t="s">
        <v>16</v>
      </c>
      <c r="H2512" s="11" t="s">
        <v>54</v>
      </c>
      <c r="I2512" s="11" t="s">
        <v>56</v>
      </c>
      <c r="J2512" s="11" t="s">
        <v>259</v>
      </c>
      <c r="K2512" s="11">
        <v>39</v>
      </c>
      <c r="L2512" s="12">
        <v>250</v>
      </c>
      <c r="M2512" s="13">
        <v>9750</v>
      </c>
      <c r="N2512" s="11" t="s">
        <v>367</v>
      </c>
      <c r="O2512" s="11" t="s">
        <v>19</v>
      </c>
      <c r="Q2512"/>
    </row>
    <row r="2513" spans="1:17" ht="15.6" x14ac:dyDescent="0.3">
      <c r="A2513" s="15">
        <v>10397</v>
      </c>
      <c r="B2513" s="14">
        <v>38439</v>
      </c>
      <c r="C2513" s="14" t="s">
        <v>306</v>
      </c>
      <c r="D2513" s="15" t="s">
        <v>127</v>
      </c>
      <c r="E2513" s="15" t="s">
        <v>128</v>
      </c>
      <c r="F2513" s="15" t="s">
        <v>92</v>
      </c>
      <c r="G2513" s="15" t="s">
        <v>25</v>
      </c>
      <c r="H2513" s="15" t="s">
        <v>54</v>
      </c>
      <c r="I2513" s="15" t="s">
        <v>56</v>
      </c>
      <c r="J2513" s="15" t="s">
        <v>259</v>
      </c>
      <c r="K2513" s="15">
        <v>32</v>
      </c>
      <c r="L2513" s="16">
        <v>250</v>
      </c>
      <c r="M2513" s="17">
        <v>8000</v>
      </c>
      <c r="N2513" s="15" t="s">
        <v>367</v>
      </c>
      <c r="O2513" s="15" t="s">
        <v>19</v>
      </c>
      <c r="Q2513"/>
    </row>
    <row r="2514" spans="1:17" ht="15.6" x14ac:dyDescent="0.3">
      <c r="A2514" s="11">
        <v>10397</v>
      </c>
      <c r="B2514" s="10">
        <v>38439</v>
      </c>
      <c r="C2514" s="10" t="s">
        <v>306</v>
      </c>
      <c r="D2514" s="11" t="s">
        <v>127</v>
      </c>
      <c r="E2514" s="11" t="s">
        <v>128</v>
      </c>
      <c r="F2514" s="11" t="s">
        <v>92</v>
      </c>
      <c r="G2514" s="11" t="s">
        <v>25</v>
      </c>
      <c r="H2514" s="11" t="s">
        <v>54</v>
      </c>
      <c r="I2514" s="11" t="s">
        <v>166</v>
      </c>
      <c r="J2514" s="11" t="s">
        <v>273</v>
      </c>
      <c r="K2514" s="11">
        <v>22</v>
      </c>
      <c r="L2514" s="12">
        <v>160</v>
      </c>
      <c r="M2514" s="13">
        <v>3520</v>
      </c>
      <c r="N2514" s="11" t="s">
        <v>367</v>
      </c>
      <c r="O2514" s="11" t="s">
        <v>19</v>
      </c>
      <c r="Q2514"/>
    </row>
    <row r="2515" spans="1:17" ht="15.6" x14ac:dyDescent="0.3">
      <c r="A2515" s="15">
        <v>10397</v>
      </c>
      <c r="B2515" s="14">
        <v>38439</v>
      </c>
      <c r="C2515" s="14" t="s">
        <v>306</v>
      </c>
      <c r="D2515" s="15" t="s">
        <v>127</v>
      </c>
      <c r="E2515" s="15" t="s">
        <v>128</v>
      </c>
      <c r="F2515" s="15" t="s">
        <v>92</v>
      </c>
      <c r="G2515" s="15" t="s">
        <v>25</v>
      </c>
      <c r="H2515" s="15" t="s">
        <v>54</v>
      </c>
      <c r="I2515" s="15" t="s">
        <v>56</v>
      </c>
      <c r="J2515" s="15" t="s">
        <v>259</v>
      </c>
      <c r="K2515" s="15">
        <v>48</v>
      </c>
      <c r="L2515" s="16">
        <v>250</v>
      </c>
      <c r="M2515" s="17">
        <v>12000</v>
      </c>
      <c r="N2515" s="15" t="s">
        <v>367</v>
      </c>
      <c r="O2515" s="15" t="s">
        <v>19</v>
      </c>
      <c r="Q2515"/>
    </row>
    <row r="2516" spans="1:17" ht="15.6" x14ac:dyDescent="0.3">
      <c r="A2516" s="11">
        <v>10397</v>
      </c>
      <c r="B2516" s="10">
        <v>38439</v>
      </c>
      <c r="C2516" s="10" t="s">
        <v>306</v>
      </c>
      <c r="D2516" s="11" t="s">
        <v>127</v>
      </c>
      <c r="E2516" s="11" t="s">
        <v>128</v>
      </c>
      <c r="F2516" s="11" t="s">
        <v>92</v>
      </c>
      <c r="G2516" s="11" t="s">
        <v>25</v>
      </c>
      <c r="H2516" s="11" t="s">
        <v>54</v>
      </c>
      <c r="I2516" s="11" t="s">
        <v>57</v>
      </c>
      <c r="J2516" s="11" t="s">
        <v>260</v>
      </c>
      <c r="K2516" s="11">
        <v>36</v>
      </c>
      <c r="L2516" s="12">
        <v>220</v>
      </c>
      <c r="M2516" s="13">
        <v>7920</v>
      </c>
      <c r="N2516" s="11" t="s">
        <v>367</v>
      </c>
      <c r="O2516" s="11" t="s">
        <v>19</v>
      </c>
      <c r="Q2516"/>
    </row>
    <row r="2517" spans="1:17" ht="15.6" x14ac:dyDescent="0.3">
      <c r="A2517" s="15">
        <v>10397</v>
      </c>
      <c r="B2517" s="14">
        <v>38439</v>
      </c>
      <c r="C2517" s="14" t="s">
        <v>306</v>
      </c>
      <c r="D2517" s="15" t="s">
        <v>127</v>
      </c>
      <c r="E2517" s="15" t="s">
        <v>128</v>
      </c>
      <c r="F2517" s="15" t="s">
        <v>92</v>
      </c>
      <c r="G2517" s="15" t="s">
        <v>25</v>
      </c>
      <c r="H2517" s="15" t="s">
        <v>54</v>
      </c>
      <c r="I2517" s="15" t="s">
        <v>56</v>
      </c>
      <c r="J2517" s="15" t="s">
        <v>259</v>
      </c>
      <c r="K2517" s="15">
        <v>34</v>
      </c>
      <c r="L2517" s="16">
        <v>250</v>
      </c>
      <c r="M2517" s="17">
        <v>8500</v>
      </c>
      <c r="N2517" s="15" t="s">
        <v>367</v>
      </c>
      <c r="O2517" s="15" t="s">
        <v>19</v>
      </c>
      <c r="Q2517"/>
    </row>
    <row r="2518" spans="1:17" ht="15.6" x14ac:dyDescent="0.3">
      <c r="A2518" s="11">
        <v>10398</v>
      </c>
      <c r="B2518" s="10">
        <v>38441</v>
      </c>
      <c r="C2518" s="10" t="s">
        <v>296</v>
      </c>
      <c r="D2518" s="11" t="s">
        <v>109</v>
      </c>
      <c r="E2518" s="11" t="s">
        <v>110</v>
      </c>
      <c r="F2518" s="11" t="s">
        <v>92</v>
      </c>
      <c r="G2518" s="11" t="s">
        <v>25</v>
      </c>
      <c r="H2518" s="11" t="s">
        <v>61</v>
      </c>
      <c r="I2518" s="11" t="s">
        <v>65</v>
      </c>
      <c r="J2518" s="11" t="s">
        <v>264</v>
      </c>
      <c r="K2518" s="11">
        <v>33</v>
      </c>
      <c r="L2518" s="12">
        <v>30</v>
      </c>
      <c r="M2518" s="13">
        <v>990</v>
      </c>
      <c r="N2518" s="11" t="s">
        <v>367</v>
      </c>
      <c r="O2518" s="11" t="s">
        <v>19</v>
      </c>
      <c r="Q2518"/>
    </row>
    <row r="2519" spans="1:17" ht="15.6" x14ac:dyDescent="0.3">
      <c r="A2519" s="15">
        <v>10398</v>
      </c>
      <c r="B2519" s="14">
        <v>38441</v>
      </c>
      <c r="C2519" s="14" t="s">
        <v>296</v>
      </c>
      <c r="D2519" s="15" t="s">
        <v>109</v>
      </c>
      <c r="E2519" s="15" t="s">
        <v>110</v>
      </c>
      <c r="F2519" s="15" t="s">
        <v>92</v>
      </c>
      <c r="G2519" s="15" t="s">
        <v>25</v>
      </c>
      <c r="H2519" s="15" t="s">
        <v>61</v>
      </c>
      <c r="I2519" s="15" t="s">
        <v>62</v>
      </c>
      <c r="J2519" s="15" t="s">
        <v>261</v>
      </c>
      <c r="K2519" s="15">
        <v>34</v>
      </c>
      <c r="L2519" s="16">
        <v>15</v>
      </c>
      <c r="M2519" s="17">
        <v>510</v>
      </c>
      <c r="N2519" s="15" t="s">
        <v>367</v>
      </c>
      <c r="O2519" s="15" t="s">
        <v>19</v>
      </c>
      <c r="Q2519"/>
    </row>
    <row r="2520" spans="1:17" ht="15.6" x14ac:dyDescent="0.3">
      <c r="A2520" s="11">
        <v>10398</v>
      </c>
      <c r="B2520" s="10">
        <v>38441</v>
      </c>
      <c r="C2520" s="10" t="s">
        <v>296</v>
      </c>
      <c r="D2520" s="11" t="s">
        <v>109</v>
      </c>
      <c r="E2520" s="11" t="s">
        <v>110</v>
      </c>
      <c r="F2520" s="11" t="s">
        <v>92</v>
      </c>
      <c r="G2520" s="11" t="s">
        <v>25</v>
      </c>
      <c r="H2520" s="11" t="s">
        <v>54</v>
      </c>
      <c r="I2520" s="11" t="s">
        <v>55</v>
      </c>
      <c r="J2520" s="11" t="s">
        <v>258</v>
      </c>
      <c r="K2520" s="11">
        <v>28</v>
      </c>
      <c r="L2520" s="12">
        <v>180</v>
      </c>
      <c r="M2520" s="13">
        <v>5040</v>
      </c>
      <c r="N2520" s="11" t="s">
        <v>367</v>
      </c>
      <c r="O2520" s="11" t="s">
        <v>19</v>
      </c>
      <c r="Q2520"/>
    </row>
    <row r="2521" spans="1:17" ht="15.6" x14ac:dyDescent="0.3">
      <c r="A2521" s="15">
        <v>10398</v>
      </c>
      <c r="B2521" s="14">
        <v>38441</v>
      </c>
      <c r="C2521" s="14" t="s">
        <v>296</v>
      </c>
      <c r="D2521" s="15" t="s">
        <v>109</v>
      </c>
      <c r="E2521" s="15" t="s">
        <v>110</v>
      </c>
      <c r="F2521" s="15" t="s">
        <v>92</v>
      </c>
      <c r="G2521" s="15" t="s">
        <v>25</v>
      </c>
      <c r="H2521" s="15" t="s">
        <v>17</v>
      </c>
      <c r="I2521" s="15" t="s">
        <v>20</v>
      </c>
      <c r="J2521" s="15" t="s">
        <v>242</v>
      </c>
      <c r="K2521" s="15">
        <v>45</v>
      </c>
      <c r="L2521" s="16">
        <v>48</v>
      </c>
      <c r="M2521" s="17">
        <v>2160</v>
      </c>
      <c r="N2521" s="15" t="s">
        <v>367</v>
      </c>
      <c r="O2521" s="15" t="s">
        <v>19</v>
      </c>
      <c r="Q2521"/>
    </row>
    <row r="2522" spans="1:17" ht="15.6" x14ac:dyDescent="0.3">
      <c r="A2522" s="11">
        <v>10398</v>
      </c>
      <c r="B2522" s="10">
        <v>38441</v>
      </c>
      <c r="C2522" s="10" t="s">
        <v>296</v>
      </c>
      <c r="D2522" s="11" t="s">
        <v>109</v>
      </c>
      <c r="E2522" s="11" t="s">
        <v>110</v>
      </c>
      <c r="F2522" s="11" t="s">
        <v>92</v>
      </c>
      <c r="G2522" s="11" t="s">
        <v>25</v>
      </c>
      <c r="H2522" s="11" t="s">
        <v>61</v>
      </c>
      <c r="I2522" s="11" t="s">
        <v>66</v>
      </c>
      <c r="J2522" s="11" t="s">
        <v>265</v>
      </c>
      <c r="K2522" s="11">
        <v>43</v>
      </c>
      <c r="L2522" s="12">
        <v>35</v>
      </c>
      <c r="M2522" s="13">
        <v>1505</v>
      </c>
      <c r="N2522" s="11" t="s">
        <v>367</v>
      </c>
      <c r="O2522" s="11" t="s">
        <v>19</v>
      </c>
      <c r="Q2522"/>
    </row>
    <row r="2523" spans="1:17" ht="15.6" x14ac:dyDescent="0.3">
      <c r="A2523" s="15">
        <v>10398</v>
      </c>
      <c r="B2523" s="14">
        <v>38441</v>
      </c>
      <c r="C2523" s="14" t="s">
        <v>296</v>
      </c>
      <c r="D2523" s="15" t="s">
        <v>109</v>
      </c>
      <c r="E2523" s="15" t="s">
        <v>110</v>
      </c>
      <c r="F2523" s="15" t="s">
        <v>92</v>
      </c>
      <c r="G2523" s="15" t="s">
        <v>25</v>
      </c>
      <c r="H2523" s="15" t="s">
        <v>61</v>
      </c>
      <c r="I2523" s="15" t="s">
        <v>62</v>
      </c>
      <c r="J2523" s="15" t="s">
        <v>261</v>
      </c>
      <c r="K2523" s="15">
        <v>28</v>
      </c>
      <c r="L2523" s="16">
        <v>15</v>
      </c>
      <c r="M2523" s="17">
        <v>420</v>
      </c>
      <c r="N2523" s="15" t="s">
        <v>367</v>
      </c>
      <c r="O2523" s="15" t="s">
        <v>19</v>
      </c>
      <c r="Q2523"/>
    </row>
    <row r="2524" spans="1:17" ht="15.6" x14ac:dyDescent="0.3">
      <c r="A2524" s="11">
        <v>10398</v>
      </c>
      <c r="B2524" s="10">
        <v>38441</v>
      </c>
      <c r="C2524" s="10" t="s">
        <v>296</v>
      </c>
      <c r="D2524" s="11" t="s">
        <v>109</v>
      </c>
      <c r="E2524" s="11" t="s">
        <v>110</v>
      </c>
      <c r="F2524" s="11" t="s">
        <v>92</v>
      </c>
      <c r="G2524" s="11" t="s">
        <v>25</v>
      </c>
      <c r="H2524" s="11" t="s">
        <v>17</v>
      </c>
      <c r="I2524" s="11" t="s">
        <v>20</v>
      </c>
      <c r="J2524" s="11" t="s">
        <v>242</v>
      </c>
      <c r="K2524" s="11">
        <v>34</v>
      </c>
      <c r="L2524" s="12">
        <v>48</v>
      </c>
      <c r="M2524" s="13">
        <v>1632</v>
      </c>
      <c r="N2524" s="11" t="s">
        <v>367</v>
      </c>
      <c r="O2524" s="11" t="s">
        <v>19</v>
      </c>
      <c r="Q2524"/>
    </row>
    <row r="2525" spans="1:17" ht="15.6" x14ac:dyDescent="0.3">
      <c r="A2525" s="15">
        <v>10398</v>
      </c>
      <c r="B2525" s="14">
        <v>38441</v>
      </c>
      <c r="C2525" s="14" t="s">
        <v>296</v>
      </c>
      <c r="D2525" s="15" t="s">
        <v>109</v>
      </c>
      <c r="E2525" s="15" t="s">
        <v>110</v>
      </c>
      <c r="F2525" s="15" t="s">
        <v>92</v>
      </c>
      <c r="G2525" s="15" t="s">
        <v>25</v>
      </c>
      <c r="H2525" s="15" t="s">
        <v>61</v>
      </c>
      <c r="I2525" s="15" t="s">
        <v>66</v>
      </c>
      <c r="J2525" s="15" t="s">
        <v>265</v>
      </c>
      <c r="K2525" s="15">
        <v>41</v>
      </c>
      <c r="L2525" s="16">
        <v>35</v>
      </c>
      <c r="M2525" s="17">
        <v>1435</v>
      </c>
      <c r="N2525" s="15" t="s">
        <v>367</v>
      </c>
      <c r="O2525" s="15" t="s">
        <v>19</v>
      </c>
      <c r="Q2525"/>
    </row>
    <row r="2526" spans="1:17" ht="15.6" x14ac:dyDescent="0.3">
      <c r="A2526" s="11">
        <v>10398</v>
      </c>
      <c r="B2526" s="10">
        <v>38441</v>
      </c>
      <c r="C2526" s="10" t="s">
        <v>296</v>
      </c>
      <c r="D2526" s="11" t="s">
        <v>109</v>
      </c>
      <c r="E2526" s="11" t="s">
        <v>110</v>
      </c>
      <c r="F2526" s="11" t="s">
        <v>92</v>
      </c>
      <c r="G2526" s="11" t="s">
        <v>25</v>
      </c>
      <c r="H2526" s="11" t="s">
        <v>61</v>
      </c>
      <c r="I2526" s="11" t="s">
        <v>63</v>
      </c>
      <c r="J2526" s="11" t="s">
        <v>262</v>
      </c>
      <c r="K2526" s="11">
        <v>45</v>
      </c>
      <c r="L2526" s="12">
        <v>40</v>
      </c>
      <c r="M2526" s="13">
        <v>1800</v>
      </c>
      <c r="N2526" s="11" t="s">
        <v>367</v>
      </c>
      <c r="O2526" s="11" t="s">
        <v>19</v>
      </c>
      <c r="Q2526"/>
    </row>
    <row r="2527" spans="1:17" ht="15.6" x14ac:dyDescent="0.3">
      <c r="A2527" s="15">
        <v>10398</v>
      </c>
      <c r="B2527" s="14">
        <v>38441</v>
      </c>
      <c r="C2527" s="14" t="s">
        <v>296</v>
      </c>
      <c r="D2527" s="15" t="s">
        <v>109</v>
      </c>
      <c r="E2527" s="15" t="s">
        <v>110</v>
      </c>
      <c r="F2527" s="15" t="s">
        <v>92</v>
      </c>
      <c r="G2527" s="15" t="s">
        <v>25</v>
      </c>
      <c r="H2527" s="15" t="s">
        <v>17</v>
      </c>
      <c r="I2527" s="15" t="s">
        <v>20</v>
      </c>
      <c r="J2527" s="15" t="s">
        <v>242</v>
      </c>
      <c r="K2527" s="15">
        <v>22</v>
      </c>
      <c r="L2527" s="16">
        <v>48</v>
      </c>
      <c r="M2527" s="17">
        <v>1056</v>
      </c>
      <c r="N2527" s="15" t="s">
        <v>367</v>
      </c>
      <c r="O2527" s="15" t="s">
        <v>19</v>
      </c>
      <c r="Q2527"/>
    </row>
    <row r="2528" spans="1:17" ht="15.6" x14ac:dyDescent="0.3">
      <c r="A2528" s="11">
        <v>10398</v>
      </c>
      <c r="B2528" s="10">
        <v>38441</v>
      </c>
      <c r="C2528" s="10" t="s">
        <v>296</v>
      </c>
      <c r="D2528" s="11" t="s">
        <v>109</v>
      </c>
      <c r="E2528" s="11" t="s">
        <v>110</v>
      </c>
      <c r="F2528" s="11" t="s">
        <v>92</v>
      </c>
      <c r="G2528" s="11" t="s">
        <v>25</v>
      </c>
      <c r="H2528" s="11" t="s">
        <v>17</v>
      </c>
      <c r="I2528" s="11" t="s">
        <v>20</v>
      </c>
      <c r="J2528" s="11" t="s">
        <v>242</v>
      </c>
      <c r="K2528" s="11">
        <v>49</v>
      </c>
      <c r="L2528" s="12">
        <v>48</v>
      </c>
      <c r="M2528" s="13">
        <v>2352</v>
      </c>
      <c r="N2528" s="11" t="s">
        <v>367</v>
      </c>
      <c r="O2528" s="11" t="s">
        <v>19</v>
      </c>
      <c r="Q2528"/>
    </row>
    <row r="2529" spans="1:17" ht="15.6" x14ac:dyDescent="0.3">
      <c r="A2529" s="15">
        <v>10398</v>
      </c>
      <c r="B2529" s="14">
        <v>38441</v>
      </c>
      <c r="C2529" s="14" t="s">
        <v>296</v>
      </c>
      <c r="D2529" s="15" t="s">
        <v>109</v>
      </c>
      <c r="E2529" s="15" t="s">
        <v>110</v>
      </c>
      <c r="F2529" s="15" t="s">
        <v>92</v>
      </c>
      <c r="G2529" s="15" t="s">
        <v>25</v>
      </c>
      <c r="H2529" s="15" t="s">
        <v>61</v>
      </c>
      <c r="I2529" s="15" t="s">
        <v>66</v>
      </c>
      <c r="J2529" s="15" t="s">
        <v>265</v>
      </c>
      <c r="K2529" s="15">
        <v>47</v>
      </c>
      <c r="L2529" s="16">
        <v>35</v>
      </c>
      <c r="M2529" s="17">
        <v>1645</v>
      </c>
      <c r="N2529" s="15" t="s">
        <v>367</v>
      </c>
      <c r="O2529" s="15" t="s">
        <v>19</v>
      </c>
      <c r="Q2529"/>
    </row>
    <row r="2530" spans="1:17" ht="15.6" x14ac:dyDescent="0.3">
      <c r="A2530" s="11">
        <v>10398</v>
      </c>
      <c r="B2530" s="10">
        <v>38441</v>
      </c>
      <c r="C2530" s="10" t="s">
        <v>296</v>
      </c>
      <c r="D2530" s="11" t="s">
        <v>109</v>
      </c>
      <c r="E2530" s="11" t="s">
        <v>110</v>
      </c>
      <c r="F2530" s="11" t="s">
        <v>92</v>
      </c>
      <c r="G2530" s="11" t="s">
        <v>25</v>
      </c>
      <c r="H2530" s="11" t="s">
        <v>54</v>
      </c>
      <c r="I2530" s="11" t="s">
        <v>57</v>
      </c>
      <c r="J2530" s="11" t="s">
        <v>260</v>
      </c>
      <c r="K2530" s="11">
        <v>36</v>
      </c>
      <c r="L2530" s="12">
        <v>220</v>
      </c>
      <c r="M2530" s="13">
        <v>7920</v>
      </c>
      <c r="N2530" s="11" t="s">
        <v>367</v>
      </c>
      <c r="O2530" s="11" t="s">
        <v>19</v>
      </c>
      <c r="Q2530"/>
    </row>
    <row r="2531" spans="1:17" ht="15.6" x14ac:dyDescent="0.3">
      <c r="A2531" s="15">
        <v>10398</v>
      </c>
      <c r="B2531" s="14">
        <v>38441</v>
      </c>
      <c r="C2531" s="14" t="s">
        <v>296</v>
      </c>
      <c r="D2531" s="15" t="s">
        <v>109</v>
      </c>
      <c r="E2531" s="15" t="s">
        <v>110</v>
      </c>
      <c r="F2531" s="15" t="s">
        <v>92</v>
      </c>
      <c r="G2531" s="15" t="s">
        <v>25</v>
      </c>
      <c r="H2531" s="15" t="s">
        <v>61</v>
      </c>
      <c r="I2531" s="15" t="s">
        <v>64</v>
      </c>
      <c r="J2531" s="15" t="s">
        <v>263</v>
      </c>
      <c r="K2531" s="15">
        <v>22</v>
      </c>
      <c r="L2531" s="16">
        <v>35</v>
      </c>
      <c r="M2531" s="17">
        <v>770</v>
      </c>
      <c r="N2531" s="15" t="s">
        <v>367</v>
      </c>
      <c r="O2531" s="15" t="s">
        <v>19</v>
      </c>
      <c r="Q2531"/>
    </row>
    <row r="2532" spans="1:17" ht="15.6" x14ac:dyDescent="0.3">
      <c r="A2532" s="11">
        <v>10398</v>
      </c>
      <c r="B2532" s="10">
        <v>38441</v>
      </c>
      <c r="C2532" s="10" t="s">
        <v>296</v>
      </c>
      <c r="D2532" s="11" t="s">
        <v>109</v>
      </c>
      <c r="E2532" s="11" t="s">
        <v>110</v>
      </c>
      <c r="F2532" s="11" t="s">
        <v>92</v>
      </c>
      <c r="G2532" s="11" t="s">
        <v>25</v>
      </c>
      <c r="H2532" s="11" t="s">
        <v>61</v>
      </c>
      <c r="I2532" s="11" t="s">
        <v>62</v>
      </c>
      <c r="J2532" s="11" t="s">
        <v>261</v>
      </c>
      <c r="K2532" s="11">
        <v>23</v>
      </c>
      <c r="L2532" s="12">
        <v>15</v>
      </c>
      <c r="M2532" s="13">
        <v>345</v>
      </c>
      <c r="N2532" s="11" t="s">
        <v>367</v>
      </c>
      <c r="O2532" s="11" t="s">
        <v>19</v>
      </c>
      <c r="Q2532"/>
    </row>
    <row r="2533" spans="1:17" ht="15.6" x14ac:dyDescent="0.3">
      <c r="A2533" s="15">
        <v>10398</v>
      </c>
      <c r="B2533" s="14">
        <v>38441</v>
      </c>
      <c r="C2533" s="14" t="s">
        <v>296</v>
      </c>
      <c r="D2533" s="15" t="s">
        <v>109</v>
      </c>
      <c r="E2533" s="15" t="s">
        <v>110</v>
      </c>
      <c r="F2533" s="15" t="s">
        <v>92</v>
      </c>
      <c r="G2533" s="15" t="s">
        <v>25</v>
      </c>
      <c r="H2533" s="15" t="s">
        <v>61</v>
      </c>
      <c r="I2533" s="15" t="s">
        <v>65</v>
      </c>
      <c r="J2533" s="15" t="s">
        <v>264</v>
      </c>
      <c r="K2533" s="15">
        <v>29</v>
      </c>
      <c r="L2533" s="16">
        <v>30</v>
      </c>
      <c r="M2533" s="17">
        <v>870</v>
      </c>
      <c r="N2533" s="15" t="s">
        <v>367</v>
      </c>
      <c r="O2533" s="15" t="s">
        <v>19</v>
      </c>
      <c r="Q2533"/>
    </row>
    <row r="2534" spans="1:17" ht="15.6" x14ac:dyDescent="0.3">
      <c r="A2534" s="11">
        <v>10398</v>
      </c>
      <c r="B2534" s="10">
        <v>38441</v>
      </c>
      <c r="C2534" s="10" t="s">
        <v>296</v>
      </c>
      <c r="D2534" s="11" t="s">
        <v>109</v>
      </c>
      <c r="E2534" s="11" t="s">
        <v>110</v>
      </c>
      <c r="F2534" s="11" t="s">
        <v>92</v>
      </c>
      <c r="G2534" s="11" t="s">
        <v>25</v>
      </c>
      <c r="H2534" s="11" t="s">
        <v>61</v>
      </c>
      <c r="I2534" s="11" t="s">
        <v>62</v>
      </c>
      <c r="J2534" s="11" t="s">
        <v>261</v>
      </c>
      <c r="K2534" s="11">
        <v>36</v>
      </c>
      <c r="L2534" s="12">
        <v>15</v>
      </c>
      <c r="M2534" s="13">
        <v>540</v>
      </c>
      <c r="N2534" s="11" t="s">
        <v>367</v>
      </c>
      <c r="O2534" s="11" t="s">
        <v>19</v>
      </c>
      <c r="Q2534"/>
    </row>
    <row r="2535" spans="1:17" ht="15.6" x14ac:dyDescent="0.3">
      <c r="A2535" s="15">
        <v>10398</v>
      </c>
      <c r="B2535" s="14">
        <v>38441</v>
      </c>
      <c r="C2535" s="14" t="s">
        <v>296</v>
      </c>
      <c r="D2535" s="15" t="s">
        <v>109</v>
      </c>
      <c r="E2535" s="15" t="s">
        <v>110</v>
      </c>
      <c r="F2535" s="15" t="s">
        <v>92</v>
      </c>
      <c r="G2535" s="15" t="s">
        <v>25</v>
      </c>
      <c r="H2535" s="15" t="s">
        <v>61</v>
      </c>
      <c r="I2535" s="15" t="s">
        <v>62</v>
      </c>
      <c r="J2535" s="15" t="s">
        <v>261</v>
      </c>
      <c r="K2535" s="15">
        <v>34</v>
      </c>
      <c r="L2535" s="16">
        <v>15</v>
      </c>
      <c r="M2535" s="17">
        <v>510</v>
      </c>
      <c r="N2535" s="15" t="s">
        <v>367</v>
      </c>
      <c r="O2535" s="15" t="s">
        <v>19</v>
      </c>
      <c r="Q2535"/>
    </row>
    <row r="2536" spans="1:17" ht="15.6" x14ac:dyDescent="0.3">
      <c r="A2536" s="11">
        <v>10400</v>
      </c>
      <c r="B2536" s="10">
        <v>38443</v>
      </c>
      <c r="C2536" s="10" t="s">
        <v>358</v>
      </c>
      <c r="D2536" s="11" t="s">
        <v>226</v>
      </c>
      <c r="E2536" s="11" t="s">
        <v>227</v>
      </c>
      <c r="F2536" s="11" t="s">
        <v>15</v>
      </c>
      <c r="G2536" s="11" t="s">
        <v>16</v>
      </c>
      <c r="H2536" s="11" t="s">
        <v>32</v>
      </c>
      <c r="I2536" s="11" t="s">
        <v>33</v>
      </c>
      <c r="J2536" s="11" t="s">
        <v>245</v>
      </c>
      <c r="K2536" s="11">
        <v>64</v>
      </c>
      <c r="L2536" s="12">
        <v>85</v>
      </c>
      <c r="M2536" s="13">
        <v>5440</v>
      </c>
      <c r="N2536" s="11" t="s">
        <v>368</v>
      </c>
      <c r="O2536" s="11" t="s">
        <v>19</v>
      </c>
      <c r="Q2536"/>
    </row>
    <row r="2537" spans="1:17" ht="15.6" x14ac:dyDescent="0.3">
      <c r="A2537" s="15">
        <v>10400</v>
      </c>
      <c r="B2537" s="14">
        <v>38443</v>
      </c>
      <c r="C2537" s="14" t="s">
        <v>358</v>
      </c>
      <c r="D2537" s="15" t="s">
        <v>226</v>
      </c>
      <c r="E2537" s="15" t="s">
        <v>227</v>
      </c>
      <c r="F2537" s="15" t="s">
        <v>15</v>
      </c>
      <c r="G2537" s="15" t="s">
        <v>16</v>
      </c>
      <c r="H2537" s="15" t="s">
        <v>61</v>
      </c>
      <c r="I2537" s="15" t="s">
        <v>62</v>
      </c>
      <c r="J2537" s="15" t="s">
        <v>261</v>
      </c>
      <c r="K2537" s="15">
        <v>34</v>
      </c>
      <c r="L2537" s="16">
        <v>15</v>
      </c>
      <c r="M2537" s="17">
        <v>510</v>
      </c>
      <c r="N2537" s="15" t="s">
        <v>367</v>
      </c>
      <c r="O2537" s="15" t="s">
        <v>19</v>
      </c>
      <c r="Q2537"/>
    </row>
    <row r="2538" spans="1:17" ht="15.6" x14ac:dyDescent="0.3">
      <c r="A2538" s="11">
        <v>10400</v>
      </c>
      <c r="B2538" s="10">
        <v>38443</v>
      </c>
      <c r="C2538" s="10" t="s">
        <v>358</v>
      </c>
      <c r="D2538" s="11" t="s">
        <v>226</v>
      </c>
      <c r="E2538" s="11" t="s">
        <v>227</v>
      </c>
      <c r="F2538" s="11" t="s">
        <v>15</v>
      </c>
      <c r="G2538" s="11" t="s">
        <v>16</v>
      </c>
      <c r="H2538" s="11" t="s">
        <v>54</v>
      </c>
      <c r="I2538" s="11" t="s">
        <v>56</v>
      </c>
      <c r="J2538" s="11" t="s">
        <v>259</v>
      </c>
      <c r="K2538" s="11">
        <v>30</v>
      </c>
      <c r="L2538" s="12">
        <v>250</v>
      </c>
      <c r="M2538" s="13">
        <v>7500</v>
      </c>
      <c r="N2538" s="11" t="s">
        <v>367</v>
      </c>
      <c r="O2538" s="11" t="s">
        <v>19</v>
      </c>
      <c r="Q2538"/>
    </row>
    <row r="2539" spans="1:17" ht="15.6" x14ac:dyDescent="0.3">
      <c r="A2539" s="15">
        <v>10400</v>
      </c>
      <c r="B2539" s="14">
        <v>38443</v>
      </c>
      <c r="C2539" s="14" t="s">
        <v>358</v>
      </c>
      <c r="D2539" s="15" t="s">
        <v>226</v>
      </c>
      <c r="E2539" s="15" t="s">
        <v>227</v>
      </c>
      <c r="F2539" s="15" t="s">
        <v>15</v>
      </c>
      <c r="G2539" s="15" t="s">
        <v>16</v>
      </c>
      <c r="H2539" s="15" t="s">
        <v>17</v>
      </c>
      <c r="I2539" s="15" t="s">
        <v>20</v>
      </c>
      <c r="J2539" s="15" t="s">
        <v>242</v>
      </c>
      <c r="K2539" s="15">
        <v>58</v>
      </c>
      <c r="L2539" s="16">
        <v>48</v>
      </c>
      <c r="M2539" s="17">
        <v>2784</v>
      </c>
      <c r="N2539" s="15" t="s">
        <v>368</v>
      </c>
      <c r="O2539" s="15" t="s">
        <v>19</v>
      </c>
      <c r="Q2539"/>
    </row>
    <row r="2540" spans="1:17" ht="15.6" x14ac:dyDescent="0.3">
      <c r="A2540" s="11">
        <v>10400</v>
      </c>
      <c r="B2540" s="10">
        <v>38443</v>
      </c>
      <c r="C2540" s="10" t="s">
        <v>358</v>
      </c>
      <c r="D2540" s="11" t="s">
        <v>226</v>
      </c>
      <c r="E2540" s="11" t="s">
        <v>227</v>
      </c>
      <c r="F2540" s="11" t="s">
        <v>15</v>
      </c>
      <c r="G2540" s="11" t="s">
        <v>16</v>
      </c>
      <c r="H2540" s="11" t="s">
        <v>61</v>
      </c>
      <c r="I2540" s="11" t="s">
        <v>62</v>
      </c>
      <c r="J2540" s="11" t="s">
        <v>261</v>
      </c>
      <c r="K2540" s="11">
        <v>24</v>
      </c>
      <c r="L2540" s="12">
        <v>15</v>
      </c>
      <c r="M2540" s="13">
        <v>360</v>
      </c>
      <c r="N2540" s="11" t="s">
        <v>367</v>
      </c>
      <c r="O2540" s="11" t="s">
        <v>19</v>
      </c>
      <c r="Q2540"/>
    </row>
    <row r="2541" spans="1:17" ht="15.6" x14ac:dyDescent="0.3">
      <c r="A2541" s="15">
        <v>10400</v>
      </c>
      <c r="B2541" s="14">
        <v>38443</v>
      </c>
      <c r="C2541" s="14" t="s">
        <v>358</v>
      </c>
      <c r="D2541" s="15" t="s">
        <v>226</v>
      </c>
      <c r="E2541" s="15" t="s">
        <v>227</v>
      </c>
      <c r="F2541" s="15" t="s">
        <v>15</v>
      </c>
      <c r="G2541" s="15" t="s">
        <v>16</v>
      </c>
      <c r="H2541" s="15" t="s">
        <v>17</v>
      </c>
      <c r="I2541" s="15" t="s">
        <v>52</v>
      </c>
      <c r="J2541" s="15" t="s">
        <v>256</v>
      </c>
      <c r="K2541" s="15">
        <v>38</v>
      </c>
      <c r="L2541" s="16">
        <v>45</v>
      </c>
      <c r="M2541" s="17">
        <v>1710</v>
      </c>
      <c r="N2541" s="15" t="s">
        <v>367</v>
      </c>
      <c r="O2541" s="15" t="s">
        <v>19</v>
      </c>
      <c r="Q2541"/>
    </row>
    <row r="2542" spans="1:17" ht="15.6" x14ac:dyDescent="0.3">
      <c r="A2542" s="11">
        <v>10400</v>
      </c>
      <c r="B2542" s="10">
        <v>38443</v>
      </c>
      <c r="C2542" s="10" t="s">
        <v>358</v>
      </c>
      <c r="D2542" s="11" t="s">
        <v>226</v>
      </c>
      <c r="E2542" s="11" t="s">
        <v>227</v>
      </c>
      <c r="F2542" s="11" t="s">
        <v>15</v>
      </c>
      <c r="G2542" s="11" t="s">
        <v>16</v>
      </c>
      <c r="H2542" s="11" t="s">
        <v>17</v>
      </c>
      <c r="I2542" s="11" t="s">
        <v>20</v>
      </c>
      <c r="J2542" s="11" t="s">
        <v>242</v>
      </c>
      <c r="K2542" s="11">
        <v>42</v>
      </c>
      <c r="L2542" s="12">
        <v>48</v>
      </c>
      <c r="M2542" s="13">
        <v>2016</v>
      </c>
      <c r="N2542" s="11" t="s">
        <v>367</v>
      </c>
      <c r="O2542" s="11" t="s">
        <v>19</v>
      </c>
      <c r="Q2542"/>
    </row>
    <row r="2543" spans="1:17" ht="15.6" x14ac:dyDescent="0.3">
      <c r="A2543" s="15">
        <v>10400</v>
      </c>
      <c r="B2543" s="14">
        <v>38443</v>
      </c>
      <c r="C2543" s="14" t="s">
        <v>358</v>
      </c>
      <c r="D2543" s="15" t="s">
        <v>226</v>
      </c>
      <c r="E2543" s="15" t="s">
        <v>227</v>
      </c>
      <c r="F2543" s="15" t="s">
        <v>15</v>
      </c>
      <c r="G2543" s="15" t="s">
        <v>16</v>
      </c>
      <c r="H2543" s="15" t="s">
        <v>54</v>
      </c>
      <c r="I2543" s="15" t="s">
        <v>57</v>
      </c>
      <c r="J2543" s="15" t="s">
        <v>260</v>
      </c>
      <c r="K2543" s="15">
        <v>46</v>
      </c>
      <c r="L2543" s="16">
        <v>220</v>
      </c>
      <c r="M2543" s="17">
        <v>10120</v>
      </c>
      <c r="N2543" s="15" t="s">
        <v>367</v>
      </c>
      <c r="O2543" s="15" t="s">
        <v>19</v>
      </c>
      <c r="Q2543"/>
    </row>
    <row r="2544" spans="1:17" ht="15.6" x14ac:dyDescent="0.3">
      <c r="A2544" s="11">
        <v>10400</v>
      </c>
      <c r="B2544" s="10">
        <v>38443</v>
      </c>
      <c r="C2544" s="10" t="s">
        <v>358</v>
      </c>
      <c r="D2544" s="11" t="s">
        <v>226</v>
      </c>
      <c r="E2544" s="11" t="s">
        <v>227</v>
      </c>
      <c r="F2544" s="11" t="s">
        <v>15</v>
      </c>
      <c r="G2544" s="11" t="s">
        <v>16</v>
      </c>
      <c r="H2544" s="11" t="s">
        <v>61</v>
      </c>
      <c r="I2544" s="11" t="s">
        <v>66</v>
      </c>
      <c r="J2544" s="11" t="s">
        <v>265</v>
      </c>
      <c r="K2544" s="11">
        <v>20</v>
      </c>
      <c r="L2544" s="12">
        <v>35</v>
      </c>
      <c r="M2544" s="13">
        <v>700</v>
      </c>
      <c r="N2544" s="11" t="s">
        <v>367</v>
      </c>
      <c r="O2544" s="11" t="s">
        <v>19</v>
      </c>
      <c r="Q2544"/>
    </row>
    <row r="2545" spans="1:17" ht="15.6" x14ac:dyDescent="0.3">
      <c r="A2545" s="15">
        <v>10402</v>
      </c>
      <c r="B2545" s="14">
        <v>38449</v>
      </c>
      <c r="C2545" s="14" t="s">
        <v>345</v>
      </c>
      <c r="D2545" s="15" t="s">
        <v>201</v>
      </c>
      <c r="E2545" s="15" t="s">
        <v>91</v>
      </c>
      <c r="F2545" s="15" t="s">
        <v>92</v>
      </c>
      <c r="G2545" s="15" t="s">
        <v>25</v>
      </c>
      <c r="H2545" s="15" t="s">
        <v>68</v>
      </c>
      <c r="I2545" s="15" t="s">
        <v>69</v>
      </c>
      <c r="J2545" s="15" t="s">
        <v>266</v>
      </c>
      <c r="K2545" s="15">
        <v>45</v>
      </c>
      <c r="L2545" s="16">
        <v>25</v>
      </c>
      <c r="M2545" s="17">
        <v>1125</v>
      </c>
      <c r="N2545" s="15" t="s">
        <v>367</v>
      </c>
      <c r="O2545" s="15" t="s">
        <v>19</v>
      </c>
      <c r="Q2545"/>
    </row>
    <row r="2546" spans="1:17" ht="15.6" x14ac:dyDescent="0.3">
      <c r="A2546" s="11">
        <v>10402</v>
      </c>
      <c r="B2546" s="10">
        <v>38449</v>
      </c>
      <c r="C2546" s="10" t="s">
        <v>345</v>
      </c>
      <c r="D2546" s="11" t="s">
        <v>201</v>
      </c>
      <c r="E2546" s="11" t="s">
        <v>91</v>
      </c>
      <c r="F2546" s="11" t="s">
        <v>92</v>
      </c>
      <c r="G2546" s="11" t="s">
        <v>25</v>
      </c>
      <c r="H2546" s="11" t="s">
        <v>68</v>
      </c>
      <c r="I2546" s="11" t="s">
        <v>69</v>
      </c>
      <c r="J2546" s="11" t="s">
        <v>266</v>
      </c>
      <c r="K2546" s="11">
        <v>55</v>
      </c>
      <c r="L2546" s="12">
        <v>25</v>
      </c>
      <c r="M2546" s="13">
        <v>1375</v>
      </c>
      <c r="N2546" s="11" t="s">
        <v>368</v>
      </c>
      <c r="O2546" s="11" t="s">
        <v>19</v>
      </c>
      <c r="Q2546"/>
    </row>
    <row r="2547" spans="1:17" ht="15.6" x14ac:dyDescent="0.3">
      <c r="A2547" s="15">
        <v>10402</v>
      </c>
      <c r="B2547" s="14">
        <v>38449</v>
      </c>
      <c r="C2547" s="14" t="s">
        <v>345</v>
      </c>
      <c r="D2547" s="15" t="s">
        <v>201</v>
      </c>
      <c r="E2547" s="15" t="s">
        <v>91</v>
      </c>
      <c r="F2547" s="15" t="s">
        <v>92</v>
      </c>
      <c r="G2547" s="15" t="s">
        <v>25</v>
      </c>
      <c r="H2547" s="15" t="s">
        <v>68</v>
      </c>
      <c r="I2547" s="15" t="s">
        <v>70</v>
      </c>
      <c r="J2547" s="15" t="s">
        <v>267</v>
      </c>
      <c r="K2547" s="15">
        <v>59</v>
      </c>
      <c r="L2547" s="16">
        <v>50</v>
      </c>
      <c r="M2547" s="17">
        <v>2950</v>
      </c>
      <c r="N2547" s="15" t="s">
        <v>368</v>
      </c>
      <c r="O2547" s="15" t="s">
        <v>19</v>
      </c>
      <c r="Q2547"/>
    </row>
    <row r="2548" spans="1:17" ht="15.6" x14ac:dyDescent="0.3">
      <c r="A2548" s="11">
        <v>10403</v>
      </c>
      <c r="B2548" s="10">
        <v>38450</v>
      </c>
      <c r="C2548" s="10" t="s">
        <v>320</v>
      </c>
      <c r="D2548" s="11" t="s">
        <v>154</v>
      </c>
      <c r="E2548" s="11" t="s">
        <v>155</v>
      </c>
      <c r="F2548" s="11" t="s">
        <v>81</v>
      </c>
      <c r="G2548" s="11" t="s">
        <v>25</v>
      </c>
      <c r="H2548" s="11" t="s">
        <v>68</v>
      </c>
      <c r="I2548" s="11" t="s">
        <v>76</v>
      </c>
      <c r="J2548" s="11" t="s">
        <v>269</v>
      </c>
      <c r="K2548" s="11">
        <v>24</v>
      </c>
      <c r="L2548" s="12">
        <v>30</v>
      </c>
      <c r="M2548" s="13">
        <v>720</v>
      </c>
      <c r="N2548" s="11" t="s">
        <v>367</v>
      </c>
      <c r="O2548" s="11" t="s">
        <v>19</v>
      </c>
      <c r="Q2548"/>
    </row>
    <row r="2549" spans="1:17" ht="15.6" x14ac:dyDescent="0.3">
      <c r="A2549" s="15">
        <v>10403</v>
      </c>
      <c r="B2549" s="14">
        <v>38450</v>
      </c>
      <c r="C2549" s="14" t="s">
        <v>320</v>
      </c>
      <c r="D2549" s="15" t="s">
        <v>154</v>
      </c>
      <c r="E2549" s="15" t="s">
        <v>155</v>
      </c>
      <c r="F2549" s="15" t="s">
        <v>81</v>
      </c>
      <c r="G2549" s="15" t="s">
        <v>25</v>
      </c>
      <c r="H2549" s="15" t="s">
        <v>68</v>
      </c>
      <c r="I2549" s="15" t="s">
        <v>69</v>
      </c>
      <c r="J2549" s="15" t="s">
        <v>266</v>
      </c>
      <c r="K2549" s="15">
        <v>66</v>
      </c>
      <c r="L2549" s="16">
        <v>25</v>
      </c>
      <c r="M2549" s="17">
        <v>1650</v>
      </c>
      <c r="N2549" s="15" t="s">
        <v>368</v>
      </c>
      <c r="O2549" s="15" t="s">
        <v>19</v>
      </c>
      <c r="Q2549"/>
    </row>
    <row r="2550" spans="1:17" ht="15.6" x14ac:dyDescent="0.3">
      <c r="A2550" s="11">
        <v>10403</v>
      </c>
      <c r="B2550" s="10">
        <v>38450</v>
      </c>
      <c r="C2550" s="10" t="s">
        <v>320</v>
      </c>
      <c r="D2550" s="11" t="s">
        <v>154</v>
      </c>
      <c r="E2550" s="11" t="s">
        <v>155</v>
      </c>
      <c r="F2550" s="11" t="s">
        <v>81</v>
      </c>
      <c r="G2550" s="11" t="s">
        <v>25</v>
      </c>
      <c r="H2550" s="11" t="s">
        <v>68</v>
      </c>
      <c r="I2550" s="11" t="s">
        <v>70</v>
      </c>
      <c r="J2550" s="11" t="s">
        <v>267</v>
      </c>
      <c r="K2550" s="11">
        <v>66</v>
      </c>
      <c r="L2550" s="12">
        <v>50</v>
      </c>
      <c r="M2550" s="13">
        <v>3300</v>
      </c>
      <c r="N2550" s="11" t="s">
        <v>368</v>
      </c>
      <c r="O2550" s="11" t="s">
        <v>19</v>
      </c>
      <c r="Q2550"/>
    </row>
    <row r="2551" spans="1:17" ht="15.6" x14ac:dyDescent="0.3">
      <c r="A2551" s="15">
        <v>10403</v>
      </c>
      <c r="B2551" s="14">
        <v>38450</v>
      </c>
      <c r="C2551" s="14" t="s">
        <v>320</v>
      </c>
      <c r="D2551" s="15" t="s">
        <v>154</v>
      </c>
      <c r="E2551" s="15" t="s">
        <v>155</v>
      </c>
      <c r="F2551" s="15" t="s">
        <v>81</v>
      </c>
      <c r="G2551" s="15" t="s">
        <v>25</v>
      </c>
      <c r="H2551" s="15" t="s">
        <v>68</v>
      </c>
      <c r="I2551" s="15" t="s">
        <v>69</v>
      </c>
      <c r="J2551" s="15" t="s">
        <v>266</v>
      </c>
      <c r="K2551" s="15">
        <v>36</v>
      </c>
      <c r="L2551" s="16">
        <v>25</v>
      </c>
      <c r="M2551" s="17">
        <v>900</v>
      </c>
      <c r="N2551" s="15" t="s">
        <v>367</v>
      </c>
      <c r="O2551" s="15" t="s">
        <v>19</v>
      </c>
      <c r="Q2551"/>
    </row>
    <row r="2552" spans="1:17" ht="15.6" x14ac:dyDescent="0.3">
      <c r="A2552" s="11">
        <v>10403</v>
      </c>
      <c r="B2552" s="10">
        <v>38450</v>
      </c>
      <c r="C2552" s="10" t="s">
        <v>320</v>
      </c>
      <c r="D2552" s="11" t="s">
        <v>154</v>
      </c>
      <c r="E2552" s="11" t="s">
        <v>155</v>
      </c>
      <c r="F2552" s="11" t="s">
        <v>81</v>
      </c>
      <c r="G2552" s="11" t="s">
        <v>25</v>
      </c>
      <c r="H2552" s="11" t="s">
        <v>68</v>
      </c>
      <c r="I2552" s="11" t="s">
        <v>108</v>
      </c>
      <c r="J2552" s="11" t="s">
        <v>271</v>
      </c>
      <c r="K2552" s="11">
        <v>46</v>
      </c>
      <c r="L2552" s="12">
        <v>45</v>
      </c>
      <c r="M2552" s="13">
        <v>2070</v>
      </c>
      <c r="N2552" s="11" t="s">
        <v>367</v>
      </c>
      <c r="O2552" s="11" t="s">
        <v>19</v>
      </c>
      <c r="Q2552"/>
    </row>
    <row r="2553" spans="1:17" ht="15.6" x14ac:dyDescent="0.3">
      <c r="A2553" s="15">
        <v>10403</v>
      </c>
      <c r="B2553" s="14">
        <v>38450</v>
      </c>
      <c r="C2553" s="14" t="s">
        <v>320</v>
      </c>
      <c r="D2553" s="15" t="s">
        <v>154</v>
      </c>
      <c r="E2553" s="15" t="s">
        <v>155</v>
      </c>
      <c r="F2553" s="15" t="s">
        <v>81</v>
      </c>
      <c r="G2553" s="15" t="s">
        <v>25</v>
      </c>
      <c r="H2553" s="15" t="s">
        <v>68</v>
      </c>
      <c r="I2553" s="15" t="s">
        <v>75</v>
      </c>
      <c r="J2553" s="15" t="s">
        <v>268</v>
      </c>
      <c r="K2553" s="15">
        <v>27</v>
      </c>
      <c r="L2553" s="16">
        <v>35</v>
      </c>
      <c r="M2553" s="17">
        <v>945</v>
      </c>
      <c r="N2553" s="15" t="s">
        <v>367</v>
      </c>
      <c r="O2553" s="15" t="s">
        <v>19</v>
      </c>
      <c r="Q2553"/>
    </row>
    <row r="2554" spans="1:17" ht="15.6" x14ac:dyDescent="0.3">
      <c r="A2554" s="11">
        <v>10403</v>
      </c>
      <c r="B2554" s="10">
        <v>38450</v>
      </c>
      <c r="C2554" s="10" t="s">
        <v>320</v>
      </c>
      <c r="D2554" s="11" t="s">
        <v>154</v>
      </c>
      <c r="E2554" s="11" t="s">
        <v>155</v>
      </c>
      <c r="F2554" s="11" t="s">
        <v>81</v>
      </c>
      <c r="G2554" s="11" t="s">
        <v>25</v>
      </c>
      <c r="H2554" s="11" t="s">
        <v>68</v>
      </c>
      <c r="I2554" s="11" t="s">
        <v>69</v>
      </c>
      <c r="J2554" s="11" t="s">
        <v>266</v>
      </c>
      <c r="K2554" s="11">
        <v>30</v>
      </c>
      <c r="L2554" s="12">
        <v>25</v>
      </c>
      <c r="M2554" s="13">
        <v>750</v>
      </c>
      <c r="N2554" s="11" t="s">
        <v>367</v>
      </c>
      <c r="O2554" s="11" t="s">
        <v>19</v>
      </c>
      <c r="Q2554"/>
    </row>
    <row r="2555" spans="1:17" ht="15.6" x14ac:dyDescent="0.3">
      <c r="A2555" s="15">
        <v>10403</v>
      </c>
      <c r="B2555" s="14">
        <v>38450</v>
      </c>
      <c r="C2555" s="14" t="s">
        <v>320</v>
      </c>
      <c r="D2555" s="15" t="s">
        <v>154</v>
      </c>
      <c r="E2555" s="15" t="s">
        <v>155</v>
      </c>
      <c r="F2555" s="15" t="s">
        <v>81</v>
      </c>
      <c r="G2555" s="15" t="s">
        <v>25</v>
      </c>
      <c r="H2555" s="15" t="s">
        <v>68</v>
      </c>
      <c r="I2555" s="15" t="s">
        <v>108</v>
      </c>
      <c r="J2555" s="15" t="s">
        <v>271</v>
      </c>
      <c r="K2555" s="15">
        <v>45</v>
      </c>
      <c r="L2555" s="16">
        <v>45</v>
      </c>
      <c r="M2555" s="17">
        <v>2025</v>
      </c>
      <c r="N2555" s="15" t="s">
        <v>367</v>
      </c>
      <c r="O2555" s="15" t="s">
        <v>19</v>
      </c>
      <c r="Q2555"/>
    </row>
    <row r="2556" spans="1:17" ht="15.6" x14ac:dyDescent="0.3">
      <c r="A2556" s="11">
        <v>10403</v>
      </c>
      <c r="B2556" s="10">
        <v>38450</v>
      </c>
      <c r="C2556" s="10" t="s">
        <v>320</v>
      </c>
      <c r="D2556" s="11" t="s">
        <v>154</v>
      </c>
      <c r="E2556" s="11" t="s">
        <v>155</v>
      </c>
      <c r="F2556" s="11" t="s">
        <v>81</v>
      </c>
      <c r="G2556" s="11" t="s">
        <v>25</v>
      </c>
      <c r="H2556" s="11" t="s">
        <v>68</v>
      </c>
      <c r="I2556" s="11" t="s">
        <v>70</v>
      </c>
      <c r="J2556" s="11" t="s">
        <v>267</v>
      </c>
      <c r="K2556" s="11">
        <v>31</v>
      </c>
      <c r="L2556" s="12">
        <v>50</v>
      </c>
      <c r="M2556" s="13">
        <v>1550</v>
      </c>
      <c r="N2556" s="11" t="s">
        <v>367</v>
      </c>
      <c r="O2556" s="11" t="s">
        <v>19</v>
      </c>
      <c r="Q2556"/>
    </row>
    <row r="2557" spans="1:17" ht="15.6" x14ac:dyDescent="0.3">
      <c r="A2557" s="15">
        <v>10405</v>
      </c>
      <c r="B2557" s="14">
        <v>38456</v>
      </c>
      <c r="C2557" s="14" t="s">
        <v>356</v>
      </c>
      <c r="D2557" s="15" t="s">
        <v>223</v>
      </c>
      <c r="E2557" s="15" t="s">
        <v>224</v>
      </c>
      <c r="F2557" s="15" t="s">
        <v>92</v>
      </c>
      <c r="G2557" s="15" t="s">
        <v>25</v>
      </c>
      <c r="H2557" s="15" t="s">
        <v>32</v>
      </c>
      <c r="I2557" s="15" t="s">
        <v>44</v>
      </c>
      <c r="J2557" s="15" t="s">
        <v>252</v>
      </c>
      <c r="K2557" s="15">
        <v>97</v>
      </c>
      <c r="L2557" s="16">
        <v>55</v>
      </c>
      <c r="M2557" s="17">
        <v>5335</v>
      </c>
      <c r="N2557" s="15" t="s">
        <v>369</v>
      </c>
      <c r="O2557" s="15" t="s">
        <v>19</v>
      </c>
      <c r="Q2557"/>
    </row>
    <row r="2558" spans="1:17" ht="15.6" x14ac:dyDescent="0.3">
      <c r="A2558" s="11">
        <v>10405</v>
      </c>
      <c r="B2558" s="10">
        <v>38456</v>
      </c>
      <c r="C2558" s="10" t="s">
        <v>356</v>
      </c>
      <c r="D2558" s="11" t="s">
        <v>223</v>
      </c>
      <c r="E2558" s="11" t="s">
        <v>224</v>
      </c>
      <c r="F2558" s="11" t="s">
        <v>92</v>
      </c>
      <c r="G2558" s="11" t="s">
        <v>25</v>
      </c>
      <c r="H2558" s="11" t="s">
        <v>32</v>
      </c>
      <c r="I2558" s="11" t="s">
        <v>44</v>
      </c>
      <c r="J2558" s="11" t="s">
        <v>252</v>
      </c>
      <c r="K2558" s="11">
        <v>61</v>
      </c>
      <c r="L2558" s="12">
        <v>55</v>
      </c>
      <c r="M2558" s="13">
        <v>3355</v>
      </c>
      <c r="N2558" s="11" t="s">
        <v>368</v>
      </c>
      <c r="O2558" s="11" t="s">
        <v>19</v>
      </c>
      <c r="Q2558"/>
    </row>
    <row r="2559" spans="1:17" ht="15.6" x14ac:dyDescent="0.3">
      <c r="A2559" s="15">
        <v>10405</v>
      </c>
      <c r="B2559" s="14">
        <v>38456</v>
      </c>
      <c r="C2559" s="14" t="s">
        <v>356</v>
      </c>
      <c r="D2559" s="15" t="s">
        <v>223</v>
      </c>
      <c r="E2559" s="15" t="s">
        <v>224</v>
      </c>
      <c r="F2559" s="15" t="s">
        <v>92</v>
      </c>
      <c r="G2559" s="15" t="s">
        <v>25</v>
      </c>
      <c r="H2559" s="15" t="s">
        <v>32</v>
      </c>
      <c r="I2559" s="15" t="s">
        <v>34</v>
      </c>
      <c r="J2559" s="15" t="s">
        <v>246</v>
      </c>
      <c r="K2559" s="15">
        <v>55</v>
      </c>
      <c r="L2559" s="16">
        <v>80</v>
      </c>
      <c r="M2559" s="17">
        <v>4400</v>
      </c>
      <c r="N2559" s="15" t="s">
        <v>368</v>
      </c>
      <c r="O2559" s="15" t="s">
        <v>19</v>
      </c>
      <c r="Q2559"/>
    </row>
    <row r="2560" spans="1:17" ht="15.6" x14ac:dyDescent="0.3">
      <c r="A2560" s="11">
        <v>10405</v>
      </c>
      <c r="B2560" s="10">
        <v>38456</v>
      </c>
      <c r="C2560" s="10" t="s">
        <v>356</v>
      </c>
      <c r="D2560" s="11" t="s">
        <v>223</v>
      </c>
      <c r="E2560" s="11" t="s">
        <v>224</v>
      </c>
      <c r="F2560" s="11" t="s">
        <v>92</v>
      </c>
      <c r="G2560" s="11" t="s">
        <v>25</v>
      </c>
      <c r="H2560" s="11" t="s">
        <v>32</v>
      </c>
      <c r="I2560" s="11" t="s">
        <v>33</v>
      </c>
      <c r="J2560" s="11" t="s">
        <v>245</v>
      </c>
      <c r="K2560" s="11">
        <v>47</v>
      </c>
      <c r="L2560" s="12">
        <v>85</v>
      </c>
      <c r="M2560" s="13">
        <v>3995</v>
      </c>
      <c r="N2560" s="11" t="s">
        <v>367</v>
      </c>
      <c r="O2560" s="11" t="s">
        <v>19</v>
      </c>
      <c r="Q2560"/>
    </row>
    <row r="2561" spans="1:17" ht="15.6" x14ac:dyDescent="0.3">
      <c r="A2561" s="15">
        <v>10405</v>
      </c>
      <c r="B2561" s="14">
        <v>38456</v>
      </c>
      <c r="C2561" s="14" t="s">
        <v>356</v>
      </c>
      <c r="D2561" s="15" t="s">
        <v>223</v>
      </c>
      <c r="E2561" s="15" t="s">
        <v>224</v>
      </c>
      <c r="F2561" s="15" t="s">
        <v>92</v>
      </c>
      <c r="G2561" s="15" t="s">
        <v>25</v>
      </c>
      <c r="H2561" s="15" t="s">
        <v>32</v>
      </c>
      <c r="I2561" s="15" t="s">
        <v>34</v>
      </c>
      <c r="J2561" s="15" t="s">
        <v>246</v>
      </c>
      <c r="K2561" s="15">
        <v>76</v>
      </c>
      <c r="L2561" s="16">
        <v>80</v>
      </c>
      <c r="M2561" s="17">
        <v>6080</v>
      </c>
      <c r="N2561" s="15" t="s">
        <v>369</v>
      </c>
      <c r="O2561" s="15" t="s">
        <v>19</v>
      </c>
      <c r="Q2561"/>
    </row>
    <row r="2562" spans="1:17" ht="15.6" x14ac:dyDescent="0.3">
      <c r="A2562" s="11">
        <v>10408</v>
      </c>
      <c r="B2562" s="10">
        <v>38464</v>
      </c>
      <c r="C2562" s="10" t="s">
        <v>359</v>
      </c>
      <c r="D2562" s="11" t="s">
        <v>228</v>
      </c>
      <c r="E2562" s="11" t="s">
        <v>229</v>
      </c>
      <c r="F2562" s="11" t="s">
        <v>74</v>
      </c>
      <c r="G2562" s="11" t="s">
        <v>74</v>
      </c>
      <c r="H2562" s="11" t="s">
        <v>17</v>
      </c>
      <c r="I2562" s="11" t="s">
        <v>20</v>
      </c>
      <c r="J2562" s="11" t="s">
        <v>242</v>
      </c>
      <c r="K2562" s="11">
        <v>15</v>
      </c>
      <c r="L2562" s="12">
        <v>48</v>
      </c>
      <c r="M2562" s="13">
        <v>720</v>
      </c>
      <c r="N2562" s="11" t="s">
        <v>367</v>
      </c>
      <c r="O2562" s="11" t="s">
        <v>19</v>
      </c>
      <c r="Q2562"/>
    </row>
    <row r="2563" spans="1:17" ht="15.6" x14ac:dyDescent="0.3">
      <c r="A2563" s="15">
        <v>10409</v>
      </c>
      <c r="B2563" s="14">
        <v>38465</v>
      </c>
      <c r="C2563" s="14" t="s">
        <v>347</v>
      </c>
      <c r="D2563" s="15" t="s">
        <v>204</v>
      </c>
      <c r="E2563" s="15" t="s">
        <v>98</v>
      </c>
      <c r="F2563" s="15" t="s">
        <v>98</v>
      </c>
      <c r="G2563" s="15" t="s">
        <v>107</v>
      </c>
      <c r="H2563" s="15" t="s">
        <v>17</v>
      </c>
      <c r="I2563" s="15" t="s">
        <v>20</v>
      </c>
      <c r="J2563" s="15" t="s">
        <v>242</v>
      </c>
      <c r="K2563" s="15">
        <v>6</v>
      </c>
      <c r="L2563" s="16">
        <v>48</v>
      </c>
      <c r="M2563" s="17">
        <v>288</v>
      </c>
      <c r="N2563" s="15" t="s">
        <v>367</v>
      </c>
      <c r="O2563" s="15" t="s">
        <v>19</v>
      </c>
      <c r="Q2563"/>
    </row>
    <row r="2564" spans="1:17" ht="15.6" x14ac:dyDescent="0.3">
      <c r="A2564" s="11">
        <v>10409</v>
      </c>
      <c r="B2564" s="10">
        <v>38465</v>
      </c>
      <c r="C2564" s="10" t="s">
        <v>347</v>
      </c>
      <c r="D2564" s="11" t="s">
        <v>204</v>
      </c>
      <c r="E2564" s="11" t="s">
        <v>98</v>
      </c>
      <c r="F2564" s="11" t="s">
        <v>98</v>
      </c>
      <c r="G2564" s="11" t="s">
        <v>107</v>
      </c>
      <c r="H2564" s="11" t="s">
        <v>17</v>
      </c>
      <c r="I2564" s="11" t="s">
        <v>20</v>
      </c>
      <c r="J2564" s="11" t="s">
        <v>242</v>
      </c>
      <c r="K2564" s="11">
        <v>61</v>
      </c>
      <c r="L2564" s="12">
        <v>48</v>
      </c>
      <c r="M2564" s="13">
        <v>2928</v>
      </c>
      <c r="N2564" s="11" t="s">
        <v>368</v>
      </c>
      <c r="O2564" s="11" t="s">
        <v>19</v>
      </c>
      <c r="Q2564"/>
    </row>
    <row r="2565" spans="1:17" ht="15.6" x14ac:dyDescent="0.3">
      <c r="A2565" s="15">
        <v>10411</v>
      </c>
      <c r="B2565" s="14">
        <v>38473</v>
      </c>
      <c r="C2565" s="14" t="s">
        <v>327</v>
      </c>
      <c r="D2565" s="15" t="s">
        <v>167</v>
      </c>
      <c r="E2565" s="15" t="s">
        <v>168</v>
      </c>
      <c r="F2565" s="15" t="s">
        <v>169</v>
      </c>
      <c r="G2565" s="15" t="s">
        <v>16</v>
      </c>
      <c r="H2565" s="15" t="s">
        <v>32</v>
      </c>
      <c r="I2565" s="15" t="s">
        <v>33</v>
      </c>
      <c r="J2565" s="15" t="s">
        <v>245</v>
      </c>
      <c r="K2565" s="15">
        <v>23</v>
      </c>
      <c r="L2565" s="16">
        <v>85</v>
      </c>
      <c r="M2565" s="17">
        <v>1955</v>
      </c>
      <c r="N2565" s="15" t="s">
        <v>367</v>
      </c>
      <c r="O2565" s="15" t="s">
        <v>19</v>
      </c>
      <c r="Q2565"/>
    </row>
    <row r="2566" spans="1:17" ht="15.6" x14ac:dyDescent="0.3">
      <c r="A2566" s="11">
        <v>10411</v>
      </c>
      <c r="B2566" s="10">
        <v>38473</v>
      </c>
      <c r="C2566" s="10" t="s">
        <v>327</v>
      </c>
      <c r="D2566" s="11" t="s">
        <v>167</v>
      </c>
      <c r="E2566" s="11" t="s">
        <v>168</v>
      </c>
      <c r="F2566" s="11" t="s">
        <v>169</v>
      </c>
      <c r="G2566" s="11" t="s">
        <v>16</v>
      </c>
      <c r="H2566" s="11" t="s">
        <v>32</v>
      </c>
      <c r="I2566" s="11" t="s">
        <v>34</v>
      </c>
      <c r="J2566" s="11" t="s">
        <v>246</v>
      </c>
      <c r="K2566" s="11">
        <v>27</v>
      </c>
      <c r="L2566" s="12">
        <v>80</v>
      </c>
      <c r="M2566" s="13">
        <v>2160</v>
      </c>
      <c r="N2566" s="11" t="s">
        <v>367</v>
      </c>
      <c r="O2566" s="11" t="s">
        <v>19</v>
      </c>
      <c r="Q2566"/>
    </row>
    <row r="2567" spans="1:17" ht="15.6" x14ac:dyDescent="0.3">
      <c r="A2567" s="15">
        <v>10411</v>
      </c>
      <c r="B2567" s="14">
        <v>38473</v>
      </c>
      <c r="C2567" s="14" t="s">
        <v>327</v>
      </c>
      <c r="D2567" s="15" t="s">
        <v>167</v>
      </c>
      <c r="E2567" s="15" t="s">
        <v>168</v>
      </c>
      <c r="F2567" s="15" t="s">
        <v>169</v>
      </c>
      <c r="G2567" s="15" t="s">
        <v>16</v>
      </c>
      <c r="H2567" s="15" t="s">
        <v>35</v>
      </c>
      <c r="I2567" s="15" t="s">
        <v>38</v>
      </c>
      <c r="J2567" s="15" t="s">
        <v>249</v>
      </c>
      <c r="K2567" s="15">
        <v>40</v>
      </c>
      <c r="L2567" s="16">
        <v>20</v>
      </c>
      <c r="M2567" s="17">
        <v>800</v>
      </c>
      <c r="N2567" s="15" t="s">
        <v>367</v>
      </c>
      <c r="O2567" s="15" t="s">
        <v>19</v>
      </c>
      <c r="Q2567"/>
    </row>
    <row r="2568" spans="1:17" ht="15.6" x14ac:dyDescent="0.3">
      <c r="A2568" s="11">
        <v>10411</v>
      </c>
      <c r="B2568" s="10">
        <v>38473</v>
      </c>
      <c r="C2568" s="10" t="s">
        <v>327</v>
      </c>
      <c r="D2568" s="11" t="s">
        <v>167</v>
      </c>
      <c r="E2568" s="11" t="s">
        <v>168</v>
      </c>
      <c r="F2568" s="11" t="s">
        <v>169</v>
      </c>
      <c r="G2568" s="11" t="s">
        <v>16</v>
      </c>
      <c r="H2568" s="11" t="s">
        <v>35</v>
      </c>
      <c r="I2568" s="11" t="s">
        <v>39</v>
      </c>
      <c r="J2568" s="11" t="s">
        <v>250</v>
      </c>
      <c r="K2568" s="11">
        <v>27</v>
      </c>
      <c r="L2568" s="12">
        <v>20</v>
      </c>
      <c r="M2568" s="13">
        <v>540</v>
      </c>
      <c r="N2568" s="11" t="s">
        <v>367</v>
      </c>
      <c r="O2568" s="11" t="s">
        <v>19</v>
      </c>
      <c r="Q2568"/>
    </row>
    <row r="2569" spans="1:17" ht="15.6" x14ac:dyDescent="0.3">
      <c r="A2569" s="15">
        <v>10411</v>
      </c>
      <c r="B2569" s="14">
        <v>38473</v>
      </c>
      <c r="C2569" s="14" t="s">
        <v>327</v>
      </c>
      <c r="D2569" s="15" t="s">
        <v>167</v>
      </c>
      <c r="E2569" s="15" t="s">
        <v>168</v>
      </c>
      <c r="F2569" s="15" t="s">
        <v>169</v>
      </c>
      <c r="G2569" s="15" t="s">
        <v>16</v>
      </c>
      <c r="H2569" s="15" t="s">
        <v>35</v>
      </c>
      <c r="I2569" s="15" t="s">
        <v>38</v>
      </c>
      <c r="J2569" s="15" t="s">
        <v>249</v>
      </c>
      <c r="K2569" s="15">
        <v>46</v>
      </c>
      <c r="L2569" s="16">
        <v>20</v>
      </c>
      <c r="M2569" s="17">
        <v>920</v>
      </c>
      <c r="N2569" s="15" t="s">
        <v>367</v>
      </c>
      <c r="O2569" s="15" t="s">
        <v>19</v>
      </c>
      <c r="Q2569"/>
    </row>
    <row r="2570" spans="1:17" ht="15.6" x14ac:dyDescent="0.3">
      <c r="A2570" s="11">
        <v>10411</v>
      </c>
      <c r="B2570" s="10">
        <v>38473</v>
      </c>
      <c r="C2570" s="10" t="s">
        <v>327</v>
      </c>
      <c r="D2570" s="11" t="s">
        <v>167</v>
      </c>
      <c r="E2570" s="11" t="s">
        <v>168</v>
      </c>
      <c r="F2570" s="11" t="s">
        <v>169</v>
      </c>
      <c r="G2570" s="11" t="s">
        <v>16</v>
      </c>
      <c r="H2570" s="11" t="s">
        <v>17</v>
      </c>
      <c r="I2570" s="11" t="s">
        <v>26</v>
      </c>
      <c r="J2570" s="11" t="s">
        <v>244</v>
      </c>
      <c r="K2570" s="11">
        <v>35</v>
      </c>
      <c r="L2570" s="12">
        <v>60</v>
      </c>
      <c r="M2570" s="13">
        <v>2100</v>
      </c>
      <c r="N2570" s="11" t="s">
        <v>367</v>
      </c>
      <c r="O2570" s="11" t="s">
        <v>19</v>
      </c>
      <c r="Q2570"/>
    </row>
    <row r="2571" spans="1:17" ht="15.6" x14ac:dyDescent="0.3">
      <c r="A2571" s="15">
        <v>10411</v>
      </c>
      <c r="B2571" s="14">
        <v>38473</v>
      </c>
      <c r="C2571" s="14" t="s">
        <v>327</v>
      </c>
      <c r="D2571" s="15" t="s">
        <v>167</v>
      </c>
      <c r="E2571" s="15" t="s">
        <v>168</v>
      </c>
      <c r="F2571" s="15" t="s">
        <v>169</v>
      </c>
      <c r="G2571" s="15" t="s">
        <v>16</v>
      </c>
      <c r="H2571" s="15" t="s">
        <v>35</v>
      </c>
      <c r="I2571" s="15" t="s">
        <v>39</v>
      </c>
      <c r="J2571" s="15" t="s">
        <v>250</v>
      </c>
      <c r="K2571" s="15">
        <v>26</v>
      </c>
      <c r="L2571" s="16">
        <v>20</v>
      </c>
      <c r="M2571" s="17">
        <v>520</v>
      </c>
      <c r="N2571" s="15" t="s">
        <v>367</v>
      </c>
      <c r="O2571" s="15" t="s">
        <v>19</v>
      </c>
      <c r="Q2571"/>
    </row>
    <row r="2572" spans="1:17" ht="15.6" x14ac:dyDescent="0.3">
      <c r="A2572" s="11">
        <v>10411</v>
      </c>
      <c r="B2572" s="10">
        <v>38473</v>
      </c>
      <c r="C2572" s="10" t="s">
        <v>327</v>
      </c>
      <c r="D2572" s="11" t="s">
        <v>167</v>
      </c>
      <c r="E2572" s="11" t="s">
        <v>168</v>
      </c>
      <c r="F2572" s="11" t="s">
        <v>169</v>
      </c>
      <c r="G2572" s="11" t="s">
        <v>16</v>
      </c>
      <c r="H2572" s="11" t="s">
        <v>35</v>
      </c>
      <c r="I2572" s="11" t="s">
        <v>39</v>
      </c>
      <c r="J2572" s="11" t="s">
        <v>250</v>
      </c>
      <c r="K2572" s="11">
        <v>27</v>
      </c>
      <c r="L2572" s="12">
        <v>20</v>
      </c>
      <c r="M2572" s="13">
        <v>540</v>
      </c>
      <c r="N2572" s="11" t="s">
        <v>367</v>
      </c>
      <c r="O2572" s="11" t="s">
        <v>19</v>
      </c>
      <c r="Q2572"/>
    </row>
    <row r="2573" spans="1:17" ht="15.6" x14ac:dyDescent="0.3">
      <c r="A2573" s="15">
        <v>10411</v>
      </c>
      <c r="B2573" s="14">
        <v>38473</v>
      </c>
      <c r="C2573" s="14" t="s">
        <v>327</v>
      </c>
      <c r="D2573" s="15" t="s">
        <v>167</v>
      </c>
      <c r="E2573" s="15" t="s">
        <v>168</v>
      </c>
      <c r="F2573" s="15" t="s">
        <v>169</v>
      </c>
      <c r="G2573" s="15" t="s">
        <v>16</v>
      </c>
      <c r="H2573" s="15" t="s">
        <v>32</v>
      </c>
      <c r="I2573" s="15" t="s">
        <v>33</v>
      </c>
      <c r="J2573" s="15" t="s">
        <v>245</v>
      </c>
      <c r="K2573" s="15">
        <v>34</v>
      </c>
      <c r="L2573" s="16">
        <v>85</v>
      </c>
      <c r="M2573" s="17">
        <v>2890</v>
      </c>
      <c r="N2573" s="15" t="s">
        <v>367</v>
      </c>
      <c r="O2573" s="15" t="s">
        <v>19</v>
      </c>
      <c r="Q2573"/>
    </row>
    <row r="2574" spans="1:17" ht="15.6" x14ac:dyDescent="0.3">
      <c r="A2574" s="11">
        <v>10412</v>
      </c>
      <c r="B2574" s="10">
        <v>38475</v>
      </c>
      <c r="C2574" s="10" t="s">
        <v>279</v>
      </c>
      <c r="D2574" s="11" t="s">
        <v>41</v>
      </c>
      <c r="E2574" s="11" t="s">
        <v>42</v>
      </c>
      <c r="F2574" s="11" t="s">
        <v>43</v>
      </c>
      <c r="G2574" s="11" t="s">
        <v>25</v>
      </c>
      <c r="H2574" s="11" t="s">
        <v>35</v>
      </c>
      <c r="I2574" s="11" t="s">
        <v>38</v>
      </c>
      <c r="J2574" s="11" t="s">
        <v>249</v>
      </c>
      <c r="K2574" s="11">
        <v>54</v>
      </c>
      <c r="L2574" s="12">
        <v>20</v>
      </c>
      <c r="M2574" s="13">
        <v>1080</v>
      </c>
      <c r="N2574" s="11" t="s">
        <v>368</v>
      </c>
      <c r="O2574" s="11" t="s">
        <v>19</v>
      </c>
      <c r="Q2574"/>
    </row>
    <row r="2575" spans="1:17" ht="15.6" x14ac:dyDescent="0.3">
      <c r="A2575" s="15">
        <v>10412</v>
      </c>
      <c r="B2575" s="14">
        <v>38475</v>
      </c>
      <c r="C2575" s="14" t="s">
        <v>279</v>
      </c>
      <c r="D2575" s="15" t="s">
        <v>41</v>
      </c>
      <c r="E2575" s="15" t="s">
        <v>42</v>
      </c>
      <c r="F2575" s="15" t="s">
        <v>43</v>
      </c>
      <c r="G2575" s="15" t="s">
        <v>25</v>
      </c>
      <c r="H2575" s="15" t="s">
        <v>32</v>
      </c>
      <c r="I2575" s="15" t="s">
        <v>34</v>
      </c>
      <c r="J2575" s="15" t="s">
        <v>246</v>
      </c>
      <c r="K2575" s="15">
        <v>41</v>
      </c>
      <c r="L2575" s="16">
        <v>80</v>
      </c>
      <c r="M2575" s="17">
        <v>3280</v>
      </c>
      <c r="N2575" s="15" t="s">
        <v>367</v>
      </c>
      <c r="O2575" s="15" t="s">
        <v>19</v>
      </c>
      <c r="Q2575"/>
    </row>
    <row r="2576" spans="1:17" ht="15.6" x14ac:dyDescent="0.3">
      <c r="A2576" s="11">
        <v>10412</v>
      </c>
      <c r="B2576" s="10">
        <v>38475</v>
      </c>
      <c r="C2576" s="10" t="s">
        <v>279</v>
      </c>
      <c r="D2576" s="11" t="s">
        <v>41</v>
      </c>
      <c r="E2576" s="11" t="s">
        <v>42</v>
      </c>
      <c r="F2576" s="11" t="s">
        <v>43</v>
      </c>
      <c r="G2576" s="11" t="s">
        <v>25</v>
      </c>
      <c r="H2576" s="11" t="s">
        <v>35</v>
      </c>
      <c r="I2576" s="11" t="s">
        <v>39</v>
      </c>
      <c r="J2576" s="11" t="s">
        <v>250</v>
      </c>
      <c r="K2576" s="11">
        <v>56</v>
      </c>
      <c r="L2576" s="12">
        <v>20</v>
      </c>
      <c r="M2576" s="13">
        <v>1120</v>
      </c>
      <c r="N2576" s="11" t="s">
        <v>368</v>
      </c>
      <c r="O2576" s="11" t="s">
        <v>19</v>
      </c>
      <c r="Q2576"/>
    </row>
    <row r="2577" spans="1:17" ht="15.6" x14ac:dyDescent="0.3">
      <c r="A2577" s="15">
        <v>10412</v>
      </c>
      <c r="B2577" s="14">
        <v>38475</v>
      </c>
      <c r="C2577" s="14" t="s">
        <v>279</v>
      </c>
      <c r="D2577" s="15" t="s">
        <v>41</v>
      </c>
      <c r="E2577" s="15" t="s">
        <v>42</v>
      </c>
      <c r="F2577" s="15" t="s">
        <v>43</v>
      </c>
      <c r="G2577" s="15" t="s">
        <v>25</v>
      </c>
      <c r="H2577" s="15" t="s">
        <v>35</v>
      </c>
      <c r="I2577" s="15" t="s">
        <v>39</v>
      </c>
      <c r="J2577" s="15" t="s">
        <v>250</v>
      </c>
      <c r="K2577" s="15">
        <v>47</v>
      </c>
      <c r="L2577" s="16">
        <v>20</v>
      </c>
      <c r="M2577" s="17">
        <v>940</v>
      </c>
      <c r="N2577" s="15" t="s">
        <v>367</v>
      </c>
      <c r="O2577" s="15" t="s">
        <v>19</v>
      </c>
      <c r="Q2577"/>
    </row>
    <row r="2578" spans="1:17" ht="15.6" x14ac:dyDescent="0.3">
      <c r="A2578" s="11">
        <v>10412</v>
      </c>
      <c r="B2578" s="10">
        <v>38475</v>
      </c>
      <c r="C2578" s="10" t="s">
        <v>279</v>
      </c>
      <c r="D2578" s="11" t="s">
        <v>41</v>
      </c>
      <c r="E2578" s="11" t="s">
        <v>42</v>
      </c>
      <c r="F2578" s="11" t="s">
        <v>43</v>
      </c>
      <c r="G2578" s="11" t="s">
        <v>25</v>
      </c>
      <c r="H2578" s="11" t="s">
        <v>32</v>
      </c>
      <c r="I2578" s="11" t="s">
        <v>33</v>
      </c>
      <c r="J2578" s="11" t="s">
        <v>245</v>
      </c>
      <c r="K2578" s="11">
        <v>60</v>
      </c>
      <c r="L2578" s="12">
        <v>85</v>
      </c>
      <c r="M2578" s="13">
        <v>5100</v>
      </c>
      <c r="N2578" s="11" t="s">
        <v>368</v>
      </c>
      <c r="O2578" s="11" t="s">
        <v>19</v>
      </c>
      <c r="Q2578"/>
    </row>
    <row r="2579" spans="1:17" ht="15.6" x14ac:dyDescent="0.3">
      <c r="A2579" s="15">
        <v>10412</v>
      </c>
      <c r="B2579" s="14">
        <v>38475</v>
      </c>
      <c r="C2579" s="14" t="s">
        <v>279</v>
      </c>
      <c r="D2579" s="15" t="s">
        <v>41</v>
      </c>
      <c r="E2579" s="15" t="s">
        <v>42</v>
      </c>
      <c r="F2579" s="15" t="s">
        <v>43</v>
      </c>
      <c r="G2579" s="15" t="s">
        <v>25</v>
      </c>
      <c r="H2579" s="15" t="s">
        <v>32</v>
      </c>
      <c r="I2579" s="15" t="s">
        <v>44</v>
      </c>
      <c r="J2579" s="15" t="s">
        <v>252</v>
      </c>
      <c r="K2579" s="15">
        <v>21</v>
      </c>
      <c r="L2579" s="16">
        <v>55</v>
      </c>
      <c r="M2579" s="17">
        <v>1155</v>
      </c>
      <c r="N2579" s="15" t="s">
        <v>367</v>
      </c>
      <c r="O2579" s="15" t="s">
        <v>19</v>
      </c>
      <c r="Q2579"/>
    </row>
    <row r="2580" spans="1:17" ht="15.6" x14ac:dyDescent="0.3">
      <c r="A2580" s="11">
        <v>10412</v>
      </c>
      <c r="B2580" s="10">
        <v>38475</v>
      </c>
      <c r="C2580" s="10" t="s">
        <v>279</v>
      </c>
      <c r="D2580" s="11" t="s">
        <v>41</v>
      </c>
      <c r="E2580" s="11" t="s">
        <v>42</v>
      </c>
      <c r="F2580" s="11" t="s">
        <v>43</v>
      </c>
      <c r="G2580" s="11" t="s">
        <v>25</v>
      </c>
      <c r="H2580" s="11" t="s">
        <v>35</v>
      </c>
      <c r="I2580" s="11" t="s">
        <v>39</v>
      </c>
      <c r="J2580" s="11" t="s">
        <v>250</v>
      </c>
      <c r="K2580" s="11">
        <v>70</v>
      </c>
      <c r="L2580" s="12">
        <v>20</v>
      </c>
      <c r="M2580" s="13">
        <v>1400</v>
      </c>
      <c r="N2580" s="11" t="s">
        <v>368</v>
      </c>
      <c r="O2580" s="11" t="s">
        <v>19</v>
      </c>
      <c r="Q2580"/>
    </row>
    <row r="2581" spans="1:17" ht="15.6" x14ac:dyDescent="0.3">
      <c r="A2581" s="15">
        <v>10412</v>
      </c>
      <c r="B2581" s="14">
        <v>38475</v>
      </c>
      <c r="C2581" s="14" t="s">
        <v>279</v>
      </c>
      <c r="D2581" s="15" t="s">
        <v>41</v>
      </c>
      <c r="E2581" s="15" t="s">
        <v>42</v>
      </c>
      <c r="F2581" s="15" t="s">
        <v>43</v>
      </c>
      <c r="G2581" s="15" t="s">
        <v>25</v>
      </c>
      <c r="H2581" s="15" t="s">
        <v>32</v>
      </c>
      <c r="I2581" s="15" t="s">
        <v>46</v>
      </c>
      <c r="J2581" s="15" t="s">
        <v>254</v>
      </c>
      <c r="K2581" s="15">
        <v>30</v>
      </c>
      <c r="L2581" s="16">
        <v>90</v>
      </c>
      <c r="M2581" s="17">
        <v>2700</v>
      </c>
      <c r="N2581" s="15" t="s">
        <v>367</v>
      </c>
      <c r="O2581" s="15" t="s">
        <v>19</v>
      </c>
      <c r="Q2581"/>
    </row>
    <row r="2582" spans="1:17" ht="15.6" x14ac:dyDescent="0.3">
      <c r="A2582" s="11">
        <v>10412</v>
      </c>
      <c r="B2582" s="10">
        <v>38475</v>
      </c>
      <c r="C2582" s="10" t="s">
        <v>279</v>
      </c>
      <c r="D2582" s="11" t="s">
        <v>41</v>
      </c>
      <c r="E2582" s="11" t="s">
        <v>42</v>
      </c>
      <c r="F2582" s="11" t="s">
        <v>43</v>
      </c>
      <c r="G2582" s="11" t="s">
        <v>25</v>
      </c>
      <c r="H2582" s="11" t="s">
        <v>32</v>
      </c>
      <c r="I2582" s="11" t="s">
        <v>46</v>
      </c>
      <c r="J2582" s="11" t="s">
        <v>254</v>
      </c>
      <c r="K2582" s="11">
        <v>31</v>
      </c>
      <c r="L2582" s="12">
        <v>90</v>
      </c>
      <c r="M2582" s="13">
        <v>2790</v>
      </c>
      <c r="N2582" s="11" t="s">
        <v>367</v>
      </c>
      <c r="O2582" s="11" t="s">
        <v>19</v>
      </c>
      <c r="Q2582"/>
    </row>
    <row r="2583" spans="1:17" ht="15.6" x14ac:dyDescent="0.3">
      <c r="A2583" s="15">
        <v>10412</v>
      </c>
      <c r="B2583" s="14">
        <v>38475</v>
      </c>
      <c r="C2583" s="14" t="s">
        <v>279</v>
      </c>
      <c r="D2583" s="15" t="s">
        <v>41</v>
      </c>
      <c r="E2583" s="15" t="s">
        <v>42</v>
      </c>
      <c r="F2583" s="15" t="s">
        <v>43</v>
      </c>
      <c r="G2583" s="15" t="s">
        <v>25</v>
      </c>
      <c r="H2583" s="15" t="s">
        <v>35</v>
      </c>
      <c r="I2583" s="15" t="s">
        <v>39</v>
      </c>
      <c r="J2583" s="15" t="s">
        <v>250</v>
      </c>
      <c r="K2583" s="15">
        <v>19</v>
      </c>
      <c r="L2583" s="16">
        <v>20</v>
      </c>
      <c r="M2583" s="17">
        <v>380</v>
      </c>
      <c r="N2583" s="15" t="s">
        <v>367</v>
      </c>
      <c r="O2583" s="15" t="s">
        <v>19</v>
      </c>
      <c r="Q2583"/>
    </row>
    <row r="2584" spans="1:17" ht="15.6" x14ac:dyDescent="0.3">
      <c r="A2584" s="11">
        <v>10412</v>
      </c>
      <c r="B2584" s="10">
        <v>38475</v>
      </c>
      <c r="C2584" s="10" t="s">
        <v>279</v>
      </c>
      <c r="D2584" s="11" t="s">
        <v>41</v>
      </c>
      <c r="E2584" s="11" t="s">
        <v>42</v>
      </c>
      <c r="F2584" s="11" t="s">
        <v>43</v>
      </c>
      <c r="G2584" s="11" t="s">
        <v>25</v>
      </c>
      <c r="H2584" s="11" t="s">
        <v>35</v>
      </c>
      <c r="I2584" s="11" t="s">
        <v>39</v>
      </c>
      <c r="J2584" s="11" t="s">
        <v>250</v>
      </c>
      <c r="K2584" s="11">
        <v>26</v>
      </c>
      <c r="L2584" s="12">
        <v>20</v>
      </c>
      <c r="M2584" s="13">
        <v>520</v>
      </c>
      <c r="N2584" s="11" t="s">
        <v>367</v>
      </c>
      <c r="O2584" s="11" t="s">
        <v>19</v>
      </c>
      <c r="Q2584"/>
    </row>
    <row r="2585" spans="1:17" ht="15.6" x14ac:dyDescent="0.3">
      <c r="A2585" s="15">
        <v>10413</v>
      </c>
      <c r="B2585" s="14">
        <v>38477</v>
      </c>
      <c r="C2585" s="14" t="s">
        <v>328</v>
      </c>
      <c r="D2585" s="15" t="s">
        <v>170</v>
      </c>
      <c r="E2585" s="15" t="s">
        <v>171</v>
      </c>
      <c r="F2585" s="15" t="s">
        <v>15</v>
      </c>
      <c r="G2585" s="15" t="s">
        <v>16</v>
      </c>
      <c r="H2585" s="15" t="s">
        <v>32</v>
      </c>
      <c r="I2585" s="15" t="s">
        <v>45</v>
      </c>
      <c r="J2585" s="15" t="s">
        <v>253</v>
      </c>
      <c r="K2585" s="15">
        <v>36</v>
      </c>
      <c r="L2585" s="16">
        <v>35</v>
      </c>
      <c r="M2585" s="17">
        <v>1260</v>
      </c>
      <c r="N2585" s="15" t="s">
        <v>367</v>
      </c>
      <c r="O2585" s="15" t="s">
        <v>19</v>
      </c>
      <c r="Q2585"/>
    </row>
    <row r="2586" spans="1:17" ht="15.6" x14ac:dyDescent="0.3">
      <c r="A2586" s="11">
        <v>10413</v>
      </c>
      <c r="B2586" s="10">
        <v>38477</v>
      </c>
      <c r="C2586" s="10" t="s">
        <v>328</v>
      </c>
      <c r="D2586" s="11" t="s">
        <v>170</v>
      </c>
      <c r="E2586" s="11" t="s">
        <v>171</v>
      </c>
      <c r="F2586" s="11" t="s">
        <v>15</v>
      </c>
      <c r="G2586" s="11" t="s">
        <v>16</v>
      </c>
      <c r="H2586" s="11" t="s">
        <v>32</v>
      </c>
      <c r="I2586" s="11" t="s">
        <v>46</v>
      </c>
      <c r="J2586" s="11" t="s">
        <v>254</v>
      </c>
      <c r="K2586" s="11">
        <v>47</v>
      </c>
      <c r="L2586" s="12">
        <v>90</v>
      </c>
      <c r="M2586" s="13">
        <v>4230</v>
      </c>
      <c r="N2586" s="11" t="s">
        <v>367</v>
      </c>
      <c r="O2586" s="11" t="s">
        <v>19</v>
      </c>
      <c r="Q2586"/>
    </row>
    <row r="2587" spans="1:17" ht="15.6" x14ac:dyDescent="0.3">
      <c r="A2587" s="15">
        <v>10413</v>
      </c>
      <c r="B2587" s="14">
        <v>38477</v>
      </c>
      <c r="C2587" s="14" t="s">
        <v>328</v>
      </c>
      <c r="D2587" s="15" t="s">
        <v>170</v>
      </c>
      <c r="E2587" s="15" t="s">
        <v>171</v>
      </c>
      <c r="F2587" s="15" t="s">
        <v>15</v>
      </c>
      <c r="G2587" s="15" t="s">
        <v>16</v>
      </c>
      <c r="H2587" s="15" t="s">
        <v>32</v>
      </c>
      <c r="I2587" s="15" t="s">
        <v>46</v>
      </c>
      <c r="J2587" s="15" t="s">
        <v>254</v>
      </c>
      <c r="K2587" s="15">
        <v>22</v>
      </c>
      <c r="L2587" s="16">
        <v>90</v>
      </c>
      <c r="M2587" s="17">
        <v>1980</v>
      </c>
      <c r="N2587" s="15" t="s">
        <v>367</v>
      </c>
      <c r="O2587" s="15" t="s">
        <v>19</v>
      </c>
      <c r="Q2587"/>
    </row>
    <row r="2588" spans="1:17" ht="15.6" x14ac:dyDescent="0.3">
      <c r="A2588" s="11">
        <v>10413</v>
      </c>
      <c r="B2588" s="10">
        <v>38477</v>
      </c>
      <c r="C2588" s="10" t="s">
        <v>328</v>
      </c>
      <c r="D2588" s="11" t="s">
        <v>170</v>
      </c>
      <c r="E2588" s="11" t="s">
        <v>171</v>
      </c>
      <c r="F2588" s="11" t="s">
        <v>15</v>
      </c>
      <c r="G2588" s="11" t="s">
        <v>16</v>
      </c>
      <c r="H2588" s="11" t="s">
        <v>32</v>
      </c>
      <c r="I2588" s="11" t="s">
        <v>34</v>
      </c>
      <c r="J2588" s="11" t="s">
        <v>246</v>
      </c>
      <c r="K2588" s="11">
        <v>49</v>
      </c>
      <c r="L2588" s="12">
        <v>80</v>
      </c>
      <c r="M2588" s="13">
        <v>3920</v>
      </c>
      <c r="N2588" s="11" t="s">
        <v>367</v>
      </c>
      <c r="O2588" s="11" t="s">
        <v>19</v>
      </c>
      <c r="Q2588"/>
    </row>
    <row r="2589" spans="1:17" ht="15.6" x14ac:dyDescent="0.3">
      <c r="A2589" s="15">
        <v>10413</v>
      </c>
      <c r="B2589" s="14">
        <v>38477</v>
      </c>
      <c r="C2589" s="14" t="s">
        <v>328</v>
      </c>
      <c r="D2589" s="15" t="s">
        <v>170</v>
      </c>
      <c r="E2589" s="15" t="s">
        <v>171</v>
      </c>
      <c r="F2589" s="15" t="s">
        <v>15</v>
      </c>
      <c r="G2589" s="15" t="s">
        <v>16</v>
      </c>
      <c r="H2589" s="15" t="s">
        <v>47</v>
      </c>
      <c r="I2589" s="15" t="s">
        <v>48</v>
      </c>
      <c r="J2589" s="15" t="s">
        <v>255</v>
      </c>
      <c r="K2589" s="15">
        <v>24</v>
      </c>
      <c r="L2589" s="16">
        <v>70</v>
      </c>
      <c r="M2589" s="17">
        <v>1680</v>
      </c>
      <c r="N2589" s="15" t="s">
        <v>367</v>
      </c>
      <c r="O2589" s="15" t="s">
        <v>19</v>
      </c>
      <c r="Q2589"/>
    </row>
    <row r="2590" spans="1:17" ht="15.6" x14ac:dyDescent="0.3">
      <c r="A2590" s="11">
        <v>10413</v>
      </c>
      <c r="B2590" s="10">
        <v>38477</v>
      </c>
      <c r="C2590" s="10" t="s">
        <v>328</v>
      </c>
      <c r="D2590" s="11" t="s">
        <v>170</v>
      </c>
      <c r="E2590" s="11" t="s">
        <v>171</v>
      </c>
      <c r="F2590" s="11" t="s">
        <v>15</v>
      </c>
      <c r="G2590" s="11" t="s">
        <v>16</v>
      </c>
      <c r="H2590" s="11" t="s">
        <v>47</v>
      </c>
      <c r="I2590" s="11" t="s">
        <v>48</v>
      </c>
      <c r="J2590" s="11" t="s">
        <v>255</v>
      </c>
      <c r="K2590" s="11">
        <v>51</v>
      </c>
      <c r="L2590" s="12">
        <v>70</v>
      </c>
      <c r="M2590" s="13">
        <v>3570</v>
      </c>
      <c r="N2590" s="11" t="s">
        <v>368</v>
      </c>
      <c r="O2590" s="11" t="s">
        <v>19</v>
      </c>
      <c r="Q2590"/>
    </row>
    <row r="2591" spans="1:17" ht="15.6" x14ac:dyDescent="0.3">
      <c r="A2591" s="15">
        <v>10416</v>
      </c>
      <c r="B2591" s="14">
        <v>38482</v>
      </c>
      <c r="C2591" s="14" t="s">
        <v>329</v>
      </c>
      <c r="D2591" s="15" t="s">
        <v>172</v>
      </c>
      <c r="E2591" s="15" t="s">
        <v>173</v>
      </c>
      <c r="F2591" s="15" t="s">
        <v>60</v>
      </c>
      <c r="G2591" s="15" t="s">
        <v>25</v>
      </c>
      <c r="H2591" s="15" t="s">
        <v>61</v>
      </c>
      <c r="I2591" s="15" t="s">
        <v>62</v>
      </c>
      <c r="J2591" s="15" t="s">
        <v>261</v>
      </c>
      <c r="K2591" s="15">
        <v>24</v>
      </c>
      <c r="L2591" s="16">
        <v>15</v>
      </c>
      <c r="M2591" s="17">
        <v>360</v>
      </c>
      <c r="N2591" s="15" t="s">
        <v>367</v>
      </c>
      <c r="O2591" s="15" t="s">
        <v>19</v>
      </c>
      <c r="Q2591"/>
    </row>
    <row r="2592" spans="1:17" ht="15.6" x14ac:dyDescent="0.3">
      <c r="A2592" s="11">
        <v>10416</v>
      </c>
      <c r="B2592" s="10">
        <v>38482</v>
      </c>
      <c r="C2592" s="10" t="s">
        <v>329</v>
      </c>
      <c r="D2592" s="11" t="s">
        <v>172</v>
      </c>
      <c r="E2592" s="11" t="s">
        <v>173</v>
      </c>
      <c r="F2592" s="11" t="s">
        <v>60</v>
      </c>
      <c r="G2592" s="11" t="s">
        <v>25</v>
      </c>
      <c r="H2592" s="11" t="s">
        <v>61</v>
      </c>
      <c r="I2592" s="11" t="s">
        <v>62</v>
      </c>
      <c r="J2592" s="11" t="s">
        <v>261</v>
      </c>
      <c r="K2592" s="11">
        <v>15</v>
      </c>
      <c r="L2592" s="12">
        <v>15</v>
      </c>
      <c r="M2592" s="13">
        <v>225</v>
      </c>
      <c r="N2592" s="11" t="s">
        <v>367</v>
      </c>
      <c r="O2592" s="11" t="s">
        <v>19</v>
      </c>
      <c r="Q2592"/>
    </row>
    <row r="2593" spans="1:17" ht="15.6" x14ac:dyDescent="0.3">
      <c r="A2593" s="15">
        <v>10416</v>
      </c>
      <c r="B2593" s="14">
        <v>38482</v>
      </c>
      <c r="C2593" s="14" t="s">
        <v>329</v>
      </c>
      <c r="D2593" s="15" t="s">
        <v>172</v>
      </c>
      <c r="E2593" s="15" t="s">
        <v>173</v>
      </c>
      <c r="F2593" s="15" t="s">
        <v>60</v>
      </c>
      <c r="G2593" s="15" t="s">
        <v>25</v>
      </c>
      <c r="H2593" s="15" t="s">
        <v>61</v>
      </c>
      <c r="I2593" s="15" t="s">
        <v>62</v>
      </c>
      <c r="J2593" s="15" t="s">
        <v>261</v>
      </c>
      <c r="K2593" s="15">
        <v>47</v>
      </c>
      <c r="L2593" s="16">
        <v>15</v>
      </c>
      <c r="M2593" s="17">
        <v>705</v>
      </c>
      <c r="N2593" s="15" t="s">
        <v>367</v>
      </c>
      <c r="O2593" s="15" t="s">
        <v>19</v>
      </c>
      <c r="Q2593"/>
    </row>
    <row r="2594" spans="1:17" ht="15.6" x14ac:dyDescent="0.3">
      <c r="A2594" s="11">
        <v>10416</v>
      </c>
      <c r="B2594" s="10">
        <v>38482</v>
      </c>
      <c r="C2594" s="10" t="s">
        <v>329</v>
      </c>
      <c r="D2594" s="11" t="s">
        <v>172</v>
      </c>
      <c r="E2594" s="11" t="s">
        <v>173</v>
      </c>
      <c r="F2594" s="11" t="s">
        <v>60</v>
      </c>
      <c r="G2594" s="11" t="s">
        <v>25</v>
      </c>
      <c r="H2594" s="11" t="s">
        <v>68</v>
      </c>
      <c r="I2594" s="11" t="s">
        <v>70</v>
      </c>
      <c r="J2594" s="11" t="s">
        <v>267</v>
      </c>
      <c r="K2594" s="11">
        <v>32</v>
      </c>
      <c r="L2594" s="12">
        <v>50</v>
      </c>
      <c r="M2594" s="13">
        <v>1600</v>
      </c>
      <c r="N2594" s="11" t="s">
        <v>367</v>
      </c>
      <c r="O2594" s="11" t="s">
        <v>19</v>
      </c>
      <c r="Q2594"/>
    </row>
    <row r="2595" spans="1:17" ht="15.6" x14ac:dyDescent="0.3">
      <c r="A2595" s="15">
        <v>10416</v>
      </c>
      <c r="B2595" s="14">
        <v>38482</v>
      </c>
      <c r="C2595" s="14" t="s">
        <v>329</v>
      </c>
      <c r="D2595" s="15" t="s">
        <v>172</v>
      </c>
      <c r="E2595" s="15" t="s">
        <v>173</v>
      </c>
      <c r="F2595" s="15" t="s">
        <v>60</v>
      </c>
      <c r="G2595" s="15" t="s">
        <v>25</v>
      </c>
      <c r="H2595" s="15" t="s">
        <v>61</v>
      </c>
      <c r="I2595" s="15" t="s">
        <v>62</v>
      </c>
      <c r="J2595" s="15" t="s">
        <v>261</v>
      </c>
      <c r="K2595" s="15">
        <v>18</v>
      </c>
      <c r="L2595" s="16">
        <v>15</v>
      </c>
      <c r="M2595" s="17">
        <v>270</v>
      </c>
      <c r="N2595" s="15" t="s">
        <v>367</v>
      </c>
      <c r="O2595" s="15" t="s">
        <v>19</v>
      </c>
      <c r="Q2595"/>
    </row>
    <row r="2596" spans="1:17" ht="15.6" x14ac:dyDescent="0.3">
      <c r="A2596" s="11">
        <v>10416</v>
      </c>
      <c r="B2596" s="10">
        <v>38482</v>
      </c>
      <c r="C2596" s="10" t="s">
        <v>329</v>
      </c>
      <c r="D2596" s="11" t="s">
        <v>172</v>
      </c>
      <c r="E2596" s="11" t="s">
        <v>173</v>
      </c>
      <c r="F2596" s="11" t="s">
        <v>60</v>
      </c>
      <c r="G2596" s="11" t="s">
        <v>25</v>
      </c>
      <c r="H2596" s="11" t="s">
        <v>61</v>
      </c>
      <c r="I2596" s="11" t="s">
        <v>62</v>
      </c>
      <c r="J2596" s="11" t="s">
        <v>261</v>
      </c>
      <c r="K2596" s="11">
        <v>48</v>
      </c>
      <c r="L2596" s="12">
        <v>15</v>
      </c>
      <c r="M2596" s="13">
        <v>720</v>
      </c>
      <c r="N2596" s="11" t="s">
        <v>367</v>
      </c>
      <c r="O2596" s="11" t="s">
        <v>19</v>
      </c>
      <c r="Q2596"/>
    </row>
    <row r="2597" spans="1:17" ht="15.6" x14ac:dyDescent="0.3">
      <c r="A2597" s="15">
        <v>10416</v>
      </c>
      <c r="B2597" s="14">
        <v>38482</v>
      </c>
      <c r="C2597" s="14" t="s">
        <v>329</v>
      </c>
      <c r="D2597" s="15" t="s">
        <v>172</v>
      </c>
      <c r="E2597" s="15" t="s">
        <v>173</v>
      </c>
      <c r="F2597" s="15" t="s">
        <v>60</v>
      </c>
      <c r="G2597" s="15" t="s">
        <v>25</v>
      </c>
      <c r="H2597" s="15" t="s">
        <v>68</v>
      </c>
      <c r="I2597" s="15" t="s">
        <v>69</v>
      </c>
      <c r="J2597" s="15" t="s">
        <v>266</v>
      </c>
      <c r="K2597" s="15">
        <v>45</v>
      </c>
      <c r="L2597" s="16">
        <v>25</v>
      </c>
      <c r="M2597" s="17">
        <v>1125</v>
      </c>
      <c r="N2597" s="15" t="s">
        <v>367</v>
      </c>
      <c r="O2597" s="15" t="s">
        <v>19</v>
      </c>
      <c r="Q2597"/>
    </row>
    <row r="2598" spans="1:17" ht="15.6" x14ac:dyDescent="0.3">
      <c r="A2598" s="11">
        <v>10416</v>
      </c>
      <c r="B2598" s="10">
        <v>38482</v>
      </c>
      <c r="C2598" s="10" t="s">
        <v>329</v>
      </c>
      <c r="D2598" s="11" t="s">
        <v>172</v>
      </c>
      <c r="E2598" s="11" t="s">
        <v>173</v>
      </c>
      <c r="F2598" s="11" t="s">
        <v>60</v>
      </c>
      <c r="G2598" s="11" t="s">
        <v>25</v>
      </c>
      <c r="H2598" s="11" t="s">
        <v>17</v>
      </c>
      <c r="I2598" s="11" t="s">
        <v>20</v>
      </c>
      <c r="J2598" s="11" t="s">
        <v>242</v>
      </c>
      <c r="K2598" s="11">
        <v>26</v>
      </c>
      <c r="L2598" s="12">
        <v>48</v>
      </c>
      <c r="M2598" s="13">
        <v>1248</v>
      </c>
      <c r="N2598" s="11" t="s">
        <v>367</v>
      </c>
      <c r="O2598" s="11" t="s">
        <v>19</v>
      </c>
      <c r="Q2598"/>
    </row>
    <row r="2599" spans="1:17" ht="15.6" x14ac:dyDescent="0.3">
      <c r="A2599" s="15">
        <v>10416</v>
      </c>
      <c r="B2599" s="14">
        <v>38482</v>
      </c>
      <c r="C2599" s="14" t="s">
        <v>329</v>
      </c>
      <c r="D2599" s="15" t="s">
        <v>172</v>
      </c>
      <c r="E2599" s="15" t="s">
        <v>173</v>
      </c>
      <c r="F2599" s="15" t="s">
        <v>60</v>
      </c>
      <c r="G2599" s="15" t="s">
        <v>25</v>
      </c>
      <c r="H2599" s="15" t="s">
        <v>17</v>
      </c>
      <c r="I2599" s="15" t="s">
        <v>82</v>
      </c>
      <c r="J2599" s="15" t="s">
        <v>270</v>
      </c>
      <c r="K2599" s="15">
        <v>37</v>
      </c>
      <c r="L2599" s="16">
        <v>75</v>
      </c>
      <c r="M2599" s="17">
        <v>2775</v>
      </c>
      <c r="N2599" s="15" t="s">
        <v>367</v>
      </c>
      <c r="O2599" s="15" t="s">
        <v>19</v>
      </c>
      <c r="Q2599"/>
    </row>
    <row r="2600" spans="1:17" ht="15.6" x14ac:dyDescent="0.3">
      <c r="A2600" s="11">
        <v>10416</v>
      </c>
      <c r="B2600" s="10">
        <v>38482</v>
      </c>
      <c r="C2600" s="10" t="s">
        <v>329</v>
      </c>
      <c r="D2600" s="11" t="s">
        <v>172</v>
      </c>
      <c r="E2600" s="11" t="s">
        <v>173</v>
      </c>
      <c r="F2600" s="11" t="s">
        <v>60</v>
      </c>
      <c r="G2600" s="11" t="s">
        <v>25</v>
      </c>
      <c r="H2600" s="11" t="s">
        <v>61</v>
      </c>
      <c r="I2600" s="11" t="s">
        <v>62</v>
      </c>
      <c r="J2600" s="11" t="s">
        <v>261</v>
      </c>
      <c r="K2600" s="11">
        <v>23</v>
      </c>
      <c r="L2600" s="12">
        <v>15</v>
      </c>
      <c r="M2600" s="13">
        <v>345</v>
      </c>
      <c r="N2600" s="11" t="s">
        <v>367</v>
      </c>
      <c r="O2600" s="11" t="s">
        <v>19</v>
      </c>
      <c r="Q2600"/>
    </row>
    <row r="2601" spans="1:17" ht="15.6" x14ac:dyDescent="0.3">
      <c r="A2601" s="15">
        <v>10416</v>
      </c>
      <c r="B2601" s="14">
        <v>38482</v>
      </c>
      <c r="C2601" s="14" t="s">
        <v>329</v>
      </c>
      <c r="D2601" s="15" t="s">
        <v>172</v>
      </c>
      <c r="E2601" s="15" t="s">
        <v>173</v>
      </c>
      <c r="F2601" s="15" t="s">
        <v>60</v>
      </c>
      <c r="G2601" s="15" t="s">
        <v>25</v>
      </c>
      <c r="H2601" s="15" t="s">
        <v>61</v>
      </c>
      <c r="I2601" s="15" t="s">
        <v>62</v>
      </c>
      <c r="J2601" s="15" t="s">
        <v>261</v>
      </c>
      <c r="K2601" s="15">
        <v>22</v>
      </c>
      <c r="L2601" s="16">
        <v>15</v>
      </c>
      <c r="M2601" s="17">
        <v>330</v>
      </c>
      <c r="N2601" s="15" t="s">
        <v>367</v>
      </c>
      <c r="O2601" s="15" t="s">
        <v>19</v>
      </c>
      <c r="Q2601"/>
    </row>
    <row r="2602" spans="1:17" ht="15.6" x14ac:dyDescent="0.3">
      <c r="A2602" s="11">
        <v>10416</v>
      </c>
      <c r="B2602" s="10">
        <v>38482</v>
      </c>
      <c r="C2602" s="10" t="s">
        <v>329</v>
      </c>
      <c r="D2602" s="11" t="s">
        <v>172</v>
      </c>
      <c r="E2602" s="11" t="s">
        <v>173</v>
      </c>
      <c r="F2602" s="11" t="s">
        <v>60</v>
      </c>
      <c r="G2602" s="11" t="s">
        <v>25</v>
      </c>
      <c r="H2602" s="11" t="s">
        <v>61</v>
      </c>
      <c r="I2602" s="11" t="s">
        <v>64</v>
      </c>
      <c r="J2602" s="11" t="s">
        <v>263</v>
      </c>
      <c r="K2602" s="11">
        <v>41</v>
      </c>
      <c r="L2602" s="12">
        <v>35</v>
      </c>
      <c r="M2602" s="13">
        <v>1435</v>
      </c>
      <c r="N2602" s="11" t="s">
        <v>367</v>
      </c>
      <c r="O2602" s="11" t="s">
        <v>19</v>
      </c>
      <c r="Q2602"/>
    </row>
    <row r="2603" spans="1:17" ht="15.6" x14ac:dyDescent="0.3">
      <c r="A2603" s="15">
        <v>10416</v>
      </c>
      <c r="B2603" s="14">
        <v>38482</v>
      </c>
      <c r="C2603" s="14" t="s">
        <v>329</v>
      </c>
      <c r="D2603" s="15" t="s">
        <v>172</v>
      </c>
      <c r="E2603" s="15" t="s">
        <v>173</v>
      </c>
      <c r="F2603" s="15" t="s">
        <v>60</v>
      </c>
      <c r="G2603" s="15" t="s">
        <v>25</v>
      </c>
      <c r="H2603" s="15" t="s">
        <v>61</v>
      </c>
      <c r="I2603" s="15" t="s">
        <v>66</v>
      </c>
      <c r="J2603" s="15" t="s">
        <v>265</v>
      </c>
      <c r="K2603" s="15">
        <v>39</v>
      </c>
      <c r="L2603" s="16">
        <v>35</v>
      </c>
      <c r="M2603" s="17">
        <v>1365</v>
      </c>
      <c r="N2603" s="15" t="s">
        <v>367</v>
      </c>
      <c r="O2603" s="15" t="s">
        <v>19</v>
      </c>
      <c r="Q2603"/>
    </row>
    <row r="2604" spans="1:17" ht="15.6" x14ac:dyDescent="0.3">
      <c r="A2604" s="11">
        <v>10416</v>
      </c>
      <c r="B2604" s="10">
        <v>38482</v>
      </c>
      <c r="C2604" s="10" t="s">
        <v>329</v>
      </c>
      <c r="D2604" s="11" t="s">
        <v>172</v>
      </c>
      <c r="E2604" s="11" t="s">
        <v>173</v>
      </c>
      <c r="F2604" s="11" t="s">
        <v>60</v>
      </c>
      <c r="G2604" s="11" t="s">
        <v>25</v>
      </c>
      <c r="H2604" s="11" t="s">
        <v>61</v>
      </c>
      <c r="I2604" s="11" t="s">
        <v>62</v>
      </c>
      <c r="J2604" s="11" t="s">
        <v>261</v>
      </c>
      <c r="K2604" s="11">
        <v>43</v>
      </c>
      <c r="L2604" s="12">
        <v>15</v>
      </c>
      <c r="M2604" s="13">
        <v>645</v>
      </c>
      <c r="N2604" s="11" t="s">
        <v>367</v>
      </c>
      <c r="O2604" s="11" t="s">
        <v>19</v>
      </c>
      <c r="Q2604"/>
    </row>
    <row r="2605" spans="1:17" ht="15.6" x14ac:dyDescent="0.3">
      <c r="A2605" s="15">
        <v>10419</v>
      </c>
      <c r="B2605" s="14">
        <v>38489</v>
      </c>
      <c r="C2605" s="14" t="s">
        <v>294</v>
      </c>
      <c r="D2605" s="15" t="s">
        <v>101</v>
      </c>
      <c r="E2605" s="15" t="s">
        <v>102</v>
      </c>
      <c r="F2605" s="15" t="s">
        <v>103</v>
      </c>
      <c r="G2605" s="15" t="s">
        <v>25</v>
      </c>
      <c r="H2605" s="15" t="s">
        <v>32</v>
      </c>
      <c r="I2605" s="15" t="s">
        <v>46</v>
      </c>
      <c r="J2605" s="15" t="s">
        <v>254</v>
      </c>
      <c r="K2605" s="15">
        <v>12</v>
      </c>
      <c r="L2605" s="16">
        <v>90</v>
      </c>
      <c r="M2605" s="17">
        <v>1080</v>
      </c>
      <c r="N2605" s="15" t="s">
        <v>367</v>
      </c>
      <c r="O2605" s="15" t="s">
        <v>19</v>
      </c>
      <c r="Q2605"/>
    </row>
    <row r="2606" spans="1:17" ht="15.6" x14ac:dyDescent="0.3">
      <c r="A2606" s="11">
        <v>10419</v>
      </c>
      <c r="B2606" s="10">
        <v>38489</v>
      </c>
      <c r="C2606" s="10" t="s">
        <v>294</v>
      </c>
      <c r="D2606" s="11" t="s">
        <v>101</v>
      </c>
      <c r="E2606" s="11" t="s">
        <v>102</v>
      </c>
      <c r="F2606" s="11" t="s">
        <v>103</v>
      </c>
      <c r="G2606" s="11" t="s">
        <v>25</v>
      </c>
      <c r="H2606" s="11" t="s">
        <v>32</v>
      </c>
      <c r="I2606" s="11" t="s">
        <v>33</v>
      </c>
      <c r="J2606" s="11" t="s">
        <v>245</v>
      </c>
      <c r="K2606" s="11">
        <v>10</v>
      </c>
      <c r="L2606" s="12">
        <v>85</v>
      </c>
      <c r="M2606" s="13">
        <v>850</v>
      </c>
      <c r="N2606" s="11" t="s">
        <v>367</v>
      </c>
      <c r="O2606" s="11" t="s">
        <v>19</v>
      </c>
      <c r="Q2606"/>
    </row>
    <row r="2607" spans="1:17" ht="15.6" x14ac:dyDescent="0.3">
      <c r="A2607" s="15">
        <v>10419</v>
      </c>
      <c r="B2607" s="14">
        <v>38489</v>
      </c>
      <c r="C2607" s="14" t="s">
        <v>294</v>
      </c>
      <c r="D2607" s="15" t="s">
        <v>101</v>
      </c>
      <c r="E2607" s="15" t="s">
        <v>102</v>
      </c>
      <c r="F2607" s="15" t="s">
        <v>103</v>
      </c>
      <c r="G2607" s="15" t="s">
        <v>25</v>
      </c>
      <c r="H2607" s="15" t="s">
        <v>32</v>
      </c>
      <c r="I2607" s="15" t="s">
        <v>45</v>
      </c>
      <c r="J2607" s="15" t="s">
        <v>253</v>
      </c>
      <c r="K2607" s="15">
        <v>34</v>
      </c>
      <c r="L2607" s="16">
        <v>35</v>
      </c>
      <c r="M2607" s="17">
        <v>1190</v>
      </c>
      <c r="N2607" s="15" t="s">
        <v>367</v>
      </c>
      <c r="O2607" s="15" t="s">
        <v>19</v>
      </c>
      <c r="Q2607"/>
    </row>
    <row r="2608" spans="1:17" ht="15.6" x14ac:dyDescent="0.3">
      <c r="A2608" s="11">
        <v>10419</v>
      </c>
      <c r="B2608" s="10">
        <v>38489</v>
      </c>
      <c r="C2608" s="10" t="s">
        <v>294</v>
      </c>
      <c r="D2608" s="11" t="s">
        <v>101</v>
      </c>
      <c r="E2608" s="11" t="s">
        <v>102</v>
      </c>
      <c r="F2608" s="11" t="s">
        <v>103</v>
      </c>
      <c r="G2608" s="11" t="s">
        <v>25</v>
      </c>
      <c r="H2608" s="11" t="s">
        <v>32</v>
      </c>
      <c r="I2608" s="11" t="s">
        <v>33</v>
      </c>
      <c r="J2608" s="11" t="s">
        <v>245</v>
      </c>
      <c r="K2608" s="11">
        <v>32</v>
      </c>
      <c r="L2608" s="12">
        <v>85</v>
      </c>
      <c r="M2608" s="13">
        <v>2720</v>
      </c>
      <c r="N2608" s="11" t="s">
        <v>367</v>
      </c>
      <c r="O2608" s="11" t="s">
        <v>19</v>
      </c>
      <c r="Q2608"/>
    </row>
    <row r="2609" spans="1:17" ht="15.6" x14ac:dyDescent="0.3">
      <c r="A2609" s="15">
        <v>10419</v>
      </c>
      <c r="B2609" s="14">
        <v>38489</v>
      </c>
      <c r="C2609" s="14" t="s">
        <v>294</v>
      </c>
      <c r="D2609" s="15" t="s">
        <v>101</v>
      </c>
      <c r="E2609" s="15" t="s">
        <v>102</v>
      </c>
      <c r="F2609" s="15" t="s">
        <v>103</v>
      </c>
      <c r="G2609" s="15" t="s">
        <v>25</v>
      </c>
      <c r="H2609" s="15" t="s">
        <v>32</v>
      </c>
      <c r="I2609" s="15" t="s">
        <v>46</v>
      </c>
      <c r="J2609" s="15" t="s">
        <v>254</v>
      </c>
      <c r="K2609" s="15">
        <v>38</v>
      </c>
      <c r="L2609" s="16">
        <v>90</v>
      </c>
      <c r="M2609" s="17">
        <v>3420</v>
      </c>
      <c r="N2609" s="15" t="s">
        <v>367</v>
      </c>
      <c r="O2609" s="15" t="s">
        <v>19</v>
      </c>
      <c r="Q2609"/>
    </row>
    <row r="2610" spans="1:17" ht="15.6" x14ac:dyDescent="0.3">
      <c r="A2610" s="11">
        <v>10419</v>
      </c>
      <c r="B2610" s="10">
        <v>38489</v>
      </c>
      <c r="C2610" s="10" t="s">
        <v>294</v>
      </c>
      <c r="D2610" s="11" t="s">
        <v>101</v>
      </c>
      <c r="E2610" s="11" t="s">
        <v>102</v>
      </c>
      <c r="F2610" s="11" t="s">
        <v>103</v>
      </c>
      <c r="G2610" s="11" t="s">
        <v>25</v>
      </c>
      <c r="H2610" s="11" t="s">
        <v>32</v>
      </c>
      <c r="I2610" s="11" t="s">
        <v>45</v>
      </c>
      <c r="J2610" s="11" t="s">
        <v>253</v>
      </c>
      <c r="K2610" s="11">
        <v>37</v>
      </c>
      <c r="L2610" s="12">
        <v>35</v>
      </c>
      <c r="M2610" s="13">
        <v>1295</v>
      </c>
      <c r="N2610" s="11" t="s">
        <v>367</v>
      </c>
      <c r="O2610" s="11" t="s">
        <v>19</v>
      </c>
      <c r="Q2610"/>
    </row>
    <row r="2611" spans="1:17" ht="15.6" x14ac:dyDescent="0.3">
      <c r="A2611" s="15">
        <v>10419</v>
      </c>
      <c r="B2611" s="14">
        <v>38489</v>
      </c>
      <c r="C2611" s="14" t="s">
        <v>294</v>
      </c>
      <c r="D2611" s="15" t="s">
        <v>101</v>
      </c>
      <c r="E2611" s="15" t="s">
        <v>102</v>
      </c>
      <c r="F2611" s="15" t="s">
        <v>103</v>
      </c>
      <c r="G2611" s="15" t="s">
        <v>25</v>
      </c>
      <c r="H2611" s="15" t="s">
        <v>32</v>
      </c>
      <c r="I2611" s="15" t="s">
        <v>33</v>
      </c>
      <c r="J2611" s="15" t="s">
        <v>245</v>
      </c>
      <c r="K2611" s="15">
        <v>39</v>
      </c>
      <c r="L2611" s="16">
        <v>85</v>
      </c>
      <c r="M2611" s="17">
        <v>3315</v>
      </c>
      <c r="N2611" s="15" t="s">
        <v>367</v>
      </c>
      <c r="O2611" s="15" t="s">
        <v>19</v>
      </c>
      <c r="Q2611"/>
    </row>
    <row r="2612" spans="1:17" ht="15.6" x14ac:dyDescent="0.3">
      <c r="A2612" s="11">
        <v>10419</v>
      </c>
      <c r="B2612" s="10">
        <v>38489</v>
      </c>
      <c r="C2612" s="10" t="s">
        <v>294</v>
      </c>
      <c r="D2612" s="11" t="s">
        <v>101</v>
      </c>
      <c r="E2612" s="11" t="s">
        <v>102</v>
      </c>
      <c r="F2612" s="11" t="s">
        <v>103</v>
      </c>
      <c r="G2612" s="11" t="s">
        <v>25</v>
      </c>
      <c r="H2612" s="11" t="s">
        <v>32</v>
      </c>
      <c r="I2612" s="11" t="s">
        <v>34</v>
      </c>
      <c r="J2612" s="11" t="s">
        <v>246</v>
      </c>
      <c r="K2612" s="11">
        <v>34</v>
      </c>
      <c r="L2612" s="12">
        <v>80</v>
      </c>
      <c r="M2612" s="13">
        <v>2720</v>
      </c>
      <c r="N2612" s="11" t="s">
        <v>367</v>
      </c>
      <c r="O2612" s="11" t="s">
        <v>19</v>
      </c>
      <c r="Q2612"/>
    </row>
    <row r="2613" spans="1:17" ht="15.6" x14ac:dyDescent="0.3">
      <c r="A2613" s="15">
        <v>10419</v>
      </c>
      <c r="B2613" s="14">
        <v>38489</v>
      </c>
      <c r="C2613" s="14" t="s">
        <v>294</v>
      </c>
      <c r="D2613" s="15" t="s">
        <v>101</v>
      </c>
      <c r="E2613" s="15" t="s">
        <v>102</v>
      </c>
      <c r="F2613" s="15" t="s">
        <v>103</v>
      </c>
      <c r="G2613" s="15" t="s">
        <v>25</v>
      </c>
      <c r="H2613" s="15" t="s">
        <v>32</v>
      </c>
      <c r="I2613" s="15" t="s">
        <v>46</v>
      </c>
      <c r="J2613" s="15" t="s">
        <v>254</v>
      </c>
      <c r="K2613" s="15">
        <v>55</v>
      </c>
      <c r="L2613" s="16">
        <v>90</v>
      </c>
      <c r="M2613" s="17">
        <v>4950</v>
      </c>
      <c r="N2613" s="15" t="s">
        <v>368</v>
      </c>
      <c r="O2613" s="15" t="s">
        <v>19</v>
      </c>
      <c r="Q2613"/>
    </row>
    <row r="2614" spans="1:17" ht="15.6" x14ac:dyDescent="0.3">
      <c r="A2614" s="11">
        <v>10419</v>
      </c>
      <c r="B2614" s="10">
        <v>38489</v>
      </c>
      <c r="C2614" s="10" t="s">
        <v>294</v>
      </c>
      <c r="D2614" s="11" t="s">
        <v>101</v>
      </c>
      <c r="E2614" s="11" t="s">
        <v>102</v>
      </c>
      <c r="F2614" s="11" t="s">
        <v>103</v>
      </c>
      <c r="G2614" s="11" t="s">
        <v>25</v>
      </c>
      <c r="H2614" s="11" t="s">
        <v>32</v>
      </c>
      <c r="I2614" s="11" t="s">
        <v>46</v>
      </c>
      <c r="J2614" s="11" t="s">
        <v>254</v>
      </c>
      <c r="K2614" s="11">
        <v>35</v>
      </c>
      <c r="L2614" s="12">
        <v>90</v>
      </c>
      <c r="M2614" s="13">
        <v>3150</v>
      </c>
      <c r="N2614" s="11" t="s">
        <v>367</v>
      </c>
      <c r="O2614" s="11" t="s">
        <v>19</v>
      </c>
      <c r="Q2614"/>
    </row>
    <row r="2615" spans="1:17" ht="15.6" x14ac:dyDescent="0.3">
      <c r="A2615" s="15">
        <v>10419</v>
      </c>
      <c r="B2615" s="14">
        <v>38489</v>
      </c>
      <c r="C2615" s="14" t="s">
        <v>294</v>
      </c>
      <c r="D2615" s="15" t="s">
        <v>101</v>
      </c>
      <c r="E2615" s="15" t="s">
        <v>102</v>
      </c>
      <c r="F2615" s="15" t="s">
        <v>103</v>
      </c>
      <c r="G2615" s="15" t="s">
        <v>25</v>
      </c>
      <c r="H2615" s="15" t="s">
        <v>32</v>
      </c>
      <c r="I2615" s="15" t="s">
        <v>46</v>
      </c>
      <c r="J2615" s="15" t="s">
        <v>254</v>
      </c>
      <c r="K2615" s="15">
        <v>43</v>
      </c>
      <c r="L2615" s="16">
        <v>90</v>
      </c>
      <c r="M2615" s="17">
        <v>3870</v>
      </c>
      <c r="N2615" s="15" t="s">
        <v>367</v>
      </c>
      <c r="O2615" s="15" t="s">
        <v>19</v>
      </c>
      <c r="Q2615"/>
    </row>
    <row r="2616" spans="1:17" ht="15.6" x14ac:dyDescent="0.3">
      <c r="A2616" s="11">
        <v>10419</v>
      </c>
      <c r="B2616" s="10">
        <v>38489</v>
      </c>
      <c r="C2616" s="10" t="s">
        <v>294</v>
      </c>
      <c r="D2616" s="11" t="s">
        <v>101</v>
      </c>
      <c r="E2616" s="11" t="s">
        <v>102</v>
      </c>
      <c r="F2616" s="11" t="s">
        <v>103</v>
      </c>
      <c r="G2616" s="11" t="s">
        <v>25</v>
      </c>
      <c r="H2616" s="11" t="s">
        <v>32</v>
      </c>
      <c r="I2616" s="11" t="s">
        <v>44</v>
      </c>
      <c r="J2616" s="11" t="s">
        <v>252</v>
      </c>
      <c r="K2616" s="11">
        <v>15</v>
      </c>
      <c r="L2616" s="12">
        <v>55</v>
      </c>
      <c r="M2616" s="13">
        <v>825</v>
      </c>
      <c r="N2616" s="11" t="s">
        <v>367</v>
      </c>
      <c r="O2616" s="11" t="s">
        <v>19</v>
      </c>
      <c r="Q2616"/>
    </row>
    <row r="2617" spans="1:17" ht="15.6" x14ac:dyDescent="0.3">
      <c r="A2617" s="15">
        <v>10419</v>
      </c>
      <c r="B2617" s="14">
        <v>38489</v>
      </c>
      <c r="C2617" s="14" t="s">
        <v>294</v>
      </c>
      <c r="D2617" s="15" t="s">
        <v>101</v>
      </c>
      <c r="E2617" s="15" t="s">
        <v>102</v>
      </c>
      <c r="F2617" s="15" t="s">
        <v>103</v>
      </c>
      <c r="G2617" s="15" t="s">
        <v>25</v>
      </c>
      <c r="H2617" s="15" t="s">
        <v>32</v>
      </c>
      <c r="I2617" s="15" t="s">
        <v>34</v>
      </c>
      <c r="J2617" s="15" t="s">
        <v>246</v>
      </c>
      <c r="K2617" s="15">
        <v>55</v>
      </c>
      <c r="L2617" s="16">
        <v>80</v>
      </c>
      <c r="M2617" s="17">
        <v>4400</v>
      </c>
      <c r="N2617" s="15" t="s">
        <v>368</v>
      </c>
      <c r="O2617" s="15" t="s">
        <v>19</v>
      </c>
      <c r="Q2617"/>
    </row>
    <row r="2618" spans="1:17" ht="15.6" x14ac:dyDescent="0.3">
      <c r="A2618" s="11">
        <v>10419</v>
      </c>
      <c r="B2618" s="10">
        <v>38489</v>
      </c>
      <c r="C2618" s="10" t="s">
        <v>294</v>
      </c>
      <c r="D2618" s="11" t="s">
        <v>101</v>
      </c>
      <c r="E2618" s="11" t="s">
        <v>102</v>
      </c>
      <c r="F2618" s="11" t="s">
        <v>103</v>
      </c>
      <c r="G2618" s="11" t="s">
        <v>25</v>
      </c>
      <c r="H2618" s="11" t="s">
        <v>32</v>
      </c>
      <c r="I2618" s="11" t="s">
        <v>44</v>
      </c>
      <c r="J2618" s="11" t="s">
        <v>252</v>
      </c>
      <c r="K2618" s="11">
        <v>70</v>
      </c>
      <c r="L2618" s="12">
        <v>55</v>
      </c>
      <c r="M2618" s="13">
        <v>3850</v>
      </c>
      <c r="N2618" s="11" t="s">
        <v>368</v>
      </c>
      <c r="O2618" s="11" t="s">
        <v>19</v>
      </c>
      <c r="Q2618"/>
    </row>
    <row r="2619" spans="1:17" ht="15.6" x14ac:dyDescent="0.3">
      <c r="A2619" s="15">
        <v>10362</v>
      </c>
      <c r="B2619" s="14">
        <v>38509</v>
      </c>
      <c r="C2619" s="14" t="s">
        <v>308</v>
      </c>
      <c r="D2619" s="15" t="s">
        <v>131</v>
      </c>
      <c r="E2619" s="15" t="s">
        <v>132</v>
      </c>
      <c r="F2619" s="15" t="s">
        <v>15</v>
      </c>
      <c r="G2619" s="15" t="s">
        <v>16</v>
      </c>
      <c r="H2619" s="15" t="s">
        <v>68</v>
      </c>
      <c r="I2619" s="15" t="s">
        <v>70</v>
      </c>
      <c r="J2619" s="15" t="s">
        <v>267</v>
      </c>
      <c r="K2619" s="15">
        <v>22</v>
      </c>
      <c r="L2619" s="16">
        <v>50</v>
      </c>
      <c r="M2619" s="17">
        <v>1100</v>
      </c>
      <c r="N2619" s="15" t="s">
        <v>367</v>
      </c>
      <c r="O2619" s="15" t="s">
        <v>19</v>
      </c>
      <c r="Q2619"/>
    </row>
    <row r="2620" spans="1:17" ht="15.6" x14ac:dyDescent="0.3">
      <c r="A2620" s="11">
        <v>10362</v>
      </c>
      <c r="B2620" s="10">
        <v>38509</v>
      </c>
      <c r="C2620" s="10" t="s">
        <v>308</v>
      </c>
      <c r="D2620" s="11" t="s">
        <v>131</v>
      </c>
      <c r="E2620" s="11" t="s">
        <v>132</v>
      </c>
      <c r="F2620" s="11" t="s">
        <v>15</v>
      </c>
      <c r="G2620" s="11" t="s">
        <v>16</v>
      </c>
      <c r="H2620" s="11" t="s">
        <v>68</v>
      </c>
      <c r="I2620" s="11" t="s">
        <v>76</v>
      </c>
      <c r="J2620" s="11" t="s">
        <v>269</v>
      </c>
      <c r="K2620" s="11">
        <v>22</v>
      </c>
      <c r="L2620" s="12">
        <v>30</v>
      </c>
      <c r="M2620" s="13">
        <v>660</v>
      </c>
      <c r="N2620" s="11" t="s">
        <v>367</v>
      </c>
      <c r="O2620" s="11" t="s">
        <v>19</v>
      </c>
      <c r="Q2620"/>
    </row>
    <row r="2621" spans="1:17" ht="15.6" x14ac:dyDescent="0.3">
      <c r="A2621" s="15">
        <v>10362</v>
      </c>
      <c r="B2621" s="14">
        <v>38509</v>
      </c>
      <c r="C2621" s="14" t="s">
        <v>308</v>
      </c>
      <c r="D2621" s="15" t="s">
        <v>131</v>
      </c>
      <c r="E2621" s="15" t="s">
        <v>132</v>
      </c>
      <c r="F2621" s="15" t="s">
        <v>15</v>
      </c>
      <c r="G2621" s="15" t="s">
        <v>16</v>
      </c>
      <c r="H2621" s="15" t="s">
        <v>68</v>
      </c>
      <c r="I2621" s="15" t="s">
        <v>69</v>
      </c>
      <c r="J2621" s="15" t="s">
        <v>266</v>
      </c>
      <c r="K2621" s="15">
        <v>23</v>
      </c>
      <c r="L2621" s="16">
        <v>25</v>
      </c>
      <c r="M2621" s="17">
        <v>575</v>
      </c>
      <c r="N2621" s="15" t="s">
        <v>367</v>
      </c>
      <c r="O2621" s="15" t="s">
        <v>19</v>
      </c>
      <c r="Q2621"/>
    </row>
    <row r="2622" spans="1:17" ht="15.6" x14ac:dyDescent="0.3">
      <c r="A2622" s="11">
        <v>10362</v>
      </c>
      <c r="B2622" s="10">
        <v>38509</v>
      </c>
      <c r="C2622" s="10" t="s">
        <v>308</v>
      </c>
      <c r="D2622" s="11" t="s">
        <v>131</v>
      </c>
      <c r="E2622" s="11" t="s">
        <v>132</v>
      </c>
      <c r="F2622" s="11" t="s">
        <v>15</v>
      </c>
      <c r="G2622" s="11" t="s">
        <v>16</v>
      </c>
      <c r="H2622" s="11" t="s">
        <v>68</v>
      </c>
      <c r="I2622" s="11" t="s">
        <v>69</v>
      </c>
      <c r="J2622" s="11" t="s">
        <v>266</v>
      </c>
      <c r="K2622" s="11">
        <v>50</v>
      </c>
      <c r="L2622" s="12">
        <v>25</v>
      </c>
      <c r="M2622" s="13">
        <v>1250</v>
      </c>
      <c r="N2622" s="11" t="s">
        <v>368</v>
      </c>
      <c r="O2622" s="11" t="s">
        <v>19</v>
      </c>
      <c r="Q2622"/>
    </row>
    <row r="2623" spans="1:17" ht="15.6" x14ac:dyDescent="0.3">
      <c r="A2623" s="15">
        <v>10363</v>
      </c>
      <c r="B2623" s="14">
        <v>38509</v>
      </c>
      <c r="C2623" s="14" t="s">
        <v>309</v>
      </c>
      <c r="D2623" s="15" t="s">
        <v>133</v>
      </c>
      <c r="E2623" s="15" t="s">
        <v>134</v>
      </c>
      <c r="F2623" s="15" t="s">
        <v>135</v>
      </c>
      <c r="G2623" s="15" t="s">
        <v>25</v>
      </c>
      <c r="H2623" s="15" t="s">
        <v>32</v>
      </c>
      <c r="I2623" s="15" t="s">
        <v>46</v>
      </c>
      <c r="J2623" s="15" t="s">
        <v>254</v>
      </c>
      <c r="K2623" s="15">
        <v>33</v>
      </c>
      <c r="L2623" s="16">
        <v>90</v>
      </c>
      <c r="M2623" s="17">
        <v>2970</v>
      </c>
      <c r="N2623" s="15" t="s">
        <v>367</v>
      </c>
      <c r="O2623" s="15" t="s">
        <v>19</v>
      </c>
      <c r="Q2623"/>
    </row>
    <row r="2624" spans="1:17" ht="15.6" x14ac:dyDescent="0.3">
      <c r="A2624" s="11">
        <v>10363</v>
      </c>
      <c r="B2624" s="10">
        <v>38509</v>
      </c>
      <c r="C2624" s="10" t="s">
        <v>309</v>
      </c>
      <c r="D2624" s="11" t="s">
        <v>133</v>
      </c>
      <c r="E2624" s="11" t="s">
        <v>134</v>
      </c>
      <c r="F2624" s="11" t="s">
        <v>135</v>
      </c>
      <c r="G2624" s="11" t="s">
        <v>25</v>
      </c>
      <c r="H2624" s="11" t="s">
        <v>32</v>
      </c>
      <c r="I2624" s="11" t="s">
        <v>46</v>
      </c>
      <c r="J2624" s="11" t="s">
        <v>254</v>
      </c>
      <c r="K2624" s="11">
        <v>34</v>
      </c>
      <c r="L2624" s="12">
        <v>90</v>
      </c>
      <c r="M2624" s="13">
        <v>3060</v>
      </c>
      <c r="N2624" s="11" t="s">
        <v>367</v>
      </c>
      <c r="O2624" s="11" t="s">
        <v>19</v>
      </c>
      <c r="Q2624"/>
    </row>
    <row r="2625" spans="1:17" ht="15.6" x14ac:dyDescent="0.3">
      <c r="A2625" s="15">
        <v>10363</v>
      </c>
      <c r="B2625" s="14">
        <v>38510</v>
      </c>
      <c r="C2625" s="14" t="s">
        <v>309</v>
      </c>
      <c r="D2625" s="15" t="s">
        <v>133</v>
      </c>
      <c r="E2625" s="15" t="s">
        <v>134</v>
      </c>
      <c r="F2625" s="15" t="s">
        <v>135</v>
      </c>
      <c r="G2625" s="15" t="s">
        <v>25</v>
      </c>
      <c r="H2625" s="15" t="s">
        <v>32</v>
      </c>
      <c r="I2625" s="15" t="s">
        <v>44</v>
      </c>
      <c r="J2625" s="15" t="s">
        <v>252</v>
      </c>
      <c r="K2625" s="15">
        <v>34</v>
      </c>
      <c r="L2625" s="16">
        <v>55</v>
      </c>
      <c r="M2625" s="17">
        <v>1870</v>
      </c>
      <c r="N2625" s="15" t="s">
        <v>367</v>
      </c>
      <c r="O2625" s="15" t="s">
        <v>19</v>
      </c>
      <c r="Q2625"/>
    </row>
    <row r="2626" spans="1:17" ht="15.6" x14ac:dyDescent="0.3">
      <c r="A2626" s="11">
        <v>10363</v>
      </c>
      <c r="B2626" s="10">
        <v>38510</v>
      </c>
      <c r="C2626" s="10" t="s">
        <v>309</v>
      </c>
      <c r="D2626" s="11" t="s">
        <v>133</v>
      </c>
      <c r="E2626" s="11" t="s">
        <v>134</v>
      </c>
      <c r="F2626" s="11" t="s">
        <v>135</v>
      </c>
      <c r="G2626" s="11" t="s">
        <v>25</v>
      </c>
      <c r="H2626" s="11" t="s">
        <v>32</v>
      </c>
      <c r="I2626" s="11" t="s">
        <v>45</v>
      </c>
      <c r="J2626" s="11" t="s">
        <v>253</v>
      </c>
      <c r="K2626" s="11">
        <v>46</v>
      </c>
      <c r="L2626" s="12">
        <v>35</v>
      </c>
      <c r="M2626" s="13">
        <v>1610</v>
      </c>
      <c r="N2626" s="11" t="s">
        <v>367</v>
      </c>
      <c r="O2626" s="11" t="s">
        <v>19</v>
      </c>
      <c r="Q2626"/>
    </row>
    <row r="2627" spans="1:17" ht="15.6" x14ac:dyDescent="0.3">
      <c r="A2627" s="15">
        <v>10363</v>
      </c>
      <c r="B2627" s="14">
        <v>38510</v>
      </c>
      <c r="C2627" s="14" t="s">
        <v>309</v>
      </c>
      <c r="D2627" s="15" t="s">
        <v>133</v>
      </c>
      <c r="E2627" s="15" t="s">
        <v>134</v>
      </c>
      <c r="F2627" s="15" t="s">
        <v>135</v>
      </c>
      <c r="G2627" s="15" t="s">
        <v>25</v>
      </c>
      <c r="H2627" s="15" t="s">
        <v>32</v>
      </c>
      <c r="I2627" s="15" t="s">
        <v>45</v>
      </c>
      <c r="J2627" s="15" t="s">
        <v>253</v>
      </c>
      <c r="K2627" s="15">
        <v>22</v>
      </c>
      <c r="L2627" s="16">
        <v>35</v>
      </c>
      <c r="M2627" s="17">
        <v>770</v>
      </c>
      <c r="N2627" s="15" t="s">
        <v>367</v>
      </c>
      <c r="O2627" s="15" t="s">
        <v>19</v>
      </c>
      <c r="Q2627"/>
    </row>
    <row r="2628" spans="1:17" ht="15.6" x14ac:dyDescent="0.3">
      <c r="A2628" s="11">
        <v>10363</v>
      </c>
      <c r="B2628" s="10">
        <v>38513</v>
      </c>
      <c r="C2628" s="10" t="s">
        <v>309</v>
      </c>
      <c r="D2628" s="11" t="s">
        <v>133</v>
      </c>
      <c r="E2628" s="11" t="s">
        <v>134</v>
      </c>
      <c r="F2628" s="11" t="s">
        <v>135</v>
      </c>
      <c r="G2628" s="11" t="s">
        <v>25</v>
      </c>
      <c r="H2628" s="11" t="s">
        <v>32</v>
      </c>
      <c r="I2628" s="11" t="s">
        <v>46</v>
      </c>
      <c r="J2628" s="11" t="s">
        <v>254</v>
      </c>
      <c r="K2628" s="11">
        <v>46</v>
      </c>
      <c r="L2628" s="12">
        <v>90</v>
      </c>
      <c r="M2628" s="13">
        <v>4140</v>
      </c>
      <c r="N2628" s="11" t="s">
        <v>367</v>
      </c>
      <c r="O2628" s="11" t="s">
        <v>19</v>
      </c>
      <c r="Q2628"/>
    </row>
    <row r="2629" spans="1:17" ht="15.6" x14ac:dyDescent="0.3">
      <c r="A2629" s="15">
        <v>10363</v>
      </c>
      <c r="B2629" s="14">
        <v>38513</v>
      </c>
      <c r="C2629" s="14" t="s">
        <v>309</v>
      </c>
      <c r="D2629" s="15" t="s">
        <v>133</v>
      </c>
      <c r="E2629" s="15" t="s">
        <v>134</v>
      </c>
      <c r="F2629" s="15" t="s">
        <v>135</v>
      </c>
      <c r="G2629" s="15" t="s">
        <v>25</v>
      </c>
      <c r="H2629" s="15" t="s">
        <v>32</v>
      </c>
      <c r="I2629" s="15" t="s">
        <v>46</v>
      </c>
      <c r="J2629" s="15" t="s">
        <v>254</v>
      </c>
      <c r="K2629" s="15">
        <v>24</v>
      </c>
      <c r="L2629" s="16">
        <v>90</v>
      </c>
      <c r="M2629" s="17">
        <v>2160</v>
      </c>
      <c r="N2629" s="15" t="s">
        <v>367</v>
      </c>
      <c r="O2629" s="15" t="s">
        <v>19</v>
      </c>
      <c r="Q2629"/>
    </row>
    <row r="2630" spans="1:17" ht="15.6" x14ac:dyDescent="0.3">
      <c r="A2630" s="11">
        <v>10363</v>
      </c>
      <c r="B2630" s="10">
        <v>38513</v>
      </c>
      <c r="C2630" s="10" t="s">
        <v>309</v>
      </c>
      <c r="D2630" s="11" t="s">
        <v>133</v>
      </c>
      <c r="E2630" s="11" t="s">
        <v>134</v>
      </c>
      <c r="F2630" s="11" t="s">
        <v>135</v>
      </c>
      <c r="G2630" s="11" t="s">
        <v>25</v>
      </c>
      <c r="H2630" s="11" t="s">
        <v>68</v>
      </c>
      <c r="I2630" s="11" t="s">
        <v>108</v>
      </c>
      <c r="J2630" s="11" t="s">
        <v>271</v>
      </c>
      <c r="K2630" s="11">
        <v>32</v>
      </c>
      <c r="L2630" s="12">
        <v>45</v>
      </c>
      <c r="M2630" s="13">
        <v>1440</v>
      </c>
      <c r="N2630" s="11" t="s">
        <v>367</v>
      </c>
      <c r="O2630" s="11" t="s">
        <v>19</v>
      </c>
      <c r="Q2630"/>
    </row>
    <row r="2631" spans="1:17" ht="15.6" x14ac:dyDescent="0.3">
      <c r="A2631" s="15">
        <v>10363</v>
      </c>
      <c r="B2631" s="14">
        <v>38522</v>
      </c>
      <c r="C2631" s="14" t="s">
        <v>309</v>
      </c>
      <c r="D2631" s="15" t="s">
        <v>133</v>
      </c>
      <c r="E2631" s="15" t="s">
        <v>134</v>
      </c>
      <c r="F2631" s="15" t="s">
        <v>135</v>
      </c>
      <c r="G2631" s="15" t="s">
        <v>25</v>
      </c>
      <c r="H2631" s="15" t="s">
        <v>32</v>
      </c>
      <c r="I2631" s="15" t="s">
        <v>44</v>
      </c>
      <c r="J2631" s="15" t="s">
        <v>252</v>
      </c>
      <c r="K2631" s="15">
        <v>28</v>
      </c>
      <c r="L2631" s="16">
        <v>55</v>
      </c>
      <c r="M2631" s="17">
        <v>1540</v>
      </c>
      <c r="N2631" s="15" t="s">
        <v>367</v>
      </c>
      <c r="O2631" s="15" t="s">
        <v>19</v>
      </c>
      <c r="Q2631"/>
    </row>
    <row r="2632" spans="1:17" ht="15.6" x14ac:dyDescent="0.3">
      <c r="A2632" s="11">
        <v>10363</v>
      </c>
      <c r="B2632" s="10">
        <v>38522</v>
      </c>
      <c r="C2632" s="10" t="s">
        <v>309</v>
      </c>
      <c r="D2632" s="11" t="s">
        <v>133</v>
      </c>
      <c r="E2632" s="11" t="s">
        <v>134</v>
      </c>
      <c r="F2632" s="11" t="s">
        <v>135</v>
      </c>
      <c r="G2632" s="11" t="s">
        <v>25</v>
      </c>
      <c r="H2632" s="11" t="s">
        <v>68</v>
      </c>
      <c r="I2632" s="11" t="s">
        <v>70</v>
      </c>
      <c r="J2632" s="11" t="s">
        <v>267</v>
      </c>
      <c r="K2632" s="11">
        <v>21</v>
      </c>
      <c r="L2632" s="12">
        <v>50</v>
      </c>
      <c r="M2632" s="13">
        <v>1050</v>
      </c>
      <c r="N2632" s="11" t="s">
        <v>367</v>
      </c>
      <c r="O2632" s="11" t="s">
        <v>19</v>
      </c>
      <c r="Q2632"/>
    </row>
    <row r="2633" spans="1:17" ht="15.6" x14ac:dyDescent="0.3">
      <c r="A2633" s="15">
        <v>10363</v>
      </c>
      <c r="B2633" s="14">
        <v>38522</v>
      </c>
      <c r="C2633" s="14" t="s">
        <v>309</v>
      </c>
      <c r="D2633" s="15" t="s">
        <v>133</v>
      </c>
      <c r="E2633" s="15" t="s">
        <v>134</v>
      </c>
      <c r="F2633" s="15" t="s">
        <v>135</v>
      </c>
      <c r="G2633" s="15" t="s">
        <v>25</v>
      </c>
      <c r="H2633" s="15" t="s">
        <v>68</v>
      </c>
      <c r="I2633" s="15" t="s">
        <v>75</v>
      </c>
      <c r="J2633" s="15" t="s">
        <v>268</v>
      </c>
      <c r="K2633" s="15">
        <v>43</v>
      </c>
      <c r="L2633" s="16">
        <v>35</v>
      </c>
      <c r="M2633" s="17">
        <v>1505</v>
      </c>
      <c r="N2633" s="15" t="s">
        <v>367</v>
      </c>
      <c r="O2633" s="15" t="s">
        <v>19</v>
      </c>
      <c r="Q2633"/>
    </row>
    <row r="2634" spans="1:17" ht="15.6" x14ac:dyDescent="0.3">
      <c r="A2634" s="11">
        <v>10363</v>
      </c>
      <c r="B2634" s="10">
        <v>38522</v>
      </c>
      <c r="C2634" s="10" t="s">
        <v>309</v>
      </c>
      <c r="D2634" s="11" t="s">
        <v>133</v>
      </c>
      <c r="E2634" s="11" t="s">
        <v>134</v>
      </c>
      <c r="F2634" s="11" t="s">
        <v>135</v>
      </c>
      <c r="G2634" s="11" t="s">
        <v>25</v>
      </c>
      <c r="H2634" s="11" t="s">
        <v>32</v>
      </c>
      <c r="I2634" s="11" t="s">
        <v>34</v>
      </c>
      <c r="J2634" s="11" t="s">
        <v>246</v>
      </c>
      <c r="K2634" s="11">
        <v>21</v>
      </c>
      <c r="L2634" s="12">
        <v>80</v>
      </c>
      <c r="M2634" s="13">
        <v>1680</v>
      </c>
      <c r="N2634" s="11" t="s">
        <v>367</v>
      </c>
      <c r="O2634" s="11" t="s">
        <v>19</v>
      </c>
      <c r="Q2634"/>
    </row>
    <row r="2635" spans="1:17" ht="15.6" x14ac:dyDescent="0.3">
      <c r="A2635" s="15">
        <v>10363</v>
      </c>
      <c r="B2635" s="14">
        <v>38522</v>
      </c>
      <c r="C2635" s="14" t="s">
        <v>309</v>
      </c>
      <c r="D2635" s="15" t="s">
        <v>133</v>
      </c>
      <c r="E2635" s="15" t="s">
        <v>134</v>
      </c>
      <c r="F2635" s="15" t="s">
        <v>135</v>
      </c>
      <c r="G2635" s="15" t="s">
        <v>25</v>
      </c>
      <c r="H2635" s="15" t="s">
        <v>32</v>
      </c>
      <c r="I2635" s="15" t="s">
        <v>33</v>
      </c>
      <c r="J2635" s="15" t="s">
        <v>245</v>
      </c>
      <c r="K2635" s="15">
        <v>31</v>
      </c>
      <c r="L2635" s="16">
        <v>85</v>
      </c>
      <c r="M2635" s="17">
        <v>2635</v>
      </c>
      <c r="N2635" s="15" t="s">
        <v>367</v>
      </c>
      <c r="O2635" s="15" t="s">
        <v>19</v>
      </c>
      <c r="Q2635"/>
    </row>
    <row r="2636" spans="1:17" ht="15.6" x14ac:dyDescent="0.3">
      <c r="A2636" s="11">
        <v>10363</v>
      </c>
      <c r="B2636" s="10">
        <v>38523</v>
      </c>
      <c r="C2636" s="10" t="s">
        <v>309</v>
      </c>
      <c r="D2636" s="11" t="s">
        <v>133</v>
      </c>
      <c r="E2636" s="11" t="s">
        <v>134</v>
      </c>
      <c r="F2636" s="11" t="s">
        <v>135</v>
      </c>
      <c r="G2636" s="11" t="s">
        <v>25</v>
      </c>
      <c r="H2636" s="11" t="s">
        <v>32</v>
      </c>
      <c r="I2636" s="11" t="s">
        <v>45</v>
      </c>
      <c r="J2636" s="11" t="s">
        <v>253</v>
      </c>
      <c r="K2636" s="11">
        <v>43</v>
      </c>
      <c r="L2636" s="12">
        <v>35</v>
      </c>
      <c r="M2636" s="13">
        <v>1505</v>
      </c>
      <c r="N2636" s="11" t="s">
        <v>367</v>
      </c>
      <c r="O2636" s="11" t="s">
        <v>19</v>
      </c>
      <c r="Q2636"/>
    </row>
    <row r="2637" spans="1:17" ht="15.6" x14ac:dyDescent="0.3">
      <c r="A2637" s="15">
        <v>10363</v>
      </c>
      <c r="B2637" s="14">
        <v>38523</v>
      </c>
      <c r="C2637" s="14" t="s">
        <v>309</v>
      </c>
      <c r="D2637" s="15" t="s">
        <v>133</v>
      </c>
      <c r="E2637" s="15" t="s">
        <v>134</v>
      </c>
      <c r="F2637" s="15" t="s">
        <v>135</v>
      </c>
      <c r="G2637" s="15" t="s">
        <v>25</v>
      </c>
      <c r="H2637" s="15" t="s">
        <v>68</v>
      </c>
      <c r="I2637" s="15" t="s">
        <v>70</v>
      </c>
      <c r="J2637" s="15" t="s">
        <v>267</v>
      </c>
      <c r="K2637" s="15">
        <v>50</v>
      </c>
      <c r="L2637" s="16">
        <v>50</v>
      </c>
      <c r="M2637" s="17">
        <v>2500</v>
      </c>
      <c r="N2637" s="15" t="s">
        <v>368</v>
      </c>
      <c r="O2637" s="15" t="s">
        <v>19</v>
      </c>
      <c r="Q2637"/>
    </row>
    <row r="2638" spans="1:17" ht="15.6" x14ac:dyDescent="0.3">
      <c r="A2638" s="11">
        <v>10364</v>
      </c>
      <c r="B2638" s="10">
        <v>38523</v>
      </c>
      <c r="C2638" s="10" t="s">
        <v>297</v>
      </c>
      <c r="D2638" s="11" t="s">
        <v>111</v>
      </c>
      <c r="E2638" s="11" t="s">
        <v>112</v>
      </c>
      <c r="F2638" s="11" t="s">
        <v>92</v>
      </c>
      <c r="G2638" s="11" t="s">
        <v>25</v>
      </c>
      <c r="H2638" s="11" t="s">
        <v>68</v>
      </c>
      <c r="I2638" s="11" t="s">
        <v>70</v>
      </c>
      <c r="J2638" s="11" t="s">
        <v>267</v>
      </c>
      <c r="K2638" s="11">
        <v>48</v>
      </c>
      <c r="L2638" s="12">
        <v>50</v>
      </c>
      <c r="M2638" s="13">
        <v>2400</v>
      </c>
      <c r="N2638" s="11" t="s">
        <v>367</v>
      </c>
      <c r="O2638" s="11" t="s">
        <v>19</v>
      </c>
      <c r="Q2638"/>
    </row>
    <row r="2639" spans="1:17" ht="15.6" x14ac:dyDescent="0.3">
      <c r="A2639" s="15">
        <v>10365</v>
      </c>
      <c r="B2639" s="14">
        <v>38523</v>
      </c>
      <c r="C2639" s="14" t="s">
        <v>310</v>
      </c>
      <c r="D2639" s="15" t="s">
        <v>136</v>
      </c>
      <c r="E2639" s="15" t="s">
        <v>137</v>
      </c>
      <c r="F2639" s="15" t="s">
        <v>15</v>
      </c>
      <c r="G2639" s="15" t="s">
        <v>16</v>
      </c>
      <c r="H2639" s="15" t="s">
        <v>32</v>
      </c>
      <c r="I2639" s="15" t="s">
        <v>46</v>
      </c>
      <c r="J2639" s="15" t="s">
        <v>254</v>
      </c>
      <c r="K2639" s="15">
        <v>30</v>
      </c>
      <c r="L2639" s="16">
        <v>90</v>
      </c>
      <c r="M2639" s="17">
        <v>2700</v>
      </c>
      <c r="N2639" s="15" t="s">
        <v>367</v>
      </c>
      <c r="O2639" s="15" t="s">
        <v>19</v>
      </c>
      <c r="Q2639"/>
    </row>
    <row r="2640" spans="1:17" ht="15.6" x14ac:dyDescent="0.3">
      <c r="A2640" s="11">
        <v>10365</v>
      </c>
      <c r="B2640" s="10">
        <v>38523</v>
      </c>
      <c r="C2640" s="10" t="s">
        <v>310</v>
      </c>
      <c r="D2640" s="11" t="s">
        <v>136</v>
      </c>
      <c r="E2640" s="11" t="s">
        <v>137</v>
      </c>
      <c r="F2640" s="11" t="s">
        <v>15</v>
      </c>
      <c r="G2640" s="11" t="s">
        <v>16</v>
      </c>
      <c r="H2640" s="11" t="s">
        <v>68</v>
      </c>
      <c r="I2640" s="11" t="s">
        <v>75</v>
      </c>
      <c r="J2640" s="11" t="s">
        <v>268</v>
      </c>
      <c r="K2640" s="11">
        <v>22</v>
      </c>
      <c r="L2640" s="12">
        <v>35</v>
      </c>
      <c r="M2640" s="13">
        <v>770</v>
      </c>
      <c r="N2640" s="11" t="s">
        <v>367</v>
      </c>
      <c r="O2640" s="11" t="s">
        <v>19</v>
      </c>
      <c r="Q2640"/>
    </row>
    <row r="2641" spans="1:17" ht="15.6" x14ac:dyDescent="0.3">
      <c r="A2641" s="15">
        <v>10365</v>
      </c>
      <c r="B2641" s="14">
        <v>38523</v>
      </c>
      <c r="C2641" s="14" t="s">
        <v>310</v>
      </c>
      <c r="D2641" s="15" t="s">
        <v>136</v>
      </c>
      <c r="E2641" s="15" t="s">
        <v>137</v>
      </c>
      <c r="F2641" s="15" t="s">
        <v>15</v>
      </c>
      <c r="G2641" s="15" t="s">
        <v>16</v>
      </c>
      <c r="H2641" s="15" t="s">
        <v>68</v>
      </c>
      <c r="I2641" s="15" t="s">
        <v>75</v>
      </c>
      <c r="J2641" s="15" t="s">
        <v>268</v>
      </c>
      <c r="K2641" s="15">
        <v>44</v>
      </c>
      <c r="L2641" s="16">
        <v>35</v>
      </c>
      <c r="M2641" s="17">
        <v>1540</v>
      </c>
      <c r="N2641" s="15" t="s">
        <v>367</v>
      </c>
      <c r="O2641" s="15" t="s">
        <v>19</v>
      </c>
      <c r="Q2641"/>
    </row>
    <row r="2642" spans="1:17" ht="15.6" x14ac:dyDescent="0.3">
      <c r="A2642" s="11">
        <v>10366</v>
      </c>
      <c r="B2642" s="10">
        <v>38523</v>
      </c>
      <c r="C2642" s="10" t="s">
        <v>291</v>
      </c>
      <c r="D2642" s="11" t="s">
        <v>94</v>
      </c>
      <c r="E2642" s="11" t="s">
        <v>95</v>
      </c>
      <c r="F2642" s="11" t="s">
        <v>96</v>
      </c>
      <c r="G2642" s="11" t="s">
        <v>25</v>
      </c>
      <c r="H2642" s="11" t="s">
        <v>32</v>
      </c>
      <c r="I2642" s="11" t="s">
        <v>46</v>
      </c>
      <c r="J2642" s="11" t="s">
        <v>254</v>
      </c>
      <c r="K2642" s="11">
        <v>34</v>
      </c>
      <c r="L2642" s="12">
        <v>90</v>
      </c>
      <c r="M2642" s="13">
        <v>3060</v>
      </c>
      <c r="N2642" s="11" t="s">
        <v>367</v>
      </c>
      <c r="O2642" s="11" t="s">
        <v>19</v>
      </c>
      <c r="Q2642"/>
    </row>
    <row r="2643" spans="1:17" ht="15.6" x14ac:dyDescent="0.3">
      <c r="A2643" s="15">
        <v>10366</v>
      </c>
      <c r="B2643" s="14">
        <v>38523</v>
      </c>
      <c r="C2643" s="14" t="s">
        <v>291</v>
      </c>
      <c r="D2643" s="15" t="s">
        <v>94</v>
      </c>
      <c r="E2643" s="15" t="s">
        <v>95</v>
      </c>
      <c r="F2643" s="15" t="s">
        <v>96</v>
      </c>
      <c r="G2643" s="15" t="s">
        <v>25</v>
      </c>
      <c r="H2643" s="15" t="s">
        <v>32</v>
      </c>
      <c r="I2643" s="15" t="s">
        <v>44</v>
      </c>
      <c r="J2643" s="15" t="s">
        <v>252</v>
      </c>
      <c r="K2643" s="15">
        <v>49</v>
      </c>
      <c r="L2643" s="16">
        <v>55</v>
      </c>
      <c r="M2643" s="17">
        <v>2695</v>
      </c>
      <c r="N2643" s="15" t="s">
        <v>367</v>
      </c>
      <c r="O2643" s="15" t="s">
        <v>19</v>
      </c>
      <c r="Q2643"/>
    </row>
    <row r="2644" spans="1:17" ht="15.6" x14ac:dyDescent="0.3">
      <c r="A2644" s="11">
        <v>10366</v>
      </c>
      <c r="B2644" s="10">
        <v>38523</v>
      </c>
      <c r="C2644" s="10" t="s">
        <v>291</v>
      </c>
      <c r="D2644" s="11" t="s">
        <v>94</v>
      </c>
      <c r="E2644" s="11" t="s">
        <v>95</v>
      </c>
      <c r="F2644" s="11" t="s">
        <v>96</v>
      </c>
      <c r="G2644" s="11" t="s">
        <v>25</v>
      </c>
      <c r="H2644" s="11" t="s">
        <v>32</v>
      </c>
      <c r="I2644" s="11" t="s">
        <v>34</v>
      </c>
      <c r="J2644" s="11" t="s">
        <v>246</v>
      </c>
      <c r="K2644" s="11">
        <v>34</v>
      </c>
      <c r="L2644" s="12">
        <v>80</v>
      </c>
      <c r="M2644" s="13">
        <v>2720</v>
      </c>
      <c r="N2644" s="11" t="s">
        <v>367</v>
      </c>
      <c r="O2644" s="11" t="s">
        <v>19</v>
      </c>
      <c r="Q2644"/>
    </row>
    <row r="2645" spans="1:17" ht="15.6" x14ac:dyDescent="0.3">
      <c r="A2645" s="15">
        <v>10368</v>
      </c>
      <c r="B2645" s="14">
        <v>38523</v>
      </c>
      <c r="C2645" s="14" t="s">
        <v>288</v>
      </c>
      <c r="D2645" s="15" t="s">
        <v>88</v>
      </c>
      <c r="E2645" s="15" t="s">
        <v>89</v>
      </c>
      <c r="F2645" s="15" t="s">
        <v>15</v>
      </c>
      <c r="G2645" s="15" t="s">
        <v>16</v>
      </c>
      <c r="H2645" s="15" t="s">
        <v>32</v>
      </c>
      <c r="I2645" s="15" t="s">
        <v>45</v>
      </c>
      <c r="J2645" s="15" t="s">
        <v>253</v>
      </c>
      <c r="K2645" s="15">
        <v>40</v>
      </c>
      <c r="L2645" s="16">
        <v>35</v>
      </c>
      <c r="M2645" s="17">
        <v>1400</v>
      </c>
      <c r="N2645" s="15" t="s">
        <v>367</v>
      </c>
      <c r="O2645" s="15" t="s">
        <v>19</v>
      </c>
      <c r="Q2645"/>
    </row>
    <row r="2646" spans="1:17" ht="15.6" x14ac:dyDescent="0.3">
      <c r="A2646" s="11">
        <v>10368</v>
      </c>
      <c r="B2646" s="10">
        <v>38523</v>
      </c>
      <c r="C2646" s="10" t="s">
        <v>288</v>
      </c>
      <c r="D2646" s="11" t="s">
        <v>88</v>
      </c>
      <c r="E2646" s="11" t="s">
        <v>89</v>
      </c>
      <c r="F2646" s="11" t="s">
        <v>15</v>
      </c>
      <c r="G2646" s="11" t="s">
        <v>16</v>
      </c>
      <c r="H2646" s="11" t="s">
        <v>32</v>
      </c>
      <c r="I2646" s="11" t="s">
        <v>33</v>
      </c>
      <c r="J2646" s="11" t="s">
        <v>245</v>
      </c>
      <c r="K2646" s="11">
        <v>31</v>
      </c>
      <c r="L2646" s="12">
        <v>85</v>
      </c>
      <c r="M2646" s="13">
        <v>2635</v>
      </c>
      <c r="N2646" s="11" t="s">
        <v>367</v>
      </c>
      <c r="O2646" s="11" t="s">
        <v>19</v>
      </c>
      <c r="Q2646"/>
    </row>
    <row r="2647" spans="1:17" ht="15.6" x14ac:dyDescent="0.3">
      <c r="A2647" s="15">
        <v>10368</v>
      </c>
      <c r="B2647" s="14">
        <v>38523</v>
      </c>
      <c r="C2647" s="14" t="s">
        <v>288</v>
      </c>
      <c r="D2647" s="15" t="s">
        <v>88</v>
      </c>
      <c r="E2647" s="15" t="s">
        <v>89</v>
      </c>
      <c r="F2647" s="15" t="s">
        <v>15</v>
      </c>
      <c r="G2647" s="15" t="s">
        <v>16</v>
      </c>
      <c r="H2647" s="15" t="s">
        <v>32</v>
      </c>
      <c r="I2647" s="15" t="s">
        <v>46</v>
      </c>
      <c r="J2647" s="15" t="s">
        <v>254</v>
      </c>
      <c r="K2647" s="15">
        <v>46</v>
      </c>
      <c r="L2647" s="16">
        <v>90</v>
      </c>
      <c r="M2647" s="17">
        <v>4140</v>
      </c>
      <c r="N2647" s="15" t="s">
        <v>367</v>
      </c>
      <c r="O2647" s="15" t="s">
        <v>19</v>
      </c>
      <c r="Q2647"/>
    </row>
    <row r="2648" spans="1:17" ht="15.6" x14ac:dyDescent="0.3">
      <c r="A2648" s="11">
        <v>10368</v>
      </c>
      <c r="B2648" s="10">
        <v>38523</v>
      </c>
      <c r="C2648" s="10" t="s">
        <v>288</v>
      </c>
      <c r="D2648" s="11" t="s">
        <v>88</v>
      </c>
      <c r="E2648" s="11" t="s">
        <v>89</v>
      </c>
      <c r="F2648" s="11" t="s">
        <v>15</v>
      </c>
      <c r="G2648" s="11" t="s">
        <v>16</v>
      </c>
      <c r="H2648" s="11" t="s">
        <v>32</v>
      </c>
      <c r="I2648" s="11" t="s">
        <v>34</v>
      </c>
      <c r="J2648" s="11" t="s">
        <v>246</v>
      </c>
      <c r="K2648" s="11">
        <v>20</v>
      </c>
      <c r="L2648" s="12">
        <v>80</v>
      </c>
      <c r="M2648" s="13">
        <v>1600</v>
      </c>
      <c r="N2648" s="11" t="s">
        <v>367</v>
      </c>
      <c r="O2648" s="11" t="s">
        <v>19</v>
      </c>
      <c r="Q2648"/>
    </row>
    <row r="2649" spans="1:17" ht="15.6" x14ac:dyDescent="0.3">
      <c r="A2649" s="15">
        <v>10368</v>
      </c>
      <c r="B2649" s="14">
        <v>38523</v>
      </c>
      <c r="C2649" s="14" t="s">
        <v>288</v>
      </c>
      <c r="D2649" s="15" t="s">
        <v>88</v>
      </c>
      <c r="E2649" s="15" t="s">
        <v>89</v>
      </c>
      <c r="F2649" s="15" t="s">
        <v>15</v>
      </c>
      <c r="G2649" s="15" t="s">
        <v>16</v>
      </c>
      <c r="H2649" s="15" t="s">
        <v>17</v>
      </c>
      <c r="I2649" s="15" t="s">
        <v>20</v>
      </c>
      <c r="J2649" s="15" t="s">
        <v>242</v>
      </c>
      <c r="K2649" s="15">
        <v>46</v>
      </c>
      <c r="L2649" s="16">
        <v>48</v>
      </c>
      <c r="M2649" s="17">
        <v>2208</v>
      </c>
      <c r="N2649" s="15" t="s">
        <v>367</v>
      </c>
      <c r="O2649" s="15" t="s">
        <v>19</v>
      </c>
      <c r="Q2649"/>
    </row>
    <row r="2650" spans="1:17" ht="15.6" x14ac:dyDescent="0.3">
      <c r="A2650" s="11">
        <v>10369</v>
      </c>
      <c r="B2650" s="10">
        <v>38523</v>
      </c>
      <c r="C2650" s="10" t="s">
        <v>312</v>
      </c>
      <c r="D2650" s="11" t="s">
        <v>140</v>
      </c>
      <c r="E2650" s="11" t="s">
        <v>125</v>
      </c>
      <c r="F2650" s="11" t="s">
        <v>15</v>
      </c>
      <c r="G2650" s="11" t="s">
        <v>16</v>
      </c>
      <c r="H2650" s="11" t="s">
        <v>32</v>
      </c>
      <c r="I2650" s="11" t="s">
        <v>46</v>
      </c>
      <c r="J2650" s="11" t="s">
        <v>254</v>
      </c>
      <c r="K2650" s="11">
        <v>41</v>
      </c>
      <c r="L2650" s="12">
        <v>90</v>
      </c>
      <c r="M2650" s="13">
        <v>3690</v>
      </c>
      <c r="N2650" s="11" t="s">
        <v>367</v>
      </c>
      <c r="O2650" s="11" t="s">
        <v>19</v>
      </c>
      <c r="Q2650"/>
    </row>
    <row r="2651" spans="1:17" ht="15.6" x14ac:dyDescent="0.3">
      <c r="A2651" s="15">
        <v>10370</v>
      </c>
      <c r="B2651" s="14">
        <v>38523</v>
      </c>
      <c r="C2651" s="14" t="s">
        <v>313</v>
      </c>
      <c r="D2651" s="15" t="s">
        <v>141</v>
      </c>
      <c r="E2651" s="15" t="s">
        <v>142</v>
      </c>
      <c r="F2651" s="15" t="s">
        <v>106</v>
      </c>
      <c r="G2651" s="15" t="s">
        <v>107</v>
      </c>
      <c r="H2651" s="15" t="s">
        <v>32</v>
      </c>
      <c r="I2651" s="15" t="s">
        <v>34</v>
      </c>
      <c r="J2651" s="15" t="s">
        <v>246</v>
      </c>
      <c r="K2651" s="15">
        <v>35</v>
      </c>
      <c r="L2651" s="16">
        <v>80</v>
      </c>
      <c r="M2651" s="17">
        <v>2800</v>
      </c>
      <c r="N2651" s="15" t="s">
        <v>367</v>
      </c>
      <c r="O2651" s="15" t="s">
        <v>19</v>
      </c>
      <c r="Q2651"/>
    </row>
    <row r="2652" spans="1:17" ht="15.6" x14ac:dyDescent="0.3">
      <c r="A2652" s="11">
        <v>10370</v>
      </c>
      <c r="B2652" s="10">
        <v>38523</v>
      </c>
      <c r="C2652" s="10" t="s">
        <v>313</v>
      </c>
      <c r="D2652" s="11" t="s">
        <v>141</v>
      </c>
      <c r="E2652" s="11" t="s">
        <v>142</v>
      </c>
      <c r="F2652" s="11" t="s">
        <v>106</v>
      </c>
      <c r="G2652" s="11" t="s">
        <v>107</v>
      </c>
      <c r="H2652" s="11" t="s">
        <v>35</v>
      </c>
      <c r="I2652" s="11" t="s">
        <v>40</v>
      </c>
      <c r="J2652" s="11" t="s">
        <v>251</v>
      </c>
      <c r="K2652" s="11">
        <v>49</v>
      </c>
      <c r="L2652" s="12">
        <v>25</v>
      </c>
      <c r="M2652" s="13">
        <v>1225</v>
      </c>
      <c r="N2652" s="11" t="s">
        <v>367</v>
      </c>
      <c r="O2652" s="11" t="s">
        <v>19</v>
      </c>
      <c r="Q2652"/>
    </row>
    <row r="2653" spans="1:17" ht="15.6" x14ac:dyDescent="0.3">
      <c r="A2653" s="15">
        <v>10370</v>
      </c>
      <c r="B2653" s="14">
        <v>38526</v>
      </c>
      <c r="C2653" s="14" t="s">
        <v>313</v>
      </c>
      <c r="D2653" s="15" t="s">
        <v>141</v>
      </c>
      <c r="E2653" s="15" t="s">
        <v>142</v>
      </c>
      <c r="F2653" s="15" t="s">
        <v>106</v>
      </c>
      <c r="G2653" s="15" t="s">
        <v>107</v>
      </c>
      <c r="H2653" s="15" t="s">
        <v>35</v>
      </c>
      <c r="I2653" s="15" t="s">
        <v>40</v>
      </c>
      <c r="J2653" s="15" t="s">
        <v>251</v>
      </c>
      <c r="K2653" s="15">
        <v>27</v>
      </c>
      <c r="L2653" s="16">
        <v>25</v>
      </c>
      <c r="M2653" s="17">
        <v>675</v>
      </c>
      <c r="N2653" s="15" t="s">
        <v>367</v>
      </c>
      <c r="O2653" s="15" t="s">
        <v>19</v>
      </c>
      <c r="Q2653"/>
    </row>
    <row r="2654" spans="1:17" ht="15.6" x14ac:dyDescent="0.3">
      <c r="A2654" s="11">
        <v>10369</v>
      </c>
      <c r="B2654" s="10">
        <v>38526</v>
      </c>
      <c r="C2654" s="10" t="s">
        <v>312</v>
      </c>
      <c r="D2654" s="11" t="s">
        <v>140</v>
      </c>
      <c r="E2654" s="11" t="s">
        <v>125</v>
      </c>
      <c r="F2654" s="11" t="s">
        <v>15</v>
      </c>
      <c r="G2654" s="11" t="s">
        <v>16</v>
      </c>
      <c r="H2654" s="11" t="s">
        <v>17</v>
      </c>
      <c r="I2654" s="11" t="s">
        <v>20</v>
      </c>
      <c r="J2654" s="11" t="s">
        <v>242</v>
      </c>
      <c r="K2654" s="11">
        <v>44</v>
      </c>
      <c r="L2654" s="12">
        <v>48</v>
      </c>
      <c r="M2654" s="13">
        <v>2112</v>
      </c>
      <c r="N2654" s="11" t="s">
        <v>367</v>
      </c>
      <c r="O2654" s="11" t="s">
        <v>19</v>
      </c>
      <c r="Q2654"/>
    </row>
    <row r="2655" spans="1:17" ht="15.6" x14ac:dyDescent="0.3">
      <c r="A2655" s="15">
        <v>10369</v>
      </c>
      <c r="B2655" s="14">
        <v>38526</v>
      </c>
      <c r="C2655" s="14" t="s">
        <v>312</v>
      </c>
      <c r="D2655" s="15" t="s">
        <v>140</v>
      </c>
      <c r="E2655" s="15" t="s">
        <v>125</v>
      </c>
      <c r="F2655" s="15" t="s">
        <v>15</v>
      </c>
      <c r="G2655" s="15" t="s">
        <v>16</v>
      </c>
      <c r="H2655" s="15" t="s">
        <v>17</v>
      </c>
      <c r="I2655" s="15" t="s">
        <v>52</v>
      </c>
      <c r="J2655" s="15" t="s">
        <v>256</v>
      </c>
      <c r="K2655" s="15">
        <v>32</v>
      </c>
      <c r="L2655" s="16">
        <v>45</v>
      </c>
      <c r="M2655" s="17">
        <v>1440</v>
      </c>
      <c r="N2655" s="15" t="s">
        <v>367</v>
      </c>
      <c r="O2655" s="15" t="s">
        <v>19</v>
      </c>
      <c r="Q2655"/>
    </row>
    <row r="2656" spans="1:17" ht="15.6" x14ac:dyDescent="0.3">
      <c r="A2656" s="11">
        <v>10370</v>
      </c>
      <c r="B2656" s="10">
        <v>38526</v>
      </c>
      <c r="C2656" s="10" t="s">
        <v>313</v>
      </c>
      <c r="D2656" s="11" t="s">
        <v>141</v>
      </c>
      <c r="E2656" s="11" t="s">
        <v>142</v>
      </c>
      <c r="F2656" s="11" t="s">
        <v>106</v>
      </c>
      <c r="G2656" s="11" t="s">
        <v>107</v>
      </c>
      <c r="H2656" s="11" t="s">
        <v>35</v>
      </c>
      <c r="I2656" s="11" t="s">
        <v>40</v>
      </c>
      <c r="J2656" s="11" t="s">
        <v>251</v>
      </c>
      <c r="K2656" s="11">
        <v>22</v>
      </c>
      <c r="L2656" s="12">
        <v>25</v>
      </c>
      <c r="M2656" s="13">
        <v>550</v>
      </c>
      <c r="N2656" s="11" t="s">
        <v>367</v>
      </c>
      <c r="O2656" s="11" t="s">
        <v>19</v>
      </c>
      <c r="Q2656"/>
    </row>
    <row r="2657" spans="1:17" ht="15.6" x14ac:dyDescent="0.3">
      <c r="A2657" s="15">
        <v>10370</v>
      </c>
      <c r="B2657" s="14">
        <v>38526</v>
      </c>
      <c r="C2657" s="14" t="s">
        <v>313</v>
      </c>
      <c r="D2657" s="15" t="s">
        <v>141</v>
      </c>
      <c r="E2657" s="15" t="s">
        <v>142</v>
      </c>
      <c r="F2657" s="15" t="s">
        <v>106</v>
      </c>
      <c r="G2657" s="15" t="s">
        <v>107</v>
      </c>
      <c r="H2657" s="15" t="s">
        <v>35</v>
      </c>
      <c r="I2657" s="15" t="s">
        <v>38</v>
      </c>
      <c r="J2657" s="15" t="s">
        <v>249</v>
      </c>
      <c r="K2657" s="15">
        <v>22</v>
      </c>
      <c r="L2657" s="16">
        <v>20</v>
      </c>
      <c r="M2657" s="17">
        <v>440</v>
      </c>
      <c r="N2657" s="15" t="s">
        <v>367</v>
      </c>
      <c r="O2657" s="15" t="s">
        <v>19</v>
      </c>
      <c r="Q2657"/>
    </row>
    <row r="2658" spans="1:17" ht="15.6" x14ac:dyDescent="0.3">
      <c r="A2658" s="11">
        <v>10369</v>
      </c>
      <c r="B2658" s="10">
        <v>38526</v>
      </c>
      <c r="C2658" s="10" t="s">
        <v>312</v>
      </c>
      <c r="D2658" s="11" t="s">
        <v>140</v>
      </c>
      <c r="E2658" s="11" t="s">
        <v>125</v>
      </c>
      <c r="F2658" s="11" t="s">
        <v>15</v>
      </c>
      <c r="G2658" s="11" t="s">
        <v>16</v>
      </c>
      <c r="H2658" s="11" t="s">
        <v>17</v>
      </c>
      <c r="I2658" s="11" t="s">
        <v>20</v>
      </c>
      <c r="J2658" s="11" t="s">
        <v>242</v>
      </c>
      <c r="K2658" s="11">
        <v>42</v>
      </c>
      <c r="L2658" s="12">
        <v>48</v>
      </c>
      <c r="M2658" s="13">
        <v>2016</v>
      </c>
      <c r="N2658" s="11" t="s">
        <v>367</v>
      </c>
      <c r="O2658" s="11" t="s">
        <v>19</v>
      </c>
      <c r="Q2658"/>
    </row>
    <row r="2659" spans="1:17" ht="15.6" x14ac:dyDescent="0.3">
      <c r="A2659" s="15">
        <v>10369</v>
      </c>
      <c r="B2659" s="14">
        <v>38526</v>
      </c>
      <c r="C2659" s="14" t="s">
        <v>312</v>
      </c>
      <c r="D2659" s="15" t="s">
        <v>140</v>
      </c>
      <c r="E2659" s="15" t="s">
        <v>125</v>
      </c>
      <c r="F2659" s="15" t="s">
        <v>15</v>
      </c>
      <c r="G2659" s="15" t="s">
        <v>16</v>
      </c>
      <c r="H2659" s="15" t="s">
        <v>17</v>
      </c>
      <c r="I2659" s="15" t="s">
        <v>26</v>
      </c>
      <c r="J2659" s="15" t="s">
        <v>244</v>
      </c>
      <c r="K2659" s="15">
        <v>28</v>
      </c>
      <c r="L2659" s="16">
        <v>60</v>
      </c>
      <c r="M2659" s="17">
        <v>1680</v>
      </c>
      <c r="N2659" s="15" t="s">
        <v>367</v>
      </c>
      <c r="O2659" s="15" t="s">
        <v>19</v>
      </c>
      <c r="Q2659"/>
    </row>
    <row r="2660" spans="1:17" ht="15.6" x14ac:dyDescent="0.3">
      <c r="A2660" s="11">
        <v>10369</v>
      </c>
      <c r="B2660" s="10">
        <v>38526</v>
      </c>
      <c r="C2660" s="10" t="s">
        <v>312</v>
      </c>
      <c r="D2660" s="11" t="s">
        <v>140</v>
      </c>
      <c r="E2660" s="11" t="s">
        <v>125</v>
      </c>
      <c r="F2660" s="11" t="s">
        <v>15</v>
      </c>
      <c r="G2660" s="11" t="s">
        <v>16</v>
      </c>
      <c r="H2660" s="11" t="s">
        <v>17</v>
      </c>
      <c r="I2660" s="11" t="s">
        <v>20</v>
      </c>
      <c r="J2660" s="11" t="s">
        <v>242</v>
      </c>
      <c r="K2660" s="11">
        <v>21</v>
      </c>
      <c r="L2660" s="12">
        <v>48</v>
      </c>
      <c r="M2660" s="13">
        <v>1008</v>
      </c>
      <c r="N2660" s="11" t="s">
        <v>367</v>
      </c>
      <c r="O2660" s="11" t="s">
        <v>19</v>
      </c>
      <c r="Q2660"/>
    </row>
    <row r="2661" spans="1:17" ht="15.6" x14ac:dyDescent="0.3">
      <c r="A2661" s="15">
        <v>10370</v>
      </c>
      <c r="B2661" s="14">
        <v>38526</v>
      </c>
      <c r="C2661" s="14" t="s">
        <v>313</v>
      </c>
      <c r="D2661" s="15" t="s">
        <v>141</v>
      </c>
      <c r="E2661" s="15" t="s">
        <v>142</v>
      </c>
      <c r="F2661" s="15" t="s">
        <v>106</v>
      </c>
      <c r="G2661" s="15" t="s">
        <v>107</v>
      </c>
      <c r="H2661" s="15" t="s">
        <v>32</v>
      </c>
      <c r="I2661" s="15" t="s">
        <v>33</v>
      </c>
      <c r="J2661" s="15" t="s">
        <v>245</v>
      </c>
      <c r="K2661" s="15">
        <v>27</v>
      </c>
      <c r="L2661" s="16">
        <v>85</v>
      </c>
      <c r="M2661" s="17">
        <v>2295</v>
      </c>
      <c r="N2661" s="15" t="s">
        <v>367</v>
      </c>
      <c r="O2661" s="15" t="s">
        <v>19</v>
      </c>
      <c r="Q2661"/>
    </row>
    <row r="2662" spans="1:17" ht="15.6" x14ac:dyDescent="0.3">
      <c r="A2662" s="11">
        <v>10369</v>
      </c>
      <c r="B2662" s="10">
        <v>38526</v>
      </c>
      <c r="C2662" s="10" t="s">
        <v>312</v>
      </c>
      <c r="D2662" s="11" t="s">
        <v>140</v>
      </c>
      <c r="E2662" s="11" t="s">
        <v>125</v>
      </c>
      <c r="F2662" s="11" t="s">
        <v>15</v>
      </c>
      <c r="G2662" s="11" t="s">
        <v>16</v>
      </c>
      <c r="H2662" s="11" t="s">
        <v>17</v>
      </c>
      <c r="I2662" s="11" t="s">
        <v>20</v>
      </c>
      <c r="J2662" s="11" t="s">
        <v>242</v>
      </c>
      <c r="K2662" s="11">
        <v>45</v>
      </c>
      <c r="L2662" s="12">
        <v>48</v>
      </c>
      <c r="M2662" s="13">
        <v>2160</v>
      </c>
      <c r="N2662" s="11" t="s">
        <v>367</v>
      </c>
      <c r="O2662" s="11" t="s">
        <v>19</v>
      </c>
      <c r="Q2662"/>
    </row>
    <row r="2663" spans="1:17" ht="15.6" x14ac:dyDescent="0.3">
      <c r="A2663" s="15">
        <v>10370</v>
      </c>
      <c r="B2663" s="14">
        <v>38526</v>
      </c>
      <c r="C2663" s="14" t="s">
        <v>313</v>
      </c>
      <c r="D2663" s="15" t="s">
        <v>141</v>
      </c>
      <c r="E2663" s="15" t="s">
        <v>142</v>
      </c>
      <c r="F2663" s="15" t="s">
        <v>106</v>
      </c>
      <c r="G2663" s="15" t="s">
        <v>107</v>
      </c>
      <c r="H2663" s="15" t="s">
        <v>35</v>
      </c>
      <c r="I2663" s="15" t="s">
        <v>36</v>
      </c>
      <c r="J2663" s="15" t="s">
        <v>247</v>
      </c>
      <c r="K2663" s="15">
        <v>29</v>
      </c>
      <c r="L2663" s="16">
        <v>30</v>
      </c>
      <c r="M2663" s="17">
        <v>870</v>
      </c>
      <c r="N2663" s="15" t="s">
        <v>367</v>
      </c>
      <c r="O2663" s="15" t="s">
        <v>19</v>
      </c>
      <c r="Q2663"/>
    </row>
    <row r="2664" spans="1:17" ht="15.6" x14ac:dyDescent="0.3">
      <c r="A2664" s="11">
        <v>10370</v>
      </c>
      <c r="B2664" s="10">
        <v>38526</v>
      </c>
      <c r="C2664" s="10" t="s">
        <v>313</v>
      </c>
      <c r="D2664" s="11" t="s">
        <v>141</v>
      </c>
      <c r="E2664" s="11" t="s">
        <v>142</v>
      </c>
      <c r="F2664" s="11" t="s">
        <v>106</v>
      </c>
      <c r="G2664" s="11" t="s">
        <v>107</v>
      </c>
      <c r="H2664" s="11" t="s">
        <v>17</v>
      </c>
      <c r="I2664" s="11" t="s">
        <v>20</v>
      </c>
      <c r="J2664" s="11" t="s">
        <v>242</v>
      </c>
      <c r="K2664" s="11">
        <v>20</v>
      </c>
      <c r="L2664" s="12">
        <v>48</v>
      </c>
      <c r="M2664" s="13">
        <v>960</v>
      </c>
      <c r="N2664" s="11" t="s">
        <v>367</v>
      </c>
      <c r="O2664" s="11" t="s">
        <v>19</v>
      </c>
      <c r="Q2664"/>
    </row>
    <row r="2665" spans="1:17" ht="15.6" x14ac:dyDescent="0.3">
      <c r="A2665" s="15">
        <v>10369</v>
      </c>
      <c r="B2665" s="14">
        <v>38529</v>
      </c>
      <c r="C2665" s="14" t="s">
        <v>312</v>
      </c>
      <c r="D2665" s="15" t="s">
        <v>140</v>
      </c>
      <c r="E2665" s="15" t="s">
        <v>125</v>
      </c>
      <c r="F2665" s="15" t="s">
        <v>15</v>
      </c>
      <c r="G2665" s="15" t="s">
        <v>16</v>
      </c>
      <c r="H2665" s="15" t="s">
        <v>17</v>
      </c>
      <c r="I2665" s="15" t="s">
        <v>18</v>
      </c>
      <c r="J2665" s="15" t="s">
        <v>241</v>
      </c>
      <c r="K2665" s="15">
        <v>40</v>
      </c>
      <c r="L2665" s="16">
        <v>30</v>
      </c>
      <c r="M2665" s="17">
        <v>1200</v>
      </c>
      <c r="N2665" s="15" t="s">
        <v>367</v>
      </c>
      <c r="O2665" s="15" t="s">
        <v>19</v>
      </c>
      <c r="Q2665"/>
    </row>
    <row r="2666" spans="1:17" ht="15.6" x14ac:dyDescent="0.3">
      <c r="A2666" s="11">
        <v>10370</v>
      </c>
      <c r="B2666" s="10">
        <v>38529</v>
      </c>
      <c r="C2666" s="10" t="s">
        <v>313</v>
      </c>
      <c r="D2666" s="11" t="s">
        <v>141</v>
      </c>
      <c r="E2666" s="11" t="s">
        <v>142</v>
      </c>
      <c r="F2666" s="11" t="s">
        <v>106</v>
      </c>
      <c r="G2666" s="11" t="s">
        <v>107</v>
      </c>
      <c r="H2666" s="11" t="s">
        <v>35</v>
      </c>
      <c r="I2666" s="11" t="s">
        <v>39</v>
      </c>
      <c r="J2666" s="11" t="s">
        <v>250</v>
      </c>
      <c r="K2666" s="11">
        <v>25</v>
      </c>
      <c r="L2666" s="12">
        <v>20</v>
      </c>
      <c r="M2666" s="13">
        <v>500</v>
      </c>
      <c r="N2666" s="11" t="s">
        <v>367</v>
      </c>
      <c r="O2666" s="11" t="s">
        <v>19</v>
      </c>
      <c r="Q2666"/>
    </row>
    <row r="2667" spans="1:17" ht="15.6" x14ac:dyDescent="0.3">
      <c r="A2667" s="15">
        <v>10371</v>
      </c>
      <c r="B2667" s="14">
        <v>38529</v>
      </c>
      <c r="C2667" s="14" t="s">
        <v>288</v>
      </c>
      <c r="D2667" s="15" t="s">
        <v>88</v>
      </c>
      <c r="E2667" s="15" t="s">
        <v>89</v>
      </c>
      <c r="F2667" s="15" t="s">
        <v>15</v>
      </c>
      <c r="G2667" s="15" t="s">
        <v>16</v>
      </c>
      <c r="H2667" s="15" t="s">
        <v>32</v>
      </c>
      <c r="I2667" s="15" t="s">
        <v>44</v>
      </c>
      <c r="J2667" s="15" t="s">
        <v>252</v>
      </c>
      <c r="K2667" s="15">
        <v>32</v>
      </c>
      <c r="L2667" s="16">
        <v>55</v>
      </c>
      <c r="M2667" s="17">
        <v>1760</v>
      </c>
      <c r="N2667" s="15" t="s">
        <v>367</v>
      </c>
      <c r="O2667" s="15" t="s">
        <v>19</v>
      </c>
      <c r="Q2667"/>
    </row>
    <row r="2668" spans="1:17" ht="15.6" x14ac:dyDescent="0.3">
      <c r="A2668" s="11">
        <v>10371</v>
      </c>
      <c r="B2668" s="10">
        <v>38529</v>
      </c>
      <c r="C2668" s="10" t="s">
        <v>288</v>
      </c>
      <c r="D2668" s="11" t="s">
        <v>88</v>
      </c>
      <c r="E2668" s="11" t="s">
        <v>89</v>
      </c>
      <c r="F2668" s="11" t="s">
        <v>15</v>
      </c>
      <c r="G2668" s="11" t="s">
        <v>16</v>
      </c>
      <c r="H2668" s="11" t="s">
        <v>35</v>
      </c>
      <c r="I2668" s="11" t="s">
        <v>39</v>
      </c>
      <c r="J2668" s="11" t="s">
        <v>250</v>
      </c>
      <c r="K2668" s="11">
        <v>49</v>
      </c>
      <c r="L2668" s="12">
        <v>20</v>
      </c>
      <c r="M2668" s="13">
        <v>980</v>
      </c>
      <c r="N2668" s="11" t="s">
        <v>367</v>
      </c>
      <c r="O2668" s="11" t="s">
        <v>19</v>
      </c>
      <c r="Q2668"/>
    </row>
    <row r="2669" spans="1:17" ht="15.6" x14ac:dyDescent="0.3">
      <c r="A2669" s="15">
        <v>10371</v>
      </c>
      <c r="B2669" s="14">
        <v>38529</v>
      </c>
      <c r="C2669" s="14" t="s">
        <v>288</v>
      </c>
      <c r="D2669" s="15" t="s">
        <v>88</v>
      </c>
      <c r="E2669" s="15" t="s">
        <v>89</v>
      </c>
      <c r="F2669" s="15" t="s">
        <v>15</v>
      </c>
      <c r="G2669" s="15" t="s">
        <v>16</v>
      </c>
      <c r="H2669" s="15" t="s">
        <v>32</v>
      </c>
      <c r="I2669" s="15" t="s">
        <v>46</v>
      </c>
      <c r="J2669" s="15" t="s">
        <v>254</v>
      </c>
      <c r="K2669" s="15">
        <v>25</v>
      </c>
      <c r="L2669" s="16">
        <v>90</v>
      </c>
      <c r="M2669" s="17">
        <v>2250</v>
      </c>
      <c r="N2669" s="15" t="s">
        <v>367</v>
      </c>
      <c r="O2669" s="15" t="s">
        <v>19</v>
      </c>
      <c r="Q2669"/>
    </row>
    <row r="2670" spans="1:17" ht="15.6" x14ac:dyDescent="0.3">
      <c r="A2670" s="11">
        <v>10371</v>
      </c>
      <c r="B2670" s="10">
        <v>38529</v>
      </c>
      <c r="C2670" s="10" t="s">
        <v>288</v>
      </c>
      <c r="D2670" s="11" t="s">
        <v>88</v>
      </c>
      <c r="E2670" s="11" t="s">
        <v>89</v>
      </c>
      <c r="F2670" s="11" t="s">
        <v>15</v>
      </c>
      <c r="G2670" s="11" t="s">
        <v>16</v>
      </c>
      <c r="H2670" s="11" t="s">
        <v>32</v>
      </c>
      <c r="I2670" s="11" t="s">
        <v>45</v>
      </c>
      <c r="J2670" s="11" t="s">
        <v>253</v>
      </c>
      <c r="K2670" s="11">
        <v>25</v>
      </c>
      <c r="L2670" s="12">
        <v>35</v>
      </c>
      <c r="M2670" s="13">
        <v>875</v>
      </c>
      <c r="N2670" s="11" t="s">
        <v>367</v>
      </c>
      <c r="O2670" s="11" t="s">
        <v>19</v>
      </c>
      <c r="Q2670"/>
    </row>
    <row r="2671" spans="1:17" ht="15.6" x14ac:dyDescent="0.3">
      <c r="A2671" s="15">
        <v>10371</v>
      </c>
      <c r="B2671" s="14">
        <v>38529</v>
      </c>
      <c r="C2671" s="14" t="s">
        <v>288</v>
      </c>
      <c r="D2671" s="15" t="s">
        <v>88</v>
      </c>
      <c r="E2671" s="15" t="s">
        <v>89</v>
      </c>
      <c r="F2671" s="15" t="s">
        <v>15</v>
      </c>
      <c r="G2671" s="15" t="s">
        <v>16</v>
      </c>
      <c r="H2671" s="15" t="s">
        <v>35</v>
      </c>
      <c r="I2671" s="15" t="s">
        <v>39</v>
      </c>
      <c r="J2671" s="15" t="s">
        <v>250</v>
      </c>
      <c r="K2671" s="15">
        <v>20</v>
      </c>
      <c r="L2671" s="16">
        <v>20</v>
      </c>
      <c r="M2671" s="17">
        <v>400</v>
      </c>
      <c r="N2671" s="15" t="s">
        <v>367</v>
      </c>
      <c r="O2671" s="15" t="s">
        <v>19</v>
      </c>
      <c r="Q2671"/>
    </row>
    <row r="2672" spans="1:17" ht="15.6" x14ac:dyDescent="0.3">
      <c r="A2672" s="11">
        <v>10371</v>
      </c>
      <c r="B2672" s="10">
        <v>38529</v>
      </c>
      <c r="C2672" s="10" t="s">
        <v>288</v>
      </c>
      <c r="D2672" s="11" t="s">
        <v>88</v>
      </c>
      <c r="E2672" s="11" t="s">
        <v>89</v>
      </c>
      <c r="F2672" s="11" t="s">
        <v>15</v>
      </c>
      <c r="G2672" s="11" t="s">
        <v>16</v>
      </c>
      <c r="H2672" s="11" t="s">
        <v>32</v>
      </c>
      <c r="I2672" s="11" t="s">
        <v>45</v>
      </c>
      <c r="J2672" s="11" t="s">
        <v>253</v>
      </c>
      <c r="K2672" s="11">
        <v>45</v>
      </c>
      <c r="L2672" s="12">
        <v>35</v>
      </c>
      <c r="M2672" s="13">
        <v>1575</v>
      </c>
      <c r="N2672" s="11" t="s">
        <v>367</v>
      </c>
      <c r="O2672" s="11" t="s">
        <v>19</v>
      </c>
      <c r="Q2672"/>
    </row>
    <row r="2673" spans="1:17" ht="15.6" x14ac:dyDescent="0.3">
      <c r="A2673" s="15">
        <v>10371</v>
      </c>
      <c r="B2673" s="14">
        <v>38529</v>
      </c>
      <c r="C2673" s="14" t="s">
        <v>288</v>
      </c>
      <c r="D2673" s="15" t="s">
        <v>88</v>
      </c>
      <c r="E2673" s="15" t="s">
        <v>89</v>
      </c>
      <c r="F2673" s="15" t="s">
        <v>15</v>
      </c>
      <c r="G2673" s="15" t="s">
        <v>16</v>
      </c>
      <c r="H2673" s="15" t="s">
        <v>32</v>
      </c>
      <c r="I2673" s="15" t="s">
        <v>34</v>
      </c>
      <c r="J2673" s="15" t="s">
        <v>246</v>
      </c>
      <c r="K2673" s="15">
        <v>28</v>
      </c>
      <c r="L2673" s="16">
        <v>80</v>
      </c>
      <c r="M2673" s="17">
        <v>2240</v>
      </c>
      <c r="N2673" s="15" t="s">
        <v>367</v>
      </c>
      <c r="O2673" s="15" t="s">
        <v>19</v>
      </c>
      <c r="Q2673"/>
    </row>
    <row r="2674" spans="1:17" ht="15.6" x14ac:dyDescent="0.3">
      <c r="A2674" s="11">
        <v>10371</v>
      </c>
      <c r="B2674" s="10">
        <v>38534</v>
      </c>
      <c r="C2674" s="10" t="s">
        <v>288</v>
      </c>
      <c r="D2674" s="11" t="s">
        <v>88</v>
      </c>
      <c r="E2674" s="11" t="s">
        <v>89</v>
      </c>
      <c r="F2674" s="11" t="s">
        <v>15</v>
      </c>
      <c r="G2674" s="11" t="s">
        <v>16</v>
      </c>
      <c r="H2674" s="11" t="s">
        <v>35</v>
      </c>
      <c r="I2674" s="11" t="s">
        <v>40</v>
      </c>
      <c r="J2674" s="11" t="s">
        <v>251</v>
      </c>
      <c r="K2674" s="11">
        <v>26</v>
      </c>
      <c r="L2674" s="12">
        <v>25</v>
      </c>
      <c r="M2674" s="13">
        <v>650</v>
      </c>
      <c r="N2674" s="11" t="s">
        <v>367</v>
      </c>
      <c r="O2674" s="11" t="s">
        <v>19</v>
      </c>
      <c r="Q2674"/>
    </row>
    <row r="2675" spans="1:17" ht="15.6" x14ac:dyDescent="0.3">
      <c r="A2675" s="15">
        <v>10371</v>
      </c>
      <c r="B2675" s="14">
        <v>38534</v>
      </c>
      <c r="C2675" s="14" t="s">
        <v>288</v>
      </c>
      <c r="D2675" s="15" t="s">
        <v>88</v>
      </c>
      <c r="E2675" s="15" t="s">
        <v>89</v>
      </c>
      <c r="F2675" s="15" t="s">
        <v>15</v>
      </c>
      <c r="G2675" s="15" t="s">
        <v>16</v>
      </c>
      <c r="H2675" s="15" t="s">
        <v>35</v>
      </c>
      <c r="I2675" s="15" t="s">
        <v>39</v>
      </c>
      <c r="J2675" s="15" t="s">
        <v>250</v>
      </c>
      <c r="K2675" s="15">
        <v>20</v>
      </c>
      <c r="L2675" s="16">
        <v>20</v>
      </c>
      <c r="M2675" s="17">
        <v>400</v>
      </c>
      <c r="N2675" s="15" t="s">
        <v>367</v>
      </c>
      <c r="O2675" s="15" t="s">
        <v>19</v>
      </c>
      <c r="Q2675"/>
    </row>
    <row r="2676" spans="1:17" ht="15.6" x14ac:dyDescent="0.3">
      <c r="A2676" s="11">
        <v>10371</v>
      </c>
      <c r="B2676" s="10">
        <v>38534</v>
      </c>
      <c r="C2676" s="10" t="s">
        <v>288</v>
      </c>
      <c r="D2676" s="11" t="s">
        <v>88</v>
      </c>
      <c r="E2676" s="11" t="s">
        <v>89</v>
      </c>
      <c r="F2676" s="11" t="s">
        <v>15</v>
      </c>
      <c r="G2676" s="11" t="s">
        <v>16</v>
      </c>
      <c r="H2676" s="11" t="s">
        <v>47</v>
      </c>
      <c r="I2676" s="11" t="s">
        <v>53</v>
      </c>
      <c r="J2676" s="11" t="s">
        <v>257</v>
      </c>
      <c r="K2676" s="11">
        <v>30</v>
      </c>
      <c r="L2676" s="12">
        <v>90</v>
      </c>
      <c r="M2676" s="13">
        <v>2700</v>
      </c>
      <c r="N2676" s="11" t="s">
        <v>367</v>
      </c>
      <c r="O2676" s="11" t="s">
        <v>19</v>
      </c>
      <c r="Q2676"/>
    </row>
    <row r="2677" spans="1:17" ht="15.6" x14ac:dyDescent="0.3">
      <c r="A2677" s="15">
        <v>10371</v>
      </c>
      <c r="B2677" s="14">
        <v>38534</v>
      </c>
      <c r="C2677" s="14" t="s">
        <v>288</v>
      </c>
      <c r="D2677" s="15" t="s">
        <v>88</v>
      </c>
      <c r="E2677" s="15" t="s">
        <v>89</v>
      </c>
      <c r="F2677" s="15" t="s">
        <v>15</v>
      </c>
      <c r="G2677" s="15" t="s">
        <v>16</v>
      </c>
      <c r="H2677" s="15" t="s">
        <v>35</v>
      </c>
      <c r="I2677" s="15" t="s">
        <v>40</v>
      </c>
      <c r="J2677" s="15" t="s">
        <v>251</v>
      </c>
      <c r="K2677" s="15">
        <v>48</v>
      </c>
      <c r="L2677" s="16">
        <v>25</v>
      </c>
      <c r="M2677" s="17">
        <v>1200</v>
      </c>
      <c r="N2677" s="15" t="s">
        <v>367</v>
      </c>
      <c r="O2677" s="15" t="s">
        <v>19</v>
      </c>
      <c r="Q2677"/>
    </row>
    <row r="2678" spans="1:17" ht="15.6" x14ac:dyDescent="0.3">
      <c r="A2678" s="11">
        <v>10371</v>
      </c>
      <c r="B2678" s="10">
        <v>38534</v>
      </c>
      <c r="C2678" s="10" t="s">
        <v>288</v>
      </c>
      <c r="D2678" s="11" t="s">
        <v>88</v>
      </c>
      <c r="E2678" s="11" t="s">
        <v>89</v>
      </c>
      <c r="F2678" s="11" t="s">
        <v>15</v>
      </c>
      <c r="G2678" s="11" t="s">
        <v>16</v>
      </c>
      <c r="H2678" s="11" t="s">
        <v>32</v>
      </c>
      <c r="I2678" s="11" t="s">
        <v>46</v>
      </c>
      <c r="J2678" s="11" t="s">
        <v>254</v>
      </c>
      <c r="K2678" s="11">
        <v>34</v>
      </c>
      <c r="L2678" s="12">
        <v>90</v>
      </c>
      <c r="M2678" s="13">
        <v>3060</v>
      </c>
      <c r="N2678" s="11" t="s">
        <v>367</v>
      </c>
      <c r="O2678" s="11" t="s">
        <v>19</v>
      </c>
      <c r="Q2678"/>
    </row>
    <row r="2679" spans="1:17" ht="15.6" x14ac:dyDescent="0.3">
      <c r="A2679" s="15">
        <v>10372</v>
      </c>
      <c r="B2679" s="14">
        <v>38534</v>
      </c>
      <c r="C2679" s="14" t="s">
        <v>359</v>
      </c>
      <c r="D2679" s="15" t="s">
        <v>228</v>
      </c>
      <c r="E2679" s="15" t="s">
        <v>229</v>
      </c>
      <c r="F2679" s="15" t="s">
        <v>74</v>
      </c>
      <c r="G2679" s="15" t="s">
        <v>74</v>
      </c>
      <c r="H2679" s="15" t="s">
        <v>32</v>
      </c>
      <c r="I2679" s="15" t="s">
        <v>33</v>
      </c>
      <c r="J2679" s="15" t="s">
        <v>245</v>
      </c>
      <c r="K2679" s="15">
        <v>40</v>
      </c>
      <c r="L2679" s="16">
        <v>85</v>
      </c>
      <c r="M2679" s="17">
        <v>3400</v>
      </c>
      <c r="N2679" s="15" t="s">
        <v>367</v>
      </c>
      <c r="O2679" s="15" t="s">
        <v>19</v>
      </c>
      <c r="Q2679"/>
    </row>
    <row r="2680" spans="1:17" ht="15.6" x14ac:dyDescent="0.3">
      <c r="A2680" s="11">
        <v>10372</v>
      </c>
      <c r="B2680" s="10">
        <v>38534</v>
      </c>
      <c r="C2680" s="10" t="s">
        <v>359</v>
      </c>
      <c r="D2680" s="11" t="s">
        <v>228</v>
      </c>
      <c r="E2680" s="11" t="s">
        <v>229</v>
      </c>
      <c r="F2680" s="11" t="s">
        <v>74</v>
      </c>
      <c r="G2680" s="11" t="s">
        <v>74</v>
      </c>
      <c r="H2680" s="11" t="s">
        <v>32</v>
      </c>
      <c r="I2680" s="11" t="s">
        <v>34</v>
      </c>
      <c r="J2680" s="11" t="s">
        <v>246</v>
      </c>
      <c r="K2680" s="11">
        <v>34</v>
      </c>
      <c r="L2680" s="12">
        <v>80</v>
      </c>
      <c r="M2680" s="13">
        <v>2720</v>
      </c>
      <c r="N2680" s="11" t="s">
        <v>367</v>
      </c>
      <c r="O2680" s="11" t="s">
        <v>19</v>
      </c>
      <c r="Q2680"/>
    </row>
    <row r="2681" spans="1:17" ht="15.6" x14ac:dyDescent="0.3">
      <c r="A2681" s="15">
        <v>10372</v>
      </c>
      <c r="B2681" s="14">
        <v>38534</v>
      </c>
      <c r="C2681" s="14" t="s">
        <v>359</v>
      </c>
      <c r="D2681" s="15" t="s">
        <v>228</v>
      </c>
      <c r="E2681" s="15" t="s">
        <v>229</v>
      </c>
      <c r="F2681" s="15" t="s">
        <v>74</v>
      </c>
      <c r="G2681" s="15" t="s">
        <v>74</v>
      </c>
      <c r="H2681" s="15" t="s">
        <v>17</v>
      </c>
      <c r="I2681" s="15" t="s">
        <v>20</v>
      </c>
      <c r="J2681" s="15" t="s">
        <v>242</v>
      </c>
      <c r="K2681" s="15">
        <v>28</v>
      </c>
      <c r="L2681" s="16">
        <v>48</v>
      </c>
      <c r="M2681" s="17">
        <v>1344</v>
      </c>
      <c r="N2681" s="15" t="s">
        <v>367</v>
      </c>
      <c r="O2681" s="15" t="s">
        <v>19</v>
      </c>
      <c r="Q2681"/>
    </row>
    <row r="2682" spans="1:17" ht="15.6" x14ac:dyDescent="0.3">
      <c r="A2682" s="11">
        <v>10372</v>
      </c>
      <c r="B2682" s="10">
        <v>38534</v>
      </c>
      <c r="C2682" s="10" t="s">
        <v>359</v>
      </c>
      <c r="D2682" s="11" t="s">
        <v>228</v>
      </c>
      <c r="E2682" s="11" t="s">
        <v>229</v>
      </c>
      <c r="F2682" s="11" t="s">
        <v>74</v>
      </c>
      <c r="G2682" s="11" t="s">
        <v>74</v>
      </c>
      <c r="H2682" s="11" t="s">
        <v>47</v>
      </c>
      <c r="I2682" s="11" t="s">
        <v>53</v>
      </c>
      <c r="J2682" s="11" t="s">
        <v>257</v>
      </c>
      <c r="K2682" s="11">
        <v>25</v>
      </c>
      <c r="L2682" s="12">
        <v>90</v>
      </c>
      <c r="M2682" s="13">
        <v>2250</v>
      </c>
      <c r="N2682" s="11" t="s">
        <v>367</v>
      </c>
      <c r="O2682" s="11" t="s">
        <v>19</v>
      </c>
      <c r="Q2682"/>
    </row>
    <row r="2683" spans="1:17" ht="15.6" x14ac:dyDescent="0.3">
      <c r="A2683" s="15">
        <v>10372</v>
      </c>
      <c r="B2683" s="14">
        <v>38534</v>
      </c>
      <c r="C2683" s="14" t="s">
        <v>359</v>
      </c>
      <c r="D2683" s="15" t="s">
        <v>228</v>
      </c>
      <c r="E2683" s="15" t="s">
        <v>229</v>
      </c>
      <c r="F2683" s="15" t="s">
        <v>74</v>
      </c>
      <c r="G2683" s="15" t="s">
        <v>74</v>
      </c>
      <c r="H2683" s="15" t="s">
        <v>32</v>
      </c>
      <c r="I2683" s="15" t="s">
        <v>33</v>
      </c>
      <c r="J2683" s="15" t="s">
        <v>245</v>
      </c>
      <c r="K2683" s="15">
        <v>48</v>
      </c>
      <c r="L2683" s="16">
        <v>85</v>
      </c>
      <c r="M2683" s="17">
        <v>4080</v>
      </c>
      <c r="N2683" s="15" t="s">
        <v>367</v>
      </c>
      <c r="O2683" s="15" t="s">
        <v>19</v>
      </c>
      <c r="Q2683"/>
    </row>
    <row r="2684" spans="1:17" ht="15.6" x14ac:dyDescent="0.3">
      <c r="A2684" s="11">
        <v>10372</v>
      </c>
      <c r="B2684" s="10">
        <v>38534</v>
      </c>
      <c r="C2684" s="10" t="s">
        <v>359</v>
      </c>
      <c r="D2684" s="11" t="s">
        <v>228</v>
      </c>
      <c r="E2684" s="11" t="s">
        <v>229</v>
      </c>
      <c r="F2684" s="11" t="s">
        <v>74</v>
      </c>
      <c r="G2684" s="11" t="s">
        <v>74</v>
      </c>
      <c r="H2684" s="11" t="s">
        <v>17</v>
      </c>
      <c r="I2684" s="11" t="s">
        <v>20</v>
      </c>
      <c r="J2684" s="11" t="s">
        <v>242</v>
      </c>
      <c r="K2684" s="11">
        <v>41</v>
      </c>
      <c r="L2684" s="12">
        <v>48</v>
      </c>
      <c r="M2684" s="13">
        <v>1968</v>
      </c>
      <c r="N2684" s="11" t="s">
        <v>367</v>
      </c>
      <c r="O2684" s="11" t="s">
        <v>19</v>
      </c>
      <c r="Q2684"/>
    </row>
    <row r="2685" spans="1:17" ht="15.6" x14ac:dyDescent="0.3">
      <c r="A2685" s="15">
        <v>10372</v>
      </c>
      <c r="B2685" s="14">
        <v>38534</v>
      </c>
      <c r="C2685" s="14" t="s">
        <v>359</v>
      </c>
      <c r="D2685" s="15" t="s">
        <v>228</v>
      </c>
      <c r="E2685" s="15" t="s">
        <v>229</v>
      </c>
      <c r="F2685" s="15" t="s">
        <v>74</v>
      </c>
      <c r="G2685" s="15" t="s">
        <v>74</v>
      </c>
      <c r="H2685" s="15" t="s">
        <v>54</v>
      </c>
      <c r="I2685" s="15" t="s">
        <v>57</v>
      </c>
      <c r="J2685" s="15" t="s">
        <v>260</v>
      </c>
      <c r="K2685" s="15">
        <v>37</v>
      </c>
      <c r="L2685" s="16">
        <v>220</v>
      </c>
      <c r="M2685" s="17">
        <v>8140</v>
      </c>
      <c r="N2685" s="15" t="s">
        <v>367</v>
      </c>
      <c r="O2685" s="15" t="s">
        <v>19</v>
      </c>
      <c r="Q2685"/>
    </row>
    <row r="2686" spans="1:17" ht="15.6" x14ac:dyDescent="0.3">
      <c r="A2686" s="11">
        <v>10372</v>
      </c>
      <c r="B2686" s="10">
        <v>38534</v>
      </c>
      <c r="C2686" s="10" t="s">
        <v>359</v>
      </c>
      <c r="D2686" s="11" t="s">
        <v>228</v>
      </c>
      <c r="E2686" s="11" t="s">
        <v>229</v>
      </c>
      <c r="F2686" s="11" t="s">
        <v>74</v>
      </c>
      <c r="G2686" s="11" t="s">
        <v>74</v>
      </c>
      <c r="H2686" s="11" t="s">
        <v>47</v>
      </c>
      <c r="I2686" s="11" t="s">
        <v>119</v>
      </c>
      <c r="J2686" s="11" t="s">
        <v>272</v>
      </c>
      <c r="K2686" s="11">
        <v>24</v>
      </c>
      <c r="L2686" s="12">
        <v>60</v>
      </c>
      <c r="M2686" s="13">
        <v>1440</v>
      </c>
      <c r="N2686" s="11" t="s">
        <v>367</v>
      </c>
      <c r="O2686" s="11" t="s">
        <v>19</v>
      </c>
      <c r="Q2686"/>
    </row>
    <row r="2687" spans="1:17" ht="15.6" x14ac:dyDescent="0.3">
      <c r="A2687" s="15">
        <v>10372</v>
      </c>
      <c r="B2687" s="14">
        <v>38534</v>
      </c>
      <c r="C2687" s="14" t="s">
        <v>359</v>
      </c>
      <c r="D2687" s="15" t="s">
        <v>228</v>
      </c>
      <c r="E2687" s="15" t="s">
        <v>229</v>
      </c>
      <c r="F2687" s="15" t="s">
        <v>74</v>
      </c>
      <c r="G2687" s="15" t="s">
        <v>74</v>
      </c>
      <c r="H2687" s="15" t="s">
        <v>54</v>
      </c>
      <c r="I2687" s="15" t="s">
        <v>56</v>
      </c>
      <c r="J2687" s="15" t="s">
        <v>259</v>
      </c>
      <c r="K2687" s="15">
        <v>44</v>
      </c>
      <c r="L2687" s="16">
        <v>250</v>
      </c>
      <c r="M2687" s="17">
        <v>11000</v>
      </c>
      <c r="N2687" s="15" t="s">
        <v>367</v>
      </c>
      <c r="O2687" s="15" t="s">
        <v>19</v>
      </c>
      <c r="Q2687"/>
    </row>
    <row r="2688" spans="1:17" ht="15.6" x14ac:dyDescent="0.3">
      <c r="A2688" s="11">
        <v>10373</v>
      </c>
      <c r="B2688" s="10">
        <v>38534</v>
      </c>
      <c r="C2688" s="10" t="s">
        <v>315</v>
      </c>
      <c r="D2688" s="11" t="s">
        <v>145</v>
      </c>
      <c r="E2688" s="11" t="s">
        <v>146</v>
      </c>
      <c r="F2688" s="11" t="s">
        <v>135</v>
      </c>
      <c r="G2688" s="11" t="s">
        <v>25</v>
      </c>
      <c r="H2688" s="11" t="s">
        <v>32</v>
      </c>
      <c r="I2688" s="11" t="s">
        <v>45</v>
      </c>
      <c r="J2688" s="11" t="s">
        <v>253</v>
      </c>
      <c r="K2688" s="11">
        <v>39</v>
      </c>
      <c r="L2688" s="12">
        <v>35</v>
      </c>
      <c r="M2688" s="13">
        <v>1365</v>
      </c>
      <c r="N2688" s="11" t="s">
        <v>367</v>
      </c>
      <c r="O2688" s="11" t="s">
        <v>19</v>
      </c>
      <c r="Q2688"/>
    </row>
    <row r="2689" spans="1:17" ht="15.6" x14ac:dyDescent="0.3">
      <c r="A2689" s="15">
        <v>10373</v>
      </c>
      <c r="B2689" s="14">
        <v>38534</v>
      </c>
      <c r="C2689" s="14" t="s">
        <v>315</v>
      </c>
      <c r="D2689" s="15" t="s">
        <v>145</v>
      </c>
      <c r="E2689" s="15" t="s">
        <v>146</v>
      </c>
      <c r="F2689" s="15" t="s">
        <v>135</v>
      </c>
      <c r="G2689" s="15" t="s">
        <v>25</v>
      </c>
      <c r="H2689" s="15" t="s">
        <v>61</v>
      </c>
      <c r="I2689" s="15" t="s">
        <v>66</v>
      </c>
      <c r="J2689" s="15" t="s">
        <v>265</v>
      </c>
      <c r="K2689" s="15">
        <v>28</v>
      </c>
      <c r="L2689" s="16">
        <v>35</v>
      </c>
      <c r="M2689" s="17">
        <v>980</v>
      </c>
      <c r="N2689" s="15" t="s">
        <v>367</v>
      </c>
      <c r="O2689" s="15" t="s">
        <v>19</v>
      </c>
      <c r="Q2689"/>
    </row>
    <row r="2690" spans="1:17" ht="15.6" x14ac:dyDescent="0.3">
      <c r="A2690" s="11">
        <v>10373</v>
      </c>
      <c r="B2690" s="10">
        <v>38534</v>
      </c>
      <c r="C2690" s="10" t="s">
        <v>315</v>
      </c>
      <c r="D2690" s="11" t="s">
        <v>145</v>
      </c>
      <c r="E2690" s="11" t="s">
        <v>146</v>
      </c>
      <c r="F2690" s="11" t="s">
        <v>135</v>
      </c>
      <c r="G2690" s="11" t="s">
        <v>25</v>
      </c>
      <c r="H2690" s="11" t="s">
        <v>54</v>
      </c>
      <c r="I2690" s="11" t="s">
        <v>57</v>
      </c>
      <c r="J2690" s="11" t="s">
        <v>260</v>
      </c>
      <c r="K2690" s="11">
        <v>22</v>
      </c>
      <c r="L2690" s="12">
        <v>220</v>
      </c>
      <c r="M2690" s="13">
        <v>4840</v>
      </c>
      <c r="N2690" s="11" t="s">
        <v>367</v>
      </c>
      <c r="O2690" s="11" t="s">
        <v>19</v>
      </c>
      <c r="Q2690"/>
    </row>
    <row r="2691" spans="1:17" ht="15.6" x14ac:dyDescent="0.3">
      <c r="A2691" s="15">
        <v>10373</v>
      </c>
      <c r="B2691" s="14">
        <v>38535</v>
      </c>
      <c r="C2691" s="14" t="s">
        <v>315</v>
      </c>
      <c r="D2691" s="15" t="s">
        <v>145</v>
      </c>
      <c r="E2691" s="15" t="s">
        <v>146</v>
      </c>
      <c r="F2691" s="15" t="s">
        <v>135</v>
      </c>
      <c r="G2691" s="15" t="s">
        <v>25</v>
      </c>
      <c r="H2691" s="15" t="s">
        <v>17</v>
      </c>
      <c r="I2691" s="15" t="s">
        <v>21</v>
      </c>
      <c r="J2691" s="15" t="s">
        <v>243</v>
      </c>
      <c r="K2691" s="15">
        <v>50</v>
      </c>
      <c r="L2691" s="16">
        <v>110</v>
      </c>
      <c r="M2691" s="17">
        <v>5500</v>
      </c>
      <c r="N2691" s="15" t="s">
        <v>368</v>
      </c>
      <c r="O2691" s="15" t="s">
        <v>19</v>
      </c>
      <c r="Q2691"/>
    </row>
    <row r="2692" spans="1:17" ht="15.6" x14ac:dyDescent="0.3">
      <c r="A2692" s="11">
        <v>10373</v>
      </c>
      <c r="B2692" s="10">
        <v>38535</v>
      </c>
      <c r="C2692" s="10" t="s">
        <v>315</v>
      </c>
      <c r="D2692" s="11" t="s">
        <v>145</v>
      </c>
      <c r="E2692" s="11" t="s">
        <v>146</v>
      </c>
      <c r="F2692" s="11" t="s">
        <v>135</v>
      </c>
      <c r="G2692" s="11" t="s">
        <v>25</v>
      </c>
      <c r="H2692" s="11" t="s">
        <v>61</v>
      </c>
      <c r="I2692" s="11" t="s">
        <v>64</v>
      </c>
      <c r="J2692" s="11" t="s">
        <v>263</v>
      </c>
      <c r="K2692" s="11">
        <v>38</v>
      </c>
      <c r="L2692" s="12">
        <v>35</v>
      </c>
      <c r="M2692" s="13">
        <v>1330</v>
      </c>
      <c r="N2692" s="11" t="s">
        <v>367</v>
      </c>
      <c r="O2692" s="11" t="s">
        <v>19</v>
      </c>
      <c r="Q2692"/>
    </row>
    <row r="2693" spans="1:17" ht="15.6" x14ac:dyDescent="0.3">
      <c r="A2693" s="15">
        <v>10373</v>
      </c>
      <c r="B2693" s="14">
        <v>38535</v>
      </c>
      <c r="C2693" s="14" t="s">
        <v>315</v>
      </c>
      <c r="D2693" s="15" t="s">
        <v>145</v>
      </c>
      <c r="E2693" s="15" t="s">
        <v>146</v>
      </c>
      <c r="F2693" s="15" t="s">
        <v>135</v>
      </c>
      <c r="G2693" s="15" t="s">
        <v>25</v>
      </c>
      <c r="H2693" s="15" t="s">
        <v>17</v>
      </c>
      <c r="I2693" s="15" t="s">
        <v>20</v>
      </c>
      <c r="J2693" s="15" t="s">
        <v>242</v>
      </c>
      <c r="K2693" s="15">
        <v>33</v>
      </c>
      <c r="L2693" s="16">
        <v>48</v>
      </c>
      <c r="M2693" s="17">
        <v>1584</v>
      </c>
      <c r="N2693" s="15" t="s">
        <v>367</v>
      </c>
      <c r="O2693" s="15" t="s">
        <v>19</v>
      </c>
      <c r="Q2693"/>
    </row>
    <row r="2694" spans="1:17" ht="15.6" x14ac:dyDescent="0.3">
      <c r="A2694" s="11">
        <v>10373</v>
      </c>
      <c r="B2694" s="10">
        <v>38535</v>
      </c>
      <c r="C2694" s="10" t="s">
        <v>315</v>
      </c>
      <c r="D2694" s="11" t="s">
        <v>145</v>
      </c>
      <c r="E2694" s="11" t="s">
        <v>146</v>
      </c>
      <c r="F2694" s="11" t="s">
        <v>135</v>
      </c>
      <c r="G2694" s="11" t="s">
        <v>25</v>
      </c>
      <c r="H2694" s="11" t="s">
        <v>17</v>
      </c>
      <c r="I2694" s="11" t="s">
        <v>21</v>
      </c>
      <c r="J2694" s="11" t="s">
        <v>243</v>
      </c>
      <c r="K2694" s="11">
        <v>46</v>
      </c>
      <c r="L2694" s="12">
        <v>110</v>
      </c>
      <c r="M2694" s="13">
        <v>5060</v>
      </c>
      <c r="N2694" s="11" t="s">
        <v>367</v>
      </c>
      <c r="O2694" s="11" t="s">
        <v>19</v>
      </c>
      <c r="Q2694"/>
    </row>
    <row r="2695" spans="1:17" ht="15.6" x14ac:dyDescent="0.3">
      <c r="A2695" s="15">
        <v>10373</v>
      </c>
      <c r="B2695" s="14">
        <v>38535</v>
      </c>
      <c r="C2695" s="14" t="s">
        <v>315</v>
      </c>
      <c r="D2695" s="15" t="s">
        <v>145</v>
      </c>
      <c r="E2695" s="15" t="s">
        <v>146</v>
      </c>
      <c r="F2695" s="15" t="s">
        <v>135</v>
      </c>
      <c r="G2695" s="15" t="s">
        <v>25</v>
      </c>
      <c r="H2695" s="15" t="s">
        <v>17</v>
      </c>
      <c r="I2695" s="15" t="s">
        <v>26</v>
      </c>
      <c r="J2695" s="15" t="s">
        <v>244</v>
      </c>
      <c r="K2695" s="15">
        <v>23</v>
      </c>
      <c r="L2695" s="16">
        <v>60</v>
      </c>
      <c r="M2695" s="17">
        <v>1380</v>
      </c>
      <c r="N2695" s="15" t="s">
        <v>367</v>
      </c>
      <c r="O2695" s="15" t="s">
        <v>19</v>
      </c>
      <c r="Q2695"/>
    </row>
    <row r="2696" spans="1:17" ht="15.6" x14ac:dyDescent="0.3">
      <c r="A2696" s="11">
        <v>10373</v>
      </c>
      <c r="B2696" s="10">
        <v>38535</v>
      </c>
      <c r="C2696" s="10" t="s">
        <v>315</v>
      </c>
      <c r="D2696" s="11" t="s">
        <v>145</v>
      </c>
      <c r="E2696" s="11" t="s">
        <v>146</v>
      </c>
      <c r="F2696" s="11" t="s">
        <v>135</v>
      </c>
      <c r="G2696" s="11" t="s">
        <v>25</v>
      </c>
      <c r="H2696" s="11" t="s">
        <v>61</v>
      </c>
      <c r="I2696" s="11" t="s">
        <v>65</v>
      </c>
      <c r="J2696" s="11" t="s">
        <v>264</v>
      </c>
      <c r="K2696" s="11">
        <v>39</v>
      </c>
      <c r="L2696" s="12">
        <v>30</v>
      </c>
      <c r="M2696" s="13">
        <v>1170</v>
      </c>
      <c r="N2696" s="11" t="s">
        <v>367</v>
      </c>
      <c r="O2696" s="11" t="s">
        <v>19</v>
      </c>
      <c r="Q2696"/>
    </row>
    <row r="2697" spans="1:17" ht="15.6" x14ac:dyDescent="0.3">
      <c r="A2697" s="15">
        <v>10373</v>
      </c>
      <c r="B2697" s="14">
        <v>38536</v>
      </c>
      <c r="C2697" s="14" t="s">
        <v>315</v>
      </c>
      <c r="D2697" s="15" t="s">
        <v>145</v>
      </c>
      <c r="E2697" s="15" t="s">
        <v>146</v>
      </c>
      <c r="F2697" s="15" t="s">
        <v>135</v>
      </c>
      <c r="G2697" s="15" t="s">
        <v>25</v>
      </c>
      <c r="H2697" s="15" t="s">
        <v>54</v>
      </c>
      <c r="I2697" s="15" t="s">
        <v>56</v>
      </c>
      <c r="J2697" s="15" t="s">
        <v>259</v>
      </c>
      <c r="K2697" s="15">
        <v>44</v>
      </c>
      <c r="L2697" s="16">
        <v>250</v>
      </c>
      <c r="M2697" s="17">
        <v>11000</v>
      </c>
      <c r="N2697" s="15" t="s">
        <v>367</v>
      </c>
      <c r="O2697" s="15" t="s">
        <v>19</v>
      </c>
      <c r="Q2697"/>
    </row>
    <row r="2698" spans="1:17" ht="15.6" x14ac:dyDescent="0.3">
      <c r="A2698" s="11">
        <v>10373</v>
      </c>
      <c r="B2698" s="10">
        <v>38536</v>
      </c>
      <c r="C2698" s="10" t="s">
        <v>315</v>
      </c>
      <c r="D2698" s="11" t="s">
        <v>145</v>
      </c>
      <c r="E2698" s="11" t="s">
        <v>146</v>
      </c>
      <c r="F2698" s="11" t="s">
        <v>135</v>
      </c>
      <c r="G2698" s="11" t="s">
        <v>25</v>
      </c>
      <c r="H2698" s="11" t="s">
        <v>54</v>
      </c>
      <c r="I2698" s="11" t="s">
        <v>55</v>
      </c>
      <c r="J2698" s="11" t="s">
        <v>258</v>
      </c>
      <c r="K2698" s="11">
        <v>32</v>
      </c>
      <c r="L2698" s="12">
        <v>180</v>
      </c>
      <c r="M2698" s="13">
        <v>5760</v>
      </c>
      <c r="N2698" s="11" t="s">
        <v>367</v>
      </c>
      <c r="O2698" s="11" t="s">
        <v>19</v>
      </c>
      <c r="Q2698"/>
    </row>
    <row r="2699" spans="1:17" ht="15.6" x14ac:dyDescent="0.3">
      <c r="A2699" s="15">
        <v>10373</v>
      </c>
      <c r="B2699" s="14">
        <v>38536</v>
      </c>
      <c r="C2699" s="14" t="s">
        <v>315</v>
      </c>
      <c r="D2699" s="15" t="s">
        <v>145</v>
      </c>
      <c r="E2699" s="15" t="s">
        <v>146</v>
      </c>
      <c r="F2699" s="15" t="s">
        <v>135</v>
      </c>
      <c r="G2699" s="15" t="s">
        <v>25</v>
      </c>
      <c r="H2699" s="15" t="s">
        <v>54</v>
      </c>
      <c r="I2699" s="15" t="s">
        <v>56</v>
      </c>
      <c r="J2699" s="15" t="s">
        <v>259</v>
      </c>
      <c r="K2699" s="15">
        <v>41</v>
      </c>
      <c r="L2699" s="16">
        <v>250</v>
      </c>
      <c r="M2699" s="17">
        <v>10250</v>
      </c>
      <c r="N2699" s="15" t="s">
        <v>367</v>
      </c>
      <c r="O2699" s="15" t="s">
        <v>19</v>
      </c>
      <c r="Q2699"/>
    </row>
    <row r="2700" spans="1:17" ht="15.6" x14ac:dyDescent="0.3">
      <c r="A2700" s="11">
        <v>10373</v>
      </c>
      <c r="B2700" s="10">
        <v>38536</v>
      </c>
      <c r="C2700" s="10" t="s">
        <v>315</v>
      </c>
      <c r="D2700" s="11" t="s">
        <v>145</v>
      </c>
      <c r="E2700" s="11" t="s">
        <v>146</v>
      </c>
      <c r="F2700" s="11" t="s">
        <v>135</v>
      </c>
      <c r="G2700" s="11" t="s">
        <v>25</v>
      </c>
      <c r="H2700" s="11" t="s">
        <v>54</v>
      </c>
      <c r="I2700" s="11" t="s">
        <v>57</v>
      </c>
      <c r="J2700" s="11" t="s">
        <v>260</v>
      </c>
      <c r="K2700" s="11">
        <v>34</v>
      </c>
      <c r="L2700" s="12">
        <v>220</v>
      </c>
      <c r="M2700" s="13">
        <v>7480</v>
      </c>
      <c r="N2700" s="11" t="s">
        <v>367</v>
      </c>
      <c r="O2700" s="11" t="s">
        <v>19</v>
      </c>
      <c r="Q2700"/>
    </row>
    <row r="2701" spans="1:17" ht="15.6" x14ac:dyDescent="0.3">
      <c r="A2701" s="15">
        <v>10373</v>
      </c>
      <c r="B2701" s="14">
        <v>38536</v>
      </c>
      <c r="C2701" s="14" t="s">
        <v>315</v>
      </c>
      <c r="D2701" s="15" t="s">
        <v>145</v>
      </c>
      <c r="E2701" s="15" t="s">
        <v>146</v>
      </c>
      <c r="F2701" s="15" t="s">
        <v>135</v>
      </c>
      <c r="G2701" s="15" t="s">
        <v>25</v>
      </c>
      <c r="H2701" s="15" t="s">
        <v>54</v>
      </c>
      <c r="I2701" s="15" t="s">
        <v>57</v>
      </c>
      <c r="J2701" s="15" t="s">
        <v>260</v>
      </c>
      <c r="K2701" s="15">
        <v>37</v>
      </c>
      <c r="L2701" s="16">
        <v>220</v>
      </c>
      <c r="M2701" s="17">
        <v>8140</v>
      </c>
      <c r="N2701" s="15" t="s">
        <v>367</v>
      </c>
      <c r="O2701" s="15" t="s">
        <v>19</v>
      </c>
      <c r="Q2701"/>
    </row>
    <row r="2702" spans="1:17" ht="15.6" x14ac:dyDescent="0.3">
      <c r="A2702" s="11">
        <v>10373</v>
      </c>
      <c r="B2702" s="10">
        <v>38536</v>
      </c>
      <c r="C2702" s="10" t="s">
        <v>315</v>
      </c>
      <c r="D2702" s="11" t="s">
        <v>145</v>
      </c>
      <c r="E2702" s="11" t="s">
        <v>146</v>
      </c>
      <c r="F2702" s="11" t="s">
        <v>135</v>
      </c>
      <c r="G2702" s="11" t="s">
        <v>25</v>
      </c>
      <c r="H2702" s="11" t="s">
        <v>61</v>
      </c>
      <c r="I2702" s="11" t="s">
        <v>62</v>
      </c>
      <c r="J2702" s="11" t="s">
        <v>261</v>
      </c>
      <c r="K2702" s="11">
        <v>45</v>
      </c>
      <c r="L2702" s="12">
        <v>15</v>
      </c>
      <c r="M2702" s="13">
        <v>675</v>
      </c>
      <c r="N2702" s="11" t="s">
        <v>367</v>
      </c>
      <c r="O2702" s="11" t="s">
        <v>19</v>
      </c>
      <c r="Q2702"/>
    </row>
    <row r="2703" spans="1:17" ht="15.6" x14ac:dyDescent="0.3">
      <c r="A2703" s="15">
        <v>10373</v>
      </c>
      <c r="B2703" s="14">
        <v>38536</v>
      </c>
      <c r="C2703" s="14" t="s">
        <v>315</v>
      </c>
      <c r="D2703" s="15" t="s">
        <v>145</v>
      </c>
      <c r="E2703" s="15" t="s">
        <v>146</v>
      </c>
      <c r="F2703" s="15" t="s">
        <v>135</v>
      </c>
      <c r="G2703" s="15" t="s">
        <v>25</v>
      </c>
      <c r="H2703" s="15" t="s">
        <v>61</v>
      </c>
      <c r="I2703" s="15" t="s">
        <v>63</v>
      </c>
      <c r="J2703" s="15" t="s">
        <v>262</v>
      </c>
      <c r="K2703" s="15">
        <v>25</v>
      </c>
      <c r="L2703" s="16">
        <v>40</v>
      </c>
      <c r="M2703" s="17">
        <v>1000</v>
      </c>
      <c r="N2703" s="15" t="s">
        <v>367</v>
      </c>
      <c r="O2703" s="15" t="s">
        <v>19</v>
      </c>
      <c r="Q2703"/>
    </row>
    <row r="2704" spans="1:17" ht="15.6" x14ac:dyDescent="0.3">
      <c r="A2704" s="11">
        <v>10373</v>
      </c>
      <c r="B2704" s="10">
        <v>38536</v>
      </c>
      <c r="C2704" s="10" t="s">
        <v>315</v>
      </c>
      <c r="D2704" s="11" t="s">
        <v>145</v>
      </c>
      <c r="E2704" s="11" t="s">
        <v>146</v>
      </c>
      <c r="F2704" s="11" t="s">
        <v>135</v>
      </c>
      <c r="G2704" s="11" t="s">
        <v>25</v>
      </c>
      <c r="H2704" s="11" t="s">
        <v>54</v>
      </c>
      <c r="I2704" s="11" t="s">
        <v>55</v>
      </c>
      <c r="J2704" s="11" t="s">
        <v>258</v>
      </c>
      <c r="K2704" s="11">
        <v>29</v>
      </c>
      <c r="L2704" s="12">
        <v>180</v>
      </c>
      <c r="M2704" s="13">
        <v>5220</v>
      </c>
      <c r="N2704" s="11" t="s">
        <v>367</v>
      </c>
      <c r="O2704" s="11" t="s">
        <v>19</v>
      </c>
      <c r="Q2704"/>
    </row>
    <row r="2705" spans="1:17" ht="15.6" x14ac:dyDescent="0.3">
      <c r="A2705" s="15">
        <v>10374</v>
      </c>
      <c r="B2705" s="14">
        <v>38536</v>
      </c>
      <c r="C2705" s="14" t="s">
        <v>316</v>
      </c>
      <c r="D2705" s="15" t="s">
        <v>147</v>
      </c>
      <c r="E2705" s="15" t="s">
        <v>148</v>
      </c>
      <c r="F2705" s="15" t="s">
        <v>106</v>
      </c>
      <c r="G2705" s="15" t="s">
        <v>107</v>
      </c>
      <c r="H2705" s="15" t="s">
        <v>68</v>
      </c>
      <c r="I2705" s="15" t="s">
        <v>69</v>
      </c>
      <c r="J2705" s="15" t="s">
        <v>266</v>
      </c>
      <c r="K2705" s="15">
        <v>39</v>
      </c>
      <c r="L2705" s="16">
        <v>25</v>
      </c>
      <c r="M2705" s="17">
        <v>975</v>
      </c>
      <c r="N2705" s="15" t="s">
        <v>367</v>
      </c>
      <c r="O2705" s="15" t="s">
        <v>19</v>
      </c>
      <c r="Q2705"/>
    </row>
    <row r="2706" spans="1:17" ht="15.6" x14ac:dyDescent="0.3">
      <c r="A2706" s="11">
        <v>10374</v>
      </c>
      <c r="B2706" s="10">
        <v>38536</v>
      </c>
      <c r="C2706" s="10" t="s">
        <v>316</v>
      </c>
      <c r="D2706" s="11" t="s">
        <v>147</v>
      </c>
      <c r="E2706" s="11" t="s">
        <v>148</v>
      </c>
      <c r="F2706" s="11" t="s">
        <v>106</v>
      </c>
      <c r="G2706" s="11" t="s">
        <v>107</v>
      </c>
      <c r="H2706" s="11" t="s">
        <v>68</v>
      </c>
      <c r="I2706" s="11" t="s">
        <v>69</v>
      </c>
      <c r="J2706" s="11" t="s">
        <v>266</v>
      </c>
      <c r="K2706" s="11">
        <v>22</v>
      </c>
      <c r="L2706" s="12">
        <v>25</v>
      </c>
      <c r="M2706" s="13">
        <v>550</v>
      </c>
      <c r="N2706" s="11" t="s">
        <v>367</v>
      </c>
      <c r="O2706" s="11" t="s">
        <v>19</v>
      </c>
      <c r="Q2706"/>
    </row>
    <row r="2707" spans="1:17" ht="15.6" x14ac:dyDescent="0.3">
      <c r="A2707" s="15">
        <v>10374</v>
      </c>
      <c r="B2707" s="14">
        <v>38536</v>
      </c>
      <c r="C2707" s="14" t="s">
        <v>316</v>
      </c>
      <c r="D2707" s="15" t="s">
        <v>147</v>
      </c>
      <c r="E2707" s="15" t="s">
        <v>148</v>
      </c>
      <c r="F2707" s="15" t="s">
        <v>106</v>
      </c>
      <c r="G2707" s="15" t="s">
        <v>107</v>
      </c>
      <c r="H2707" s="15" t="s">
        <v>61</v>
      </c>
      <c r="I2707" s="15" t="s">
        <v>62</v>
      </c>
      <c r="J2707" s="15" t="s">
        <v>261</v>
      </c>
      <c r="K2707" s="15">
        <v>42</v>
      </c>
      <c r="L2707" s="16">
        <v>15</v>
      </c>
      <c r="M2707" s="17">
        <v>630</v>
      </c>
      <c r="N2707" s="15" t="s">
        <v>367</v>
      </c>
      <c r="O2707" s="15" t="s">
        <v>19</v>
      </c>
      <c r="Q2707"/>
    </row>
    <row r="2708" spans="1:17" ht="15.6" x14ac:dyDescent="0.3">
      <c r="A2708" s="11">
        <v>10374</v>
      </c>
      <c r="B2708" s="10">
        <v>38536</v>
      </c>
      <c r="C2708" s="10" t="s">
        <v>316</v>
      </c>
      <c r="D2708" s="11" t="s">
        <v>147</v>
      </c>
      <c r="E2708" s="11" t="s">
        <v>148</v>
      </c>
      <c r="F2708" s="11" t="s">
        <v>106</v>
      </c>
      <c r="G2708" s="11" t="s">
        <v>107</v>
      </c>
      <c r="H2708" s="11" t="s">
        <v>68</v>
      </c>
      <c r="I2708" s="11" t="s">
        <v>108</v>
      </c>
      <c r="J2708" s="11" t="s">
        <v>271</v>
      </c>
      <c r="K2708" s="11">
        <v>22</v>
      </c>
      <c r="L2708" s="12">
        <v>45</v>
      </c>
      <c r="M2708" s="13">
        <v>990</v>
      </c>
      <c r="N2708" s="11" t="s">
        <v>367</v>
      </c>
      <c r="O2708" s="11" t="s">
        <v>19</v>
      </c>
      <c r="Q2708"/>
    </row>
    <row r="2709" spans="1:17" ht="15.6" x14ac:dyDescent="0.3">
      <c r="A2709" s="15">
        <v>10374</v>
      </c>
      <c r="B2709" s="14">
        <v>38536</v>
      </c>
      <c r="C2709" s="14" t="s">
        <v>316</v>
      </c>
      <c r="D2709" s="15" t="s">
        <v>147</v>
      </c>
      <c r="E2709" s="15" t="s">
        <v>148</v>
      </c>
      <c r="F2709" s="15" t="s">
        <v>106</v>
      </c>
      <c r="G2709" s="15" t="s">
        <v>107</v>
      </c>
      <c r="H2709" s="15" t="s">
        <v>68</v>
      </c>
      <c r="I2709" s="15" t="s">
        <v>70</v>
      </c>
      <c r="J2709" s="15" t="s">
        <v>267</v>
      </c>
      <c r="K2709" s="15">
        <v>38</v>
      </c>
      <c r="L2709" s="16">
        <v>50</v>
      </c>
      <c r="M2709" s="17">
        <v>1900</v>
      </c>
      <c r="N2709" s="15" t="s">
        <v>367</v>
      </c>
      <c r="O2709" s="15" t="s">
        <v>19</v>
      </c>
      <c r="Q2709"/>
    </row>
    <row r="2710" spans="1:17" ht="15.6" x14ac:dyDescent="0.3">
      <c r="A2710" s="11">
        <v>10374</v>
      </c>
      <c r="B2710" s="10">
        <v>38536</v>
      </c>
      <c r="C2710" s="10" t="s">
        <v>316</v>
      </c>
      <c r="D2710" s="11" t="s">
        <v>147</v>
      </c>
      <c r="E2710" s="11" t="s">
        <v>148</v>
      </c>
      <c r="F2710" s="11" t="s">
        <v>106</v>
      </c>
      <c r="G2710" s="11" t="s">
        <v>107</v>
      </c>
      <c r="H2710" s="11" t="s">
        <v>61</v>
      </c>
      <c r="I2710" s="11" t="s">
        <v>62</v>
      </c>
      <c r="J2710" s="11" t="s">
        <v>261</v>
      </c>
      <c r="K2710" s="11">
        <v>46</v>
      </c>
      <c r="L2710" s="12">
        <v>15</v>
      </c>
      <c r="M2710" s="13">
        <v>690</v>
      </c>
      <c r="N2710" s="11" t="s">
        <v>367</v>
      </c>
      <c r="O2710" s="11" t="s">
        <v>19</v>
      </c>
      <c r="Q2710"/>
    </row>
    <row r="2711" spans="1:17" ht="15.6" x14ac:dyDescent="0.3">
      <c r="A2711" s="15">
        <v>10375</v>
      </c>
      <c r="B2711" s="14">
        <v>38536</v>
      </c>
      <c r="C2711" s="14" t="s">
        <v>362</v>
      </c>
      <c r="D2711" s="15" t="s">
        <v>233</v>
      </c>
      <c r="E2711" s="15" t="s">
        <v>114</v>
      </c>
      <c r="F2711" s="15" t="s">
        <v>92</v>
      </c>
      <c r="G2711" s="15" t="s">
        <v>25</v>
      </c>
      <c r="H2711" s="15" t="s">
        <v>68</v>
      </c>
      <c r="I2711" s="15" t="s">
        <v>75</v>
      </c>
      <c r="J2711" s="15" t="s">
        <v>268</v>
      </c>
      <c r="K2711" s="15">
        <v>21</v>
      </c>
      <c r="L2711" s="16">
        <v>35</v>
      </c>
      <c r="M2711" s="17">
        <v>735</v>
      </c>
      <c r="N2711" s="15" t="s">
        <v>367</v>
      </c>
      <c r="O2711" s="15" t="s">
        <v>19</v>
      </c>
      <c r="Q2711"/>
    </row>
    <row r="2712" spans="1:17" ht="15.6" x14ac:dyDescent="0.3">
      <c r="A2712" s="11">
        <v>10375</v>
      </c>
      <c r="B2712" s="10">
        <v>38541</v>
      </c>
      <c r="C2712" s="10" t="s">
        <v>362</v>
      </c>
      <c r="D2712" s="11" t="s">
        <v>233</v>
      </c>
      <c r="E2712" s="11" t="s">
        <v>114</v>
      </c>
      <c r="F2712" s="11" t="s">
        <v>92</v>
      </c>
      <c r="G2712" s="11" t="s">
        <v>25</v>
      </c>
      <c r="H2712" s="11" t="s">
        <v>32</v>
      </c>
      <c r="I2712" s="11" t="s">
        <v>46</v>
      </c>
      <c r="J2712" s="11" t="s">
        <v>254</v>
      </c>
      <c r="K2712" s="11">
        <v>45</v>
      </c>
      <c r="L2712" s="12">
        <v>90</v>
      </c>
      <c r="M2712" s="13">
        <v>4050</v>
      </c>
      <c r="N2712" s="11" t="s">
        <v>367</v>
      </c>
      <c r="O2712" s="11" t="s">
        <v>19</v>
      </c>
      <c r="Q2712"/>
    </row>
    <row r="2713" spans="1:17" ht="15.6" x14ac:dyDescent="0.3">
      <c r="A2713" s="15">
        <v>10375</v>
      </c>
      <c r="B2713" s="14">
        <v>38542</v>
      </c>
      <c r="C2713" s="14" t="s">
        <v>362</v>
      </c>
      <c r="D2713" s="15" t="s">
        <v>233</v>
      </c>
      <c r="E2713" s="15" t="s">
        <v>114</v>
      </c>
      <c r="F2713" s="15" t="s">
        <v>92</v>
      </c>
      <c r="G2713" s="15" t="s">
        <v>25</v>
      </c>
      <c r="H2713" s="15" t="s">
        <v>68</v>
      </c>
      <c r="I2713" s="15" t="s">
        <v>70</v>
      </c>
      <c r="J2713" s="15" t="s">
        <v>267</v>
      </c>
      <c r="K2713" s="15">
        <v>49</v>
      </c>
      <c r="L2713" s="16">
        <v>50</v>
      </c>
      <c r="M2713" s="17">
        <v>2450</v>
      </c>
      <c r="N2713" s="15" t="s">
        <v>367</v>
      </c>
      <c r="O2713" s="15" t="s">
        <v>19</v>
      </c>
      <c r="Q2713"/>
    </row>
    <row r="2714" spans="1:17" ht="15.6" x14ac:dyDescent="0.3">
      <c r="A2714" s="11">
        <v>10375</v>
      </c>
      <c r="B2714" s="10">
        <v>38542</v>
      </c>
      <c r="C2714" s="10" t="s">
        <v>362</v>
      </c>
      <c r="D2714" s="11" t="s">
        <v>233</v>
      </c>
      <c r="E2714" s="11" t="s">
        <v>114</v>
      </c>
      <c r="F2714" s="11" t="s">
        <v>92</v>
      </c>
      <c r="G2714" s="11" t="s">
        <v>25</v>
      </c>
      <c r="H2714" s="11" t="s">
        <v>68</v>
      </c>
      <c r="I2714" s="11" t="s">
        <v>69</v>
      </c>
      <c r="J2714" s="11" t="s">
        <v>266</v>
      </c>
      <c r="K2714" s="11">
        <v>23</v>
      </c>
      <c r="L2714" s="12">
        <v>25</v>
      </c>
      <c r="M2714" s="13">
        <v>575</v>
      </c>
      <c r="N2714" s="11" t="s">
        <v>367</v>
      </c>
      <c r="O2714" s="11" t="s">
        <v>19</v>
      </c>
      <c r="Q2714"/>
    </row>
    <row r="2715" spans="1:17" ht="15.6" x14ac:dyDescent="0.3">
      <c r="A2715" s="15">
        <v>10375</v>
      </c>
      <c r="B2715" s="14">
        <v>38542</v>
      </c>
      <c r="C2715" s="14" t="s">
        <v>362</v>
      </c>
      <c r="D2715" s="15" t="s">
        <v>233</v>
      </c>
      <c r="E2715" s="15" t="s">
        <v>114</v>
      </c>
      <c r="F2715" s="15" t="s">
        <v>92</v>
      </c>
      <c r="G2715" s="15" t="s">
        <v>25</v>
      </c>
      <c r="H2715" s="15" t="s">
        <v>68</v>
      </c>
      <c r="I2715" s="15" t="s">
        <v>70</v>
      </c>
      <c r="J2715" s="15" t="s">
        <v>267</v>
      </c>
      <c r="K2715" s="15">
        <v>20</v>
      </c>
      <c r="L2715" s="16">
        <v>50</v>
      </c>
      <c r="M2715" s="17">
        <v>1000</v>
      </c>
      <c r="N2715" s="15" t="s">
        <v>367</v>
      </c>
      <c r="O2715" s="15" t="s">
        <v>19</v>
      </c>
      <c r="Q2715"/>
    </row>
    <row r="2716" spans="1:17" ht="15.6" x14ac:dyDescent="0.3">
      <c r="A2716" s="11">
        <v>10375</v>
      </c>
      <c r="B2716" s="10">
        <v>38542</v>
      </c>
      <c r="C2716" s="10" t="s">
        <v>362</v>
      </c>
      <c r="D2716" s="11" t="s">
        <v>233</v>
      </c>
      <c r="E2716" s="11" t="s">
        <v>114</v>
      </c>
      <c r="F2716" s="11" t="s">
        <v>92</v>
      </c>
      <c r="G2716" s="11" t="s">
        <v>25</v>
      </c>
      <c r="H2716" s="11" t="s">
        <v>61</v>
      </c>
      <c r="I2716" s="11" t="s">
        <v>62</v>
      </c>
      <c r="J2716" s="11" t="s">
        <v>261</v>
      </c>
      <c r="K2716" s="11">
        <v>43</v>
      </c>
      <c r="L2716" s="12">
        <v>15</v>
      </c>
      <c r="M2716" s="13">
        <v>645</v>
      </c>
      <c r="N2716" s="11" t="s">
        <v>367</v>
      </c>
      <c r="O2716" s="11" t="s">
        <v>19</v>
      </c>
      <c r="Q2716"/>
    </row>
    <row r="2717" spans="1:17" ht="15.6" x14ac:dyDescent="0.3">
      <c r="A2717" s="15">
        <v>10375</v>
      </c>
      <c r="B2717" s="14">
        <v>38542</v>
      </c>
      <c r="C2717" s="14" t="s">
        <v>362</v>
      </c>
      <c r="D2717" s="15" t="s">
        <v>233</v>
      </c>
      <c r="E2717" s="15" t="s">
        <v>114</v>
      </c>
      <c r="F2717" s="15" t="s">
        <v>92</v>
      </c>
      <c r="G2717" s="15" t="s">
        <v>25</v>
      </c>
      <c r="H2717" s="15" t="s">
        <v>68</v>
      </c>
      <c r="I2717" s="15" t="s">
        <v>69</v>
      </c>
      <c r="J2717" s="15" t="s">
        <v>266</v>
      </c>
      <c r="K2717" s="15">
        <v>37</v>
      </c>
      <c r="L2717" s="16">
        <v>25</v>
      </c>
      <c r="M2717" s="17">
        <v>925</v>
      </c>
      <c r="N2717" s="15" t="s">
        <v>367</v>
      </c>
      <c r="O2717" s="15" t="s">
        <v>19</v>
      </c>
      <c r="Q2717"/>
    </row>
    <row r="2718" spans="1:17" ht="15.6" x14ac:dyDescent="0.3">
      <c r="A2718" s="11">
        <v>10375</v>
      </c>
      <c r="B2718" s="10">
        <v>38542</v>
      </c>
      <c r="C2718" s="10" t="s">
        <v>362</v>
      </c>
      <c r="D2718" s="11" t="s">
        <v>233</v>
      </c>
      <c r="E2718" s="11" t="s">
        <v>114</v>
      </c>
      <c r="F2718" s="11" t="s">
        <v>92</v>
      </c>
      <c r="G2718" s="11" t="s">
        <v>25</v>
      </c>
      <c r="H2718" s="11" t="s">
        <v>17</v>
      </c>
      <c r="I2718" s="11" t="s">
        <v>20</v>
      </c>
      <c r="J2718" s="11" t="s">
        <v>242</v>
      </c>
      <c r="K2718" s="11">
        <v>44</v>
      </c>
      <c r="L2718" s="12">
        <v>48</v>
      </c>
      <c r="M2718" s="13">
        <v>2112</v>
      </c>
      <c r="N2718" s="11" t="s">
        <v>367</v>
      </c>
      <c r="O2718" s="11" t="s">
        <v>19</v>
      </c>
      <c r="Q2718"/>
    </row>
    <row r="2719" spans="1:17" ht="15.6" x14ac:dyDescent="0.3">
      <c r="A2719" s="15">
        <v>10375</v>
      </c>
      <c r="B2719" s="14">
        <v>38543</v>
      </c>
      <c r="C2719" s="14" t="s">
        <v>362</v>
      </c>
      <c r="D2719" s="15" t="s">
        <v>233</v>
      </c>
      <c r="E2719" s="15" t="s">
        <v>114</v>
      </c>
      <c r="F2719" s="15" t="s">
        <v>92</v>
      </c>
      <c r="G2719" s="15" t="s">
        <v>25</v>
      </c>
      <c r="H2719" s="15" t="s">
        <v>68</v>
      </c>
      <c r="I2719" s="15" t="s">
        <v>69</v>
      </c>
      <c r="J2719" s="15" t="s">
        <v>266</v>
      </c>
      <c r="K2719" s="15">
        <v>41</v>
      </c>
      <c r="L2719" s="16">
        <v>25</v>
      </c>
      <c r="M2719" s="17">
        <v>1025</v>
      </c>
      <c r="N2719" s="15" t="s">
        <v>367</v>
      </c>
      <c r="O2719" s="15" t="s">
        <v>19</v>
      </c>
      <c r="Q2719"/>
    </row>
    <row r="2720" spans="1:17" ht="15.6" x14ac:dyDescent="0.3">
      <c r="A2720" s="11">
        <v>10375</v>
      </c>
      <c r="B2720" s="10">
        <v>38543</v>
      </c>
      <c r="C2720" s="10" t="s">
        <v>362</v>
      </c>
      <c r="D2720" s="11" t="s">
        <v>233</v>
      </c>
      <c r="E2720" s="11" t="s">
        <v>114</v>
      </c>
      <c r="F2720" s="11" t="s">
        <v>92</v>
      </c>
      <c r="G2720" s="11" t="s">
        <v>25</v>
      </c>
      <c r="H2720" s="11" t="s">
        <v>17</v>
      </c>
      <c r="I2720" s="11" t="s">
        <v>20</v>
      </c>
      <c r="J2720" s="11" t="s">
        <v>242</v>
      </c>
      <c r="K2720" s="11">
        <v>49</v>
      </c>
      <c r="L2720" s="12">
        <v>48</v>
      </c>
      <c r="M2720" s="13">
        <v>2352</v>
      </c>
      <c r="N2720" s="11" t="s">
        <v>367</v>
      </c>
      <c r="O2720" s="11" t="s">
        <v>19</v>
      </c>
      <c r="Q2720"/>
    </row>
    <row r="2721" spans="1:17" ht="15.6" x14ac:dyDescent="0.3">
      <c r="A2721" s="15">
        <v>10375</v>
      </c>
      <c r="B2721" s="14">
        <v>38543</v>
      </c>
      <c r="C2721" s="14" t="s">
        <v>362</v>
      </c>
      <c r="D2721" s="15" t="s">
        <v>233</v>
      </c>
      <c r="E2721" s="15" t="s">
        <v>114</v>
      </c>
      <c r="F2721" s="15" t="s">
        <v>92</v>
      </c>
      <c r="G2721" s="15" t="s">
        <v>25</v>
      </c>
      <c r="H2721" s="15" t="s">
        <v>68</v>
      </c>
      <c r="I2721" s="15" t="s">
        <v>108</v>
      </c>
      <c r="J2721" s="15" t="s">
        <v>271</v>
      </c>
      <c r="K2721" s="15">
        <v>49</v>
      </c>
      <c r="L2721" s="16">
        <v>45</v>
      </c>
      <c r="M2721" s="17">
        <v>2205</v>
      </c>
      <c r="N2721" s="15" t="s">
        <v>367</v>
      </c>
      <c r="O2721" s="15" t="s">
        <v>19</v>
      </c>
      <c r="Q2721"/>
    </row>
    <row r="2722" spans="1:17" ht="15.6" x14ac:dyDescent="0.3">
      <c r="A2722" s="11">
        <v>10375</v>
      </c>
      <c r="B2722" s="10">
        <v>38543</v>
      </c>
      <c r="C2722" s="10" t="s">
        <v>362</v>
      </c>
      <c r="D2722" s="11" t="s">
        <v>233</v>
      </c>
      <c r="E2722" s="11" t="s">
        <v>114</v>
      </c>
      <c r="F2722" s="11" t="s">
        <v>92</v>
      </c>
      <c r="G2722" s="11" t="s">
        <v>25</v>
      </c>
      <c r="H2722" s="11" t="s">
        <v>61</v>
      </c>
      <c r="I2722" s="11" t="s">
        <v>62</v>
      </c>
      <c r="J2722" s="11" t="s">
        <v>261</v>
      </c>
      <c r="K2722" s="11">
        <v>37</v>
      </c>
      <c r="L2722" s="12">
        <v>15</v>
      </c>
      <c r="M2722" s="13">
        <v>555</v>
      </c>
      <c r="N2722" s="11" t="s">
        <v>367</v>
      </c>
      <c r="O2722" s="11" t="s">
        <v>19</v>
      </c>
      <c r="Q2722"/>
    </row>
    <row r="2723" spans="1:17" ht="15.6" x14ac:dyDescent="0.3">
      <c r="A2723" s="15">
        <v>10375</v>
      </c>
      <c r="B2723" s="14">
        <v>38543</v>
      </c>
      <c r="C2723" s="14" t="s">
        <v>362</v>
      </c>
      <c r="D2723" s="15" t="s">
        <v>233</v>
      </c>
      <c r="E2723" s="15" t="s">
        <v>114</v>
      </c>
      <c r="F2723" s="15" t="s">
        <v>92</v>
      </c>
      <c r="G2723" s="15" t="s">
        <v>25</v>
      </c>
      <c r="H2723" s="15" t="s">
        <v>61</v>
      </c>
      <c r="I2723" s="15" t="s">
        <v>63</v>
      </c>
      <c r="J2723" s="15" t="s">
        <v>262</v>
      </c>
      <c r="K2723" s="15">
        <v>33</v>
      </c>
      <c r="L2723" s="16">
        <v>40</v>
      </c>
      <c r="M2723" s="17">
        <v>1320</v>
      </c>
      <c r="N2723" s="15" t="s">
        <v>367</v>
      </c>
      <c r="O2723" s="15" t="s">
        <v>19</v>
      </c>
      <c r="Q2723"/>
    </row>
    <row r="2724" spans="1:17" ht="15.6" x14ac:dyDescent="0.3">
      <c r="A2724" s="11">
        <v>10375</v>
      </c>
      <c r="B2724" s="10">
        <v>38543</v>
      </c>
      <c r="C2724" s="10" t="s">
        <v>362</v>
      </c>
      <c r="D2724" s="11" t="s">
        <v>233</v>
      </c>
      <c r="E2724" s="11" t="s">
        <v>114</v>
      </c>
      <c r="F2724" s="11" t="s">
        <v>92</v>
      </c>
      <c r="G2724" s="11" t="s">
        <v>25</v>
      </c>
      <c r="H2724" s="11" t="s">
        <v>61</v>
      </c>
      <c r="I2724" s="11" t="s">
        <v>66</v>
      </c>
      <c r="J2724" s="11" t="s">
        <v>265</v>
      </c>
      <c r="K2724" s="11">
        <v>25</v>
      </c>
      <c r="L2724" s="12">
        <v>35</v>
      </c>
      <c r="M2724" s="13">
        <v>875</v>
      </c>
      <c r="N2724" s="11" t="s">
        <v>367</v>
      </c>
      <c r="O2724" s="11" t="s">
        <v>19</v>
      </c>
      <c r="Q2724"/>
    </row>
    <row r="2725" spans="1:17" ht="15.6" x14ac:dyDescent="0.3">
      <c r="A2725" s="15">
        <v>10375</v>
      </c>
      <c r="B2725" s="14">
        <v>38543</v>
      </c>
      <c r="C2725" s="14" t="s">
        <v>362</v>
      </c>
      <c r="D2725" s="15" t="s">
        <v>233</v>
      </c>
      <c r="E2725" s="15" t="s">
        <v>114</v>
      </c>
      <c r="F2725" s="15" t="s">
        <v>92</v>
      </c>
      <c r="G2725" s="15" t="s">
        <v>25</v>
      </c>
      <c r="H2725" s="15" t="s">
        <v>61</v>
      </c>
      <c r="I2725" s="15" t="s">
        <v>65</v>
      </c>
      <c r="J2725" s="15" t="s">
        <v>264</v>
      </c>
      <c r="K2725" s="15">
        <v>44</v>
      </c>
      <c r="L2725" s="16">
        <v>30</v>
      </c>
      <c r="M2725" s="17">
        <v>1320</v>
      </c>
      <c r="N2725" s="15" t="s">
        <v>367</v>
      </c>
      <c r="O2725" s="15" t="s">
        <v>19</v>
      </c>
      <c r="Q2725"/>
    </row>
    <row r="2726" spans="1:17" ht="15.6" x14ac:dyDescent="0.3">
      <c r="A2726" s="11">
        <v>10376</v>
      </c>
      <c r="B2726" s="10">
        <v>38543</v>
      </c>
      <c r="C2726" s="10" t="s">
        <v>317</v>
      </c>
      <c r="D2726" s="11" t="s">
        <v>149</v>
      </c>
      <c r="E2726" s="11" t="s">
        <v>123</v>
      </c>
      <c r="F2726" s="11" t="s">
        <v>15</v>
      </c>
      <c r="G2726" s="11" t="s">
        <v>16</v>
      </c>
      <c r="H2726" s="11" t="s">
        <v>32</v>
      </c>
      <c r="I2726" s="11" t="s">
        <v>34</v>
      </c>
      <c r="J2726" s="11" t="s">
        <v>246</v>
      </c>
      <c r="K2726" s="11">
        <v>35</v>
      </c>
      <c r="L2726" s="12">
        <v>80</v>
      </c>
      <c r="M2726" s="13">
        <v>2800</v>
      </c>
      <c r="N2726" s="11" t="s">
        <v>367</v>
      </c>
      <c r="O2726" s="11" t="s">
        <v>19</v>
      </c>
      <c r="Q2726"/>
    </row>
    <row r="2727" spans="1:17" ht="15.6" x14ac:dyDescent="0.3">
      <c r="A2727" s="15">
        <v>10377</v>
      </c>
      <c r="B2727" s="14">
        <v>38543</v>
      </c>
      <c r="C2727" s="14" t="s">
        <v>319</v>
      </c>
      <c r="D2727" s="15" t="s">
        <v>152</v>
      </c>
      <c r="E2727" s="15" t="s">
        <v>153</v>
      </c>
      <c r="F2727" s="15" t="s">
        <v>135</v>
      </c>
      <c r="G2727" s="15" t="s">
        <v>25</v>
      </c>
      <c r="H2727" s="15" t="s">
        <v>32</v>
      </c>
      <c r="I2727" s="15" t="s">
        <v>34</v>
      </c>
      <c r="J2727" s="15" t="s">
        <v>246</v>
      </c>
      <c r="K2727" s="15">
        <v>24</v>
      </c>
      <c r="L2727" s="16">
        <v>80</v>
      </c>
      <c r="M2727" s="17">
        <v>1920</v>
      </c>
      <c r="N2727" s="15" t="s">
        <v>367</v>
      </c>
      <c r="O2727" s="15" t="s">
        <v>19</v>
      </c>
      <c r="Q2727"/>
    </row>
    <row r="2728" spans="1:17" ht="15.6" x14ac:dyDescent="0.3">
      <c r="A2728" s="11">
        <v>10377</v>
      </c>
      <c r="B2728" s="10">
        <v>38543</v>
      </c>
      <c r="C2728" s="10" t="s">
        <v>319</v>
      </c>
      <c r="D2728" s="11" t="s">
        <v>152</v>
      </c>
      <c r="E2728" s="11" t="s">
        <v>153</v>
      </c>
      <c r="F2728" s="11" t="s">
        <v>135</v>
      </c>
      <c r="G2728" s="11" t="s">
        <v>25</v>
      </c>
      <c r="H2728" s="11" t="s">
        <v>32</v>
      </c>
      <c r="I2728" s="11" t="s">
        <v>33</v>
      </c>
      <c r="J2728" s="11" t="s">
        <v>245</v>
      </c>
      <c r="K2728" s="11">
        <v>50</v>
      </c>
      <c r="L2728" s="12">
        <v>85</v>
      </c>
      <c r="M2728" s="13">
        <v>4250</v>
      </c>
      <c r="N2728" s="11" t="s">
        <v>368</v>
      </c>
      <c r="O2728" s="11" t="s">
        <v>19</v>
      </c>
      <c r="Q2728"/>
    </row>
    <row r="2729" spans="1:17" ht="15.6" x14ac:dyDescent="0.3">
      <c r="A2729" s="15">
        <v>10377</v>
      </c>
      <c r="B2729" s="14">
        <v>38543</v>
      </c>
      <c r="C2729" s="14" t="s">
        <v>319</v>
      </c>
      <c r="D2729" s="15" t="s">
        <v>152</v>
      </c>
      <c r="E2729" s="15" t="s">
        <v>153</v>
      </c>
      <c r="F2729" s="15" t="s">
        <v>135</v>
      </c>
      <c r="G2729" s="15" t="s">
        <v>25</v>
      </c>
      <c r="H2729" s="15" t="s">
        <v>32</v>
      </c>
      <c r="I2729" s="15" t="s">
        <v>45</v>
      </c>
      <c r="J2729" s="15" t="s">
        <v>253</v>
      </c>
      <c r="K2729" s="15">
        <v>35</v>
      </c>
      <c r="L2729" s="16">
        <v>35</v>
      </c>
      <c r="M2729" s="17">
        <v>1225</v>
      </c>
      <c r="N2729" s="15" t="s">
        <v>367</v>
      </c>
      <c r="O2729" s="15" t="s">
        <v>19</v>
      </c>
      <c r="Q2729"/>
    </row>
    <row r="2730" spans="1:17" ht="15.6" x14ac:dyDescent="0.3">
      <c r="A2730" s="11">
        <v>10377</v>
      </c>
      <c r="B2730" s="10">
        <v>38543</v>
      </c>
      <c r="C2730" s="10" t="s">
        <v>319</v>
      </c>
      <c r="D2730" s="11" t="s">
        <v>152</v>
      </c>
      <c r="E2730" s="11" t="s">
        <v>153</v>
      </c>
      <c r="F2730" s="11" t="s">
        <v>135</v>
      </c>
      <c r="G2730" s="11" t="s">
        <v>25</v>
      </c>
      <c r="H2730" s="11" t="s">
        <v>32</v>
      </c>
      <c r="I2730" s="11" t="s">
        <v>46</v>
      </c>
      <c r="J2730" s="11" t="s">
        <v>254</v>
      </c>
      <c r="K2730" s="11">
        <v>31</v>
      </c>
      <c r="L2730" s="12">
        <v>90</v>
      </c>
      <c r="M2730" s="13">
        <v>2790</v>
      </c>
      <c r="N2730" s="11" t="s">
        <v>367</v>
      </c>
      <c r="O2730" s="11" t="s">
        <v>19</v>
      </c>
      <c r="Q2730"/>
    </row>
    <row r="2731" spans="1:17" ht="15.6" x14ac:dyDescent="0.3">
      <c r="A2731" s="15">
        <v>10377</v>
      </c>
      <c r="B2731" s="14">
        <v>38543</v>
      </c>
      <c r="C2731" s="14" t="s">
        <v>319</v>
      </c>
      <c r="D2731" s="15" t="s">
        <v>152</v>
      </c>
      <c r="E2731" s="15" t="s">
        <v>153</v>
      </c>
      <c r="F2731" s="15" t="s">
        <v>135</v>
      </c>
      <c r="G2731" s="15" t="s">
        <v>25</v>
      </c>
      <c r="H2731" s="15" t="s">
        <v>32</v>
      </c>
      <c r="I2731" s="15" t="s">
        <v>33</v>
      </c>
      <c r="J2731" s="15" t="s">
        <v>245</v>
      </c>
      <c r="K2731" s="15">
        <v>36</v>
      </c>
      <c r="L2731" s="16">
        <v>85</v>
      </c>
      <c r="M2731" s="17">
        <v>3060</v>
      </c>
      <c r="N2731" s="15" t="s">
        <v>367</v>
      </c>
      <c r="O2731" s="15" t="s">
        <v>19</v>
      </c>
      <c r="Q2731"/>
    </row>
    <row r="2732" spans="1:17" ht="15.6" x14ac:dyDescent="0.3">
      <c r="A2732" s="11">
        <v>10377</v>
      </c>
      <c r="B2732" s="10">
        <v>38543</v>
      </c>
      <c r="C2732" s="10" t="s">
        <v>319</v>
      </c>
      <c r="D2732" s="11" t="s">
        <v>152</v>
      </c>
      <c r="E2732" s="11" t="s">
        <v>153</v>
      </c>
      <c r="F2732" s="11" t="s">
        <v>135</v>
      </c>
      <c r="G2732" s="11" t="s">
        <v>25</v>
      </c>
      <c r="H2732" s="11" t="s">
        <v>32</v>
      </c>
      <c r="I2732" s="11" t="s">
        <v>44</v>
      </c>
      <c r="J2732" s="11" t="s">
        <v>252</v>
      </c>
      <c r="K2732" s="11">
        <v>39</v>
      </c>
      <c r="L2732" s="12">
        <v>55</v>
      </c>
      <c r="M2732" s="13">
        <v>2145</v>
      </c>
      <c r="N2732" s="11" t="s">
        <v>367</v>
      </c>
      <c r="O2732" s="11" t="s">
        <v>19</v>
      </c>
      <c r="Q2732"/>
    </row>
    <row r="2733" spans="1:17" ht="15.6" x14ac:dyDescent="0.3">
      <c r="A2733" s="15">
        <v>10378</v>
      </c>
      <c r="B2733" s="14">
        <v>38543</v>
      </c>
      <c r="C2733" s="14" t="s">
        <v>279</v>
      </c>
      <c r="D2733" s="15" t="s">
        <v>41</v>
      </c>
      <c r="E2733" s="15" t="s">
        <v>42</v>
      </c>
      <c r="F2733" s="15" t="s">
        <v>43</v>
      </c>
      <c r="G2733" s="15" t="s">
        <v>25</v>
      </c>
      <c r="H2733" s="15" t="s">
        <v>32</v>
      </c>
      <c r="I2733" s="15" t="s">
        <v>33</v>
      </c>
      <c r="J2733" s="15" t="s">
        <v>245</v>
      </c>
      <c r="K2733" s="15">
        <v>34</v>
      </c>
      <c r="L2733" s="16">
        <v>85</v>
      </c>
      <c r="M2733" s="17">
        <v>2890</v>
      </c>
      <c r="N2733" s="15" t="s">
        <v>367</v>
      </c>
      <c r="O2733" s="15" t="s">
        <v>19</v>
      </c>
      <c r="Q2733"/>
    </row>
    <row r="2734" spans="1:17" ht="15.6" x14ac:dyDescent="0.3">
      <c r="A2734" s="11">
        <v>10379</v>
      </c>
      <c r="B2734" s="10">
        <v>38549</v>
      </c>
      <c r="C2734" s="10" t="s">
        <v>279</v>
      </c>
      <c r="D2734" s="11" t="s">
        <v>41</v>
      </c>
      <c r="E2734" s="11" t="s">
        <v>42</v>
      </c>
      <c r="F2734" s="11" t="s">
        <v>43</v>
      </c>
      <c r="G2734" s="11" t="s">
        <v>25</v>
      </c>
      <c r="H2734" s="11" t="s">
        <v>17</v>
      </c>
      <c r="I2734" s="11" t="s">
        <v>52</v>
      </c>
      <c r="J2734" s="11" t="s">
        <v>256</v>
      </c>
      <c r="K2734" s="11">
        <v>39</v>
      </c>
      <c r="L2734" s="12">
        <v>45</v>
      </c>
      <c r="M2734" s="13">
        <v>1755</v>
      </c>
      <c r="N2734" s="11" t="s">
        <v>367</v>
      </c>
      <c r="O2734" s="11" t="s">
        <v>19</v>
      </c>
      <c r="Q2734"/>
    </row>
    <row r="2735" spans="1:17" ht="15.6" x14ac:dyDescent="0.3">
      <c r="A2735" s="15">
        <v>10379</v>
      </c>
      <c r="B2735" s="14">
        <v>38549</v>
      </c>
      <c r="C2735" s="14" t="s">
        <v>279</v>
      </c>
      <c r="D2735" s="15" t="s">
        <v>41</v>
      </c>
      <c r="E2735" s="15" t="s">
        <v>42</v>
      </c>
      <c r="F2735" s="15" t="s">
        <v>43</v>
      </c>
      <c r="G2735" s="15" t="s">
        <v>25</v>
      </c>
      <c r="H2735" s="15" t="s">
        <v>17</v>
      </c>
      <c r="I2735" s="15" t="s">
        <v>26</v>
      </c>
      <c r="J2735" s="15" t="s">
        <v>244</v>
      </c>
      <c r="K2735" s="15">
        <v>27</v>
      </c>
      <c r="L2735" s="16">
        <v>60</v>
      </c>
      <c r="M2735" s="17">
        <v>1620</v>
      </c>
      <c r="N2735" s="15" t="s">
        <v>367</v>
      </c>
      <c r="O2735" s="15" t="s">
        <v>19</v>
      </c>
      <c r="Q2735"/>
    </row>
    <row r="2736" spans="1:17" ht="15.6" x14ac:dyDescent="0.3">
      <c r="A2736" s="11">
        <v>10379</v>
      </c>
      <c r="B2736" s="10">
        <v>38549</v>
      </c>
      <c r="C2736" s="10" t="s">
        <v>279</v>
      </c>
      <c r="D2736" s="11" t="s">
        <v>41</v>
      </c>
      <c r="E2736" s="11" t="s">
        <v>42</v>
      </c>
      <c r="F2736" s="11" t="s">
        <v>43</v>
      </c>
      <c r="G2736" s="11" t="s">
        <v>25</v>
      </c>
      <c r="H2736" s="11" t="s">
        <v>32</v>
      </c>
      <c r="I2736" s="11" t="s">
        <v>33</v>
      </c>
      <c r="J2736" s="11" t="s">
        <v>245</v>
      </c>
      <c r="K2736" s="11">
        <v>29</v>
      </c>
      <c r="L2736" s="12">
        <v>85</v>
      </c>
      <c r="M2736" s="13">
        <v>2465</v>
      </c>
      <c r="N2736" s="11" t="s">
        <v>367</v>
      </c>
      <c r="O2736" s="11" t="s">
        <v>19</v>
      </c>
      <c r="Q2736"/>
    </row>
    <row r="2737" spans="1:17" ht="15.6" x14ac:dyDescent="0.3">
      <c r="A2737" s="15">
        <v>10378</v>
      </c>
      <c r="B2737" s="14">
        <v>38549</v>
      </c>
      <c r="C2737" s="14" t="s">
        <v>279</v>
      </c>
      <c r="D2737" s="15" t="s">
        <v>41</v>
      </c>
      <c r="E2737" s="15" t="s">
        <v>42</v>
      </c>
      <c r="F2737" s="15" t="s">
        <v>43</v>
      </c>
      <c r="G2737" s="15" t="s">
        <v>25</v>
      </c>
      <c r="H2737" s="15" t="s">
        <v>32</v>
      </c>
      <c r="I2737" s="15" t="s">
        <v>33</v>
      </c>
      <c r="J2737" s="15" t="s">
        <v>245</v>
      </c>
      <c r="K2737" s="15">
        <v>22</v>
      </c>
      <c r="L2737" s="16">
        <v>85</v>
      </c>
      <c r="M2737" s="17">
        <v>1870</v>
      </c>
      <c r="N2737" s="15" t="s">
        <v>367</v>
      </c>
      <c r="O2737" s="15" t="s">
        <v>19</v>
      </c>
      <c r="Q2737"/>
    </row>
    <row r="2738" spans="1:17" ht="15.6" x14ac:dyDescent="0.3">
      <c r="A2738" s="11">
        <v>10378</v>
      </c>
      <c r="B2738" s="10">
        <v>38549</v>
      </c>
      <c r="C2738" s="10" t="s">
        <v>279</v>
      </c>
      <c r="D2738" s="11" t="s">
        <v>41</v>
      </c>
      <c r="E2738" s="11" t="s">
        <v>42</v>
      </c>
      <c r="F2738" s="11" t="s">
        <v>43</v>
      </c>
      <c r="G2738" s="11" t="s">
        <v>25</v>
      </c>
      <c r="H2738" s="11" t="s">
        <v>32</v>
      </c>
      <c r="I2738" s="11" t="s">
        <v>34</v>
      </c>
      <c r="J2738" s="11" t="s">
        <v>246</v>
      </c>
      <c r="K2738" s="11">
        <v>43</v>
      </c>
      <c r="L2738" s="12">
        <v>80</v>
      </c>
      <c r="M2738" s="13">
        <v>3440</v>
      </c>
      <c r="N2738" s="11" t="s">
        <v>367</v>
      </c>
      <c r="O2738" s="11" t="s">
        <v>19</v>
      </c>
      <c r="Q2738"/>
    </row>
    <row r="2739" spans="1:17" ht="15.6" x14ac:dyDescent="0.3">
      <c r="A2739" s="15">
        <v>10379</v>
      </c>
      <c r="B2739" s="14">
        <v>38549</v>
      </c>
      <c r="C2739" s="14" t="s">
        <v>279</v>
      </c>
      <c r="D2739" s="15" t="s">
        <v>41</v>
      </c>
      <c r="E2739" s="15" t="s">
        <v>42</v>
      </c>
      <c r="F2739" s="15" t="s">
        <v>43</v>
      </c>
      <c r="G2739" s="15" t="s">
        <v>25</v>
      </c>
      <c r="H2739" s="15" t="s">
        <v>32</v>
      </c>
      <c r="I2739" s="15" t="s">
        <v>46</v>
      </c>
      <c r="J2739" s="15" t="s">
        <v>254</v>
      </c>
      <c r="K2739" s="15">
        <v>32</v>
      </c>
      <c r="L2739" s="16">
        <v>90</v>
      </c>
      <c r="M2739" s="17">
        <v>2880</v>
      </c>
      <c r="N2739" s="15" t="s">
        <v>367</v>
      </c>
      <c r="O2739" s="15" t="s">
        <v>19</v>
      </c>
      <c r="Q2739"/>
    </row>
    <row r="2740" spans="1:17" ht="15.6" x14ac:dyDescent="0.3">
      <c r="A2740" s="11">
        <v>10378</v>
      </c>
      <c r="B2740" s="10">
        <v>38549</v>
      </c>
      <c r="C2740" s="10" t="s">
        <v>279</v>
      </c>
      <c r="D2740" s="11" t="s">
        <v>41</v>
      </c>
      <c r="E2740" s="11" t="s">
        <v>42</v>
      </c>
      <c r="F2740" s="11" t="s">
        <v>43</v>
      </c>
      <c r="G2740" s="11" t="s">
        <v>25</v>
      </c>
      <c r="H2740" s="11" t="s">
        <v>68</v>
      </c>
      <c r="I2740" s="11" t="s">
        <v>70</v>
      </c>
      <c r="J2740" s="11" t="s">
        <v>267</v>
      </c>
      <c r="K2740" s="11">
        <v>28</v>
      </c>
      <c r="L2740" s="12">
        <v>50</v>
      </c>
      <c r="M2740" s="13">
        <v>1400</v>
      </c>
      <c r="N2740" s="11" t="s">
        <v>367</v>
      </c>
      <c r="O2740" s="11" t="s">
        <v>19</v>
      </c>
      <c r="Q2740"/>
    </row>
    <row r="2741" spans="1:17" ht="15.6" x14ac:dyDescent="0.3">
      <c r="A2741" s="15">
        <v>10378</v>
      </c>
      <c r="B2741" s="14">
        <v>38549</v>
      </c>
      <c r="C2741" s="14" t="s">
        <v>279</v>
      </c>
      <c r="D2741" s="15" t="s">
        <v>41</v>
      </c>
      <c r="E2741" s="15" t="s">
        <v>42</v>
      </c>
      <c r="F2741" s="15" t="s">
        <v>43</v>
      </c>
      <c r="G2741" s="15" t="s">
        <v>25</v>
      </c>
      <c r="H2741" s="15" t="s">
        <v>32</v>
      </c>
      <c r="I2741" s="15" t="s">
        <v>45</v>
      </c>
      <c r="J2741" s="15" t="s">
        <v>253</v>
      </c>
      <c r="K2741" s="15">
        <v>49</v>
      </c>
      <c r="L2741" s="16">
        <v>35</v>
      </c>
      <c r="M2741" s="17">
        <v>1715</v>
      </c>
      <c r="N2741" s="15" t="s">
        <v>367</v>
      </c>
      <c r="O2741" s="15" t="s">
        <v>19</v>
      </c>
      <c r="Q2741"/>
    </row>
    <row r="2742" spans="1:17" ht="15.6" x14ac:dyDescent="0.3">
      <c r="A2742" s="11">
        <v>10379</v>
      </c>
      <c r="B2742" s="10">
        <v>38549</v>
      </c>
      <c r="C2742" s="10" t="s">
        <v>279</v>
      </c>
      <c r="D2742" s="11" t="s">
        <v>41</v>
      </c>
      <c r="E2742" s="11" t="s">
        <v>42</v>
      </c>
      <c r="F2742" s="11" t="s">
        <v>43</v>
      </c>
      <c r="G2742" s="11" t="s">
        <v>25</v>
      </c>
      <c r="H2742" s="11" t="s">
        <v>32</v>
      </c>
      <c r="I2742" s="11" t="s">
        <v>44</v>
      </c>
      <c r="J2742" s="11" t="s">
        <v>252</v>
      </c>
      <c r="K2742" s="11">
        <v>32</v>
      </c>
      <c r="L2742" s="12">
        <v>55</v>
      </c>
      <c r="M2742" s="13">
        <v>1760</v>
      </c>
      <c r="N2742" s="11" t="s">
        <v>367</v>
      </c>
      <c r="O2742" s="11" t="s">
        <v>19</v>
      </c>
      <c r="Q2742"/>
    </row>
    <row r="2743" spans="1:17" ht="15.6" x14ac:dyDescent="0.3">
      <c r="A2743" s="15">
        <v>10378</v>
      </c>
      <c r="B2743" s="14">
        <v>38549</v>
      </c>
      <c r="C2743" s="14" t="s">
        <v>279</v>
      </c>
      <c r="D2743" s="15" t="s">
        <v>41</v>
      </c>
      <c r="E2743" s="15" t="s">
        <v>42</v>
      </c>
      <c r="F2743" s="15" t="s">
        <v>43</v>
      </c>
      <c r="G2743" s="15" t="s">
        <v>25</v>
      </c>
      <c r="H2743" s="15" t="s">
        <v>32</v>
      </c>
      <c r="I2743" s="15" t="s">
        <v>45</v>
      </c>
      <c r="J2743" s="15" t="s">
        <v>253</v>
      </c>
      <c r="K2743" s="15">
        <v>41</v>
      </c>
      <c r="L2743" s="16">
        <v>35</v>
      </c>
      <c r="M2743" s="17">
        <v>1435</v>
      </c>
      <c r="N2743" s="15" t="s">
        <v>367</v>
      </c>
      <c r="O2743" s="15" t="s">
        <v>19</v>
      </c>
      <c r="Q2743"/>
    </row>
    <row r="2744" spans="1:17" ht="15.6" x14ac:dyDescent="0.3">
      <c r="A2744" s="11">
        <v>10378</v>
      </c>
      <c r="B2744" s="10">
        <v>38549</v>
      </c>
      <c r="C2744" s="10" t="s">
        <v>279</v>
      </c>
      <c r="D2744" s="11" t="s">
        <v>41</v>
      </c>
      <c r="E2744" s="11" t="s">
        <v>42</v>
      </c>
      <c r="F2744" s="11" t="s">
        <v>43</v>
      </c>
      <c r="G2744" s="11" t="s">
        <v>25</v>
      </c>
      <c r="H2744" s="11" t="s">
        <v>32</v>
      </c>
      <c r="I2744" s="11" t="s">
        <v>45</v>
      </c>
      <c r="J2744" s="11" t="s">
        <v>253</v>
      </c>
      <c r="K2744" s="11">
        <v>46</v>
      </c>
      <c r="L2744" s="12">
        <v>35</v>
      </c>
      <c r="M2744" s="13">
        <v>1610</v>
      </c>
      <c r="N2744" s="11" t="s">
        <v>367</v>
      </c>
      <c r="O2744" s="11" t="s">
        <v>19</v>
      </c>
      <c r="Q2744"/>
    </row>
    <row r="2745" spans="1:17" ht="15.6" x14ac:dyDescent="0.3">
      <c r="A2745" s="15">
        <v>10378</v>
      </c>
      <c r="B2745" s="14">
        <v>38549</v>
      </c>
      <c r="C2745" s="14" t="s">
        <v>279</v>
      </c>
      <c r="D2745" s="15" t="s">
        <v>41</v>
      </c>
      <c r="E2745" s="15" t="s">
        <v>42</v>
      </c>
      <c r="F2745" s="15" t="s">
        <v>43</v>
      </c>
      <c r="G2745" s="15" t="s">
        <v>25</v>
      </c>
      <c r="H2745" s="15" t="s">
        <v>32</v>
      </c>
      <c r="I2745" s="15" t="s">
        <v>44</v>
      </c>
      <c r="J2745" s="15" t="s">
        <v>252</v>
      </c>
      <c r="K2745" s="15">
        <v>33</v>
      </c>
      <c r="L2745" s="16">
        <v>55</v>
      </c>
      <c r="M2745" s="17">
        <v>1815</v>
      </c>
      <c r="N2745" s="15" t="s">
        <v>367</v>
      </c>
      <c r="O2745" s="15" t="s">
        <v>19</v>
      </c>
      <c r="Q2745"/>
    </row>
    <row r="2746" spans="1:17" ht="15.6" x14ac:dyDescent="0.3">
      <c r="A2746" s="11">
        <v>10378</v>
      </c>
      <c r="B2746" s="10">
        <v>38549</v>
      </c>
      <c r="C2746" s="10" t="s">
        <v>279</v>
      </c>
      <c r="D2746" s="11" t="s">
        <v>41</v>
      </c>
      <c r="E2746" s="11" t="s">
        <v>42</v>
      </c>
      <c r="F2746" s="11" t="s">
        <v>43</v>
      </c>
      <c r="G2746" s="11" t="s">
        <v>25</v>
      </c>
      <c r="H2746" s="11" t="s">
        <v>32</v>
      </c>
      <c r="I2746" s="11" t="s">
        <v>33</v>
      </c>
      <c r="J2746" s="11" t="s">
        <v>245</v>
      </c>
      <c r="K2746" s="11">
        <v>41</v>
      </c>
      <c r="L2746" s="12">
        <v>85</v>
      </c>
      <c r="M2746" s="13">
        <v>3485</v>
      </c>
      <c r="N2746" s="11" t="s">
        <v>367</v>
      </c>
      <c r="O2746" s="11" t="s">
        <v>19</v>
      </c>
      <c r="Q2746"/>
    </row>
    <row r="2747" spans="1:17" ht="15.6" x14ac:dyDescent="0.3">
      <c r="A2747" s="15">
        <v>10378</v>
      </c>
      <c r="B2747" s="14">
        <v>38550</v>
      </c>
      <c r="C2747" s="14" t="s">
        <v>279</v>
      </c>
      <c r="D2747" s="15" t="s">
        <v>41</v>
      </c>
      <c r="E2747" s="15" t="s">
        <v>42</v>
      </c>
      <c r="F2747" s="15" t="s">
        <v>43</v>
      </c>
      <c r="G2747" s="15" t="s">
        <v>25</v>
      </c>
      <c r="H2747" s="15" t="s">
        <v>68</v>
      </c>
      <c r="I2747" s="15" t="s">
        <v>69</v>
      </c>
      <c r="J2747" s="15" t="s">
        <v>266</v>
      </c>
      <c r="K2747" s="15">
        <v>40</v>
      </c>
      <c r="L2747" s="16">
        <v>25</v>
      </c>
      <c r="M2747" s="17">
        <v>1000</v>
      </c>
      <c r="N2747" s="15" t="s">
        <v>367</v>
      </c>
      <c r="O2747" s="15" t="s">
        <v>19</v>
      </c>
      <c r="Q2747"/>
    </row>
    <row r="2748" spans="1:17" ht="15.6" x14ac:dyDescent="0.3">
      <c r="A2748" s="11">
        <v>10380</v>
      </c>
      <c r="B2748" s="10">
        <v>38550</v>
      </c>
      <c r="C2748" s="10" t="s">
        <v>279</v>
      </c>
      <c r="D2748" s="11" t="s">
        <v>41</v>
      </c>
      <c r="E2748" s="11" t="s">
        <v>42</v>
      </c>
      <c r="F2748" s="11" t="s">
        <v>43</v>
      </c>
      <c r="G2748" s="11" t="s">
        <v>25</v>
      </c>
      <c r="H2748" s="11" t="s">
        <v>17</v>
      </c>
      <c r="I2748" s="11" t="s">
        <v>20</v>
      </c>
      <c r="J2748" s="11" t="s">
        <v>242</v>
      </c>
      <c r="K2748" s="11">
        <v>27</v>
      </c>
      <c r="L2748" s="12">
        <v>48</v>
      </c>
      <c r="M2748" s="13">
        <v>1296</v>
      </c>
      <c r="N2748" s="11" t="s">
        <v>367</v>
      </c>
      <c r="O2748" s="11" t="s">
        <v>19</v>
      </c>
      <c r="Q2748"/>
    </row>
    <row r="2749" spans="1:17" ht="15.6" x14ac:dyDescent="0.3">
      <c r="A2749" s="15">
        <v>10380</v>
      </c>
      <c r="B2749" s="14">
        <v>38550</v>
      </c>
      <c r="C2749" s="14" t="s">
        <v>279</v>
      </c>
      <c r="D2749" s="15" t="s">
        <v>41</v>
      </c>
      <c r="E2749" s="15" t="s">
        <v>42</v>
      </c>
      <c r="F2749" s="15" t="s">
        <v>43</v>
      </c>
      <c r="G2749" s="15" t="s">
        <v>25</v>
      </c>
      <c r="H2749" s="15" t="s">
        <v>17</v>
      </c>
      <c r="I2749" s="15" t="s">
        <v>82</v>
      </c>
      <c r="J2749" s="15" t="s">
        <v>270</v>
      </c>
      <c r="K2749" s="15">
        <v>40</v>
      </c>
      <c r="L2749" s="16">
        <v>75</v>
      </c>
      <c r="M2749" s="17">
        <v>3000</v>
      </c>
      <c r="N2749" s="15" t="s">
        <v>367</v>
      </c>
      <c r="O2749" s="15" t="s">
        <v>19</v>
      </c>
      <c r="Q2749"/>
    </row>
    <row r="2750" spans="1:17" ht="15.6" x14ac:dyDescent="0.3">
      <c r="A2750" s="11">
        <v>10380</v>
      </c>
      <c r="B2750" s="10">
        <v>38550</v>
      </c>
      <c r="C2750" s="10" t="s">
        <v>279</v>
      </c>
      <c r="D2750" s="11" t="s">
        <v>41</v>
      </c>
      <c r="E2750" s="11" t="s">
        <v>42</v>
      </c>
      <c r="F2750" s="11" t="s">
        <v>43</v>
      </c>
      <c r="G2750" s="11" t="s">
        <v>25</v>
      </c>
      <c r="H2750" s="11" t="s">
        <v>17</v>
      </c>
      <c r="I2750" s="11" t="s">
        <v>20</v>
      </c>
      <c r="J2750" s="11" t="s">
        <v>242</v>
      </c>
      <c r="K2750" s="11">
        <v>21</v>
      </c>
      <c r="L2750" s="12">
        <v>48</v>
      </c>
      <c r="M2750" s="13">
        <v>1008</v>
      </c>
      <c r="N2750" s="11" t="s">
        <v>367</v>
      </c>
      <c r="O2750" s="11" t="s">
        <v>19</v>
      </c>
      <c r="Q2750"/>
    </row>
    <row r="2751" spans="1:17" ht="15.6" x14ac:dyDescent="0.3">
      <c r="A2751" s="15">
        <v>10380</v>
      </c>
      <c r="B2751" s="14">
        <v>38550</v>
      </c>
      <c r="C2751" s="14" t="s">
        <v>279</v>
      </c>
      <c r="D2751" s="15" t="s">
        <v>41</v>
      </c>
      <c r="E2751" s="15" t="s">
        <v>42</v>
      </c>
      <c r="F2751" s="15" t="s">
        <v>43</v>
      </c>
      <c r="G2751" s="15" t="s">
        <v>25</v>
      </c>
      <c r="H2751" s="15" t="s">
        <v>17</v>
      </c>
      <c r="I2751" s="15" t="s">
        <v>82</v>
      </c>
      <c r="J2751" s="15" t="s">
        <v>270</v>
      </c>
      <c r="K2751" s="15">
        <v>32</v>
      </c>
      <c r="L2751" s="16">
        <v>75</v>
      </c>
      <c r="M2751" s="17">
        <v>2400</v>
      </c>
      <c r="N2751" s="15" t="s">
        <v>367</v>
      </c>
      <c r="O2751" s="15" t="s">
        <v>19</v>
      </c>
      <c r="Q2751"/>
    </row>
    <row r="2752" spans="1:17" ht="15.6" x14ac:dyDescent="0.3">
      <c r="A2752" s="11">
        <v>10380</v>
      </c>
      <c r="B2752" s="10">
        <v>38550</v>
      </c>
      <c r="C2752" s="10" t="s">
        <v>279</v>
      </c>
      <c r="D2752" s="11" t="s">
        <v>41</v>
      </c>
      <c r="E2752" s="11" t="s">
        <v>42</v>
      </c>
      <c r="F2752" s="11" t="s">
        <v>43</v>
      </c>
      <c r="G2752" s="11" t="s">
        <v>25</v>
      </c>
      <c r="H2752" s="11" t="s">
        <v>32</v>
      </c>
      <c r="I2752" s="11" t="s">
        <v>44</v>
      </c>
      <c r="J2752" s="11" t="s">
        <v>252</v>
      </c>
      <c r="K2752" s="11">
        <v>24</v>
      </c>
      <c r="L2752" s="12">
        <v>55</v>
      </c>
      <c r="M2752" s="13">
        <v>1320</v>
      </c>
      <c r="N2752" s="11" t="s">
        <v>367</v>
      </c>
      <c r="O2752" s="11" t="s">
        <v>19</v>
      </c>
      <c r="Q2752"/>
    </row>
    <row r="2753" spans="1:17" ht="15.6" x14ac:dyDescent="0.3">
      <c r="A2753" s="15">
        <v>10380</v>
      </c>
      <c r="B2753" s="14">
        <v>38550</v>
      </c>
      <c r="C2753" s="14" t="s">
        <v>279</v>
      </c>
      <c r="D2753" s="15" t="s">
        <v>41</v>
      </c>
      <c r="E2753" s="15" t="s">
        <v>42</v>
      </c>
      <c r="F2753" s="15" t="s">
        <v>43</v>
      </c>
      <c r="G2753" s="15" t="s">
        <v>25</v>
      </c>
      <c r="H2753" s="15" t="s">
        <v>32</v>
      </c>
      <c r="I2753" s="15" t="s">
        <v>45</v>
      </c>
      <c r="J2753" s="15" t="s">
        <v>253</v>
      </c>
      <c r="K2753" s="15">
        <v>34</v>
      </c>
      <c r="L2753" s="16">
        <v>35</v>
      </c>
      <c r="M2753" s="17">
        <v>1190</v>
      </c>
      <c r="N2753" s="15" t="s">
        <v>367</v>
      </c>
      <c r="O2753" s="15" t="s">
        <v>19</v>
      </c>
      <c r="Q2753"/>
    </row>
    <row r="2754" spans="1:17" ht="15.6" x14ac:dyDescent="0.3">
      <c r="A2754" s="11">
        <v>10380</v>
      </c>
      <c r="B2754" s="10">
        <v>38550</v>
      </c>
      <c r="C2754" s="10" t="s">
        <v>279</v>
      </c>
      <c r="D2754" s="11" t="s">
        <v>41</v>
      </c>
      <c r="E2754" s="11" t="s">
        <v>42</v>
      </c>
      <c r="F2754" s="11" t="s">
        <v>43</v>
      </c>
      <c r="G2754" s="11" t="s">
        <v>25</v>
      </c>
      <c r="H2754" s="11" t="s">
        <v>17</v>
      </c>
      <c r="I2754" s="11" t="s">
        <v>26</v>
      </c>
      <c r="J2754" s="11" t="s">
        <v>244</v>
      </c>
      <c r="K2754" s="11">
        <v>32</v>
      </c>
      <c r="L2754" s="12">
        <v>60</v>
      </c>
      <c r="M2754" s="13">
        <v>1920</v>
      </c>
      <c r="N2754" s="11" t="s">
        <v>367</v>
      </c>
      <c r="O2754" s="11" t="s">
        <v>19</v>
      </c>
      <c r="Q2754"/>
    </row>
    <row r="2755" spans="1:17" ht="15.6" x14ac:dyDescent="0.3">
      <c r="A2755" s="15">
        <v>10380</v>
      </c>
      <c r="B2755" s="14">
        <v>38550</v>
      </c>
      <c r="C2755" s="14" t="s">
        <v>279</v>
      </c>
      <c r="D2755" s="15" t="s">
        <v>41</v>
      </c>
      <c r="E2755" s="15" t="s">
        <v>42</v>
      </c>
      <c r="F2755" s="15" t="s">
        <v>43</v>
      </c>
      <c r="G2755" s="15" t="s">
        <v>25</v>
      </c>
      <c r="H2755" s="15" t="s">
        <v>17</v>
      </c>
      <c r="I2755" s="15" t="s">
        <v>26</v>
      </c>
      <c r="J2755" s="15" t="s">
        <v>244</v>
      </c>
      <c r="K2755" s="15">
        <v>27</v>
      </c>
      <c r="L2755" s="16">
        <v>60</v>
      </c>
      <c r="M2755" s="17">
        <v>1620</v>
      </c>
      <c r="N2755" s="15" t="s">
        <v>367</v>
      </c>
      <c r="O2755" s="15" t="s">
        <v>19</v>
      </c>
      <c r="Q2755"/>
    </row>
    <row r="2756" spans="1:17" ht="15.6" x14ac:dyDescent="0.3">
      <c r="A2756" s="11">
        <v>10380</v>
      </c>
      <c r="B2756" s="10">
        <v>38550</v>
      </c>
      <c r="C2756" s="10" t="s">
        <v>279</v>
      </c>
      <c r="D2756" s="11" t="s">
        <v>41</v>
      </c>
      <c r="E2756" s="11" t="s">
        <v>42</v>
      </c>
      <c r="F2756" s="11" t="s">
        <v>43</v>
      </c>
      <c r="G2756" s="11" t="s">
        <v>25</v>
      </c>
      <c r="H2756" s="11" t="s">
        <v>32</v>
      </c>
      <c r="I2756" s="11" t="s">
        <v>46</v>
      </c>
      <c r="J2756" s="11" t="s">
        <v>254</v>
      </c>
      <c r="K2756" s="11">
        <v>36</v>
      </c>
      <c r="L2756" s="12">
        <v>90</v>
      </c>
      <c r="M2756" s="13">
        <v>3240</v>
      </c>
      <c r="N2756" s="11" t="s">
        <v>367</v>
      </c>
      <c r="O2756" s="11" t="s">
        <v>19</v>
      </c>
      <c r="Q2756"/>
    </row>
    <row r="2757" spans="1:17" ht="15.6" x14ac:dyDescent="0.3">
      <c r="A2757" s="15">
        <v>10380</v>
      </c>
      <c r="B2757" s="14">
        <v>38550</v>
      </c>
      <c r="C2757" s="14" t="s">
        <v>279</v>
      </c>
      <c r="D2757" s="15" t="s">
        <v>41</v>
      </c>
      <c r="E2757" s="15" t="s">
        <v>42</v>
      </c>
      <c r="F2757" s="15" t="s">
        <v>43</v>
      </c>
      <c r="G2757" s="15" t="s">
        <v>25</v>
      </c>
      <c r="H2757" s="15" t="s">
        <v>32</v>
      </c>
      <c r="I2757" s="15" t="s">
        <v>33</v>
      </c>
      <c r="J2757" s="15" t="s">
        <v>245</v>
      </c>
      <c r="K2757" s="15">
        <v>44</v>
      </c>
      <c r="L2757" s="16">
        <v>85</v>
      </c>
      <c r="M2757" s="17">
        <v>3740</v>
      </c>
      <c r="N2757" s="15" t="s">
        <v>367</v>
      </c>
      <c r="O2757" s="15" t="s">
        <v>19</v>
      </c>
      <c r="Q2757"/>
    </row>
    <row r="2758" spans="1:17" ht="15.6" x14ac:dyDescent="0.3">
      <c r="A2758" s="11">
        <v>10380</v>
      </c>
      <c r="B2758" s="10">
        <v>38550</v>
      </c>
      <c r="C2758" s="10" t="s">
        <v>279</v>
      </c>
      <c r="D2758" s="11" t="s">
        <v>41</v>
      </c>
      <c r="E2758" s="11" t="s">
        <v>42</v>
      </c>
      <c r="F2758" s="11" t="s">
        <v>43</v>
      </c>
      <c r="G2758" s="11" t="s">
        <v>25</v>
      </c>
      <c r="H2758" s="11" t="s">
        <v>32</v>
      </c>
      <c r="I2758" s="11" t="s">
        <v>33</v>
      </c>
      <c r="J2758" s="11" t="s">
        <v>245</v>
      </c>
      <c r="K2758" s="11">
        <v>44</v>
      </c>
      <c r="L2758" s="12">
        <v>85</v>
      </c>
      <c r="M2758" s="13">
        <v>3740</v>
      </c>
      <c r="N2758" s="11" t="s">
        <v>367</v>
      </c>
      <c r="O2758" s="11" t="s">
        <v>19</v>
      </c>
      <c r="Q2758"/>
    </row>
    <row r="2759" spans="1:17" ht="15.6" x14ac:dyDescent="0.3">
      <c r="A2759" s="15">
        <v>10380</v>
      </c>
      <c r="B2759" s="14">
        <v>38550</v>
      </c>
      <c r="C2759" s="14" t="s">
        <v>279</v>
      </c>
      <c r="D2759" s="15" t="s">
        <v>41</v>
      </c>
      <c r="E2759" s="15" t="s">
        <v>42</v>
      </c>
      <c r="F2759" s="15" t="s">
        <v>43</v>
      </c>
      <c r="G2759" s="15" t="s">
        <v>25</v>
      </c>
      <c r="H2759" s="15" t="s">
        <v>32</v>
      </c>
      <c r="I2759" s="15" t="s">
        <v>34</v>
      </c>
      <c r="J2759" s="15" t="s">
        <v>246</v>
      </c>
      <c r="K2759" s="15">
        <v>34</v>
      </c>
      <c r="L2759" s="16">
        <v>80</v>
      </c>
      <c r="M2759" s="17">
        <v>2720</v>
      </c>
      <c r="N2759" s="15" t="s">
        <v>367</v>
      </c>
      <c r="O2759" s="15" t="s">
        <v>19</v>
      </c>
      <c r="Q2759"/>
    </row>
    <row r="2760" spans="1:17" ht="15.6" x14ac:dyDescent="0.3">
      <c r="A2760" s="11">
        <v>10380</v>
      </c>
      <c r="B2760" s="10">
        <v>38550</v>
      </c>
      <c r="C2760" s="10" t="s">
        <v>279</v>
      </c>
      <c r="D2760" s="11" t="s">
        <v>41</v>
      </c>
      <c r="E2760" s="11" t="s">
        <v>42</v>
      </c>
      <c r="F2760" s="11" t="s">
        <v>43</v>
      </c>
      <c r="G2760" s="11" t="s">
        <v>25</v>
      </c>
      <c r="H2760" s="11" t="s">
        <v>17</v>
      </c>
      <c r="I2760" s="11" t="s">
        <v>20</v>
      </c>
      <c r="J2760" s="11" t="s">
        <v>242</v>
      </c>
      <c r="K2760" s="11">
        <v>43</v>
      </c>
      <c r="L2760" s="12">
        <v>48</v>
      </c>
      <c r="M2760" s="13">
        <v>2064</v>
      </c>
      <c r="N2760" s="11" t="s">
        <v>367</v>
      </c>
      <c r="O2760" s="11" t="s">
        <v>19</v>
      </c>
      <c r="Q2760"/>
    </row>
    <row r="2761" spans="1:17" ht="15.6" x14ac:dyDescent="0.3">
      <c r="A2761" s="15">
        <v>10381</v>
      </c>
      <c r="B2761" s="14">
        <v>38550</v>
      </c>
      <c r="C2761" s="14" t="s">
        <v>321</v>
      </c>
      <c r="D2761" s="15" t="s">
        <v>156</v>
      </c>
      <c r="E2761" s="15" t="s">
        <v>87</v>
      </c>
      <c r="F2761" s="15" t="s">
        <v>15</v>
      </c>
      <c r="G2761" s="15" t="s">
        <v>16</v>
      </c>
      <c r="H2761" s="15" t="s">
        <v>32</v>
      </c>
      <c r="I2761" s="15" t="s">
        <v>33</v>
      </c>
      <c r="J2761" s="15" t="s">
        <v>245</v>
      </c>
      <c r="K2761" s="15">
        <v>36</v>
      </c>
      <c r="L2761" s="16">
        <v>85</v>
      </c>
      <c r="M2761" s="17">
        <v>3060</v>
      </c>
      <c r="N2761" s="15" t="s">
        <v>367</v>
      </c>
      <c r="O2761" s="15" t="s">
        <v>19</v>
      </c>
      <c r="Q2761"/>
    </row>
    <row r="2762" spans="1:17" ht="15.6" x14ac:dyDescent="0.3">
      <c r="A2762" s="11">
        <v>10381</v>
      </c>
      <c r="B2762" s="10">
        <v>38550</v>
      </c>
      <c r="C2762" s="10" t="s">
        <v>321</v>
      </c>
      <c r="D2762" s="11" t="s">
        <v>156</v>
      </c>
      <c r="E2762" s="11" t="s">
        <v>87</v>
      </c>
      <c r="F2762" s="11" t="s">
        <v>15</v>
      </c>
      <c r="G2762" s="11" t="s">
        <v>16</v>
      </c>
      <c r="H2762" s="11" t="s">
        <v>32</v>
      </c>
      <c r="I2762" s="11" t="s">
        <v>33</v>
      </c>
      <c r="J2762" s="11" t="s">
        <v>245</v>
      </c>
      <c r="K2762" s="11">
        <v>37</v>
      </c>
      <c r="L2762" s="12">
        <v>85</v>
      </c>
      <c r="M2762" s="13">
        <v>3145</v>
      </c>
      <c r="N2762" s="11" t="s">
        <v>367</v>
      </c>
      <c r="O2762" s="11" t="s">
        <v>19</v>
      </c>
      <c r="Q2762"/>
    </row>
    <row r="2763" spans="1:17" ht="15.6" x14ac:dyDescent="0.3">
      <c r="A2763" s="15">
        <v>10382</v>
      </c>
      <c r="B2763" s="14">
        <v>38550</v>
      </c>
      <c r="C2763" s="14" t="s">
        <v>288</v>
      </c>
      <c r="D2763" s="15" t="s">
        <v>88</v>
      </c>
      <c r="E2763" s="15" t="s">
        <v>89</v>
      </c>
      <c r="F2763" s="15" t="s">
        <v>15</v>
      </c>
      <c r="G2763" s="15" t="s">
        <v>16</v>
      </c>
      <c r="H2763" s="15" t="s">
        <v>32</v>
      </c>
      <c r="I2763" s="15" t="s">
        <v>46</v>
      </c>
      <c r="J2763" s="15" t="s">
        <v>254</v>
      </c>
      <c r="K2763" s="15">
        <v>34</v>
      </c>
      <c r="L2763" s="16">
        <v>90</v>
      </c>
      <c r="M2763" s="17">
        <v>3060</v>
      </c>
      <c r="N2763" s="15" t="s">
        <v>367</v>
      </c>
      <c r="O2763" s="15" t="s">
        <v>19</v>
      </c>
      <c r="Q2763"/>
    </row>
    <row r="2764" spans="1:17" ht="15.6" x14ac:dyDescent="0.3">
      <c r="A2764" s="11">
        <v>10381</v>
      </c>
      <c r="B2764" s="10">
        <v>38550</v>
      </c>
      <c r="C2764" s="10" t="s">
        <v>321</v>
      </c>
      <c r="D2764" s="11" t="s">
        <v>156</v>
      </c>
      <c r="E2764" s="11" t="s">
        <v>87</v>
      </c>
      <c r="F2764" s="11" t="s">
        <v>15</v>
      </c>
      <c r="G2764" s="11" t="s">
        <v>16</v>
      </c>
      <c r="H2764" s="11" t="s">
        <v>35</v>
      </c>
      <c r="I2764" s="11" t="s">
        <v>38</v>
      </c>
      <c r="J2764" s="11" t="s">
        <v>249</v>
      </c>
      <c r="K2764" s="11">
        <v>20</v>
      </c>
      <c r="L2764" s="12">
        <v>20</v>
      </c>
      <c r="M2764" s="13">
        <v>400</v>
      </c>
      <c r="N2764" s="11" t="s">
        <v>367</v>
      </c>
      <c r="O2764" s="11" t="s">
        <v>19</v>
      </c>
      <c r="Q2764"/>
    </row>
    <row r="2765" spans="1:17" ht="15.6" x14ac:dyDescent="0.3">
      <c r="A2765" s="15">
        <v>10382</v>
      </c>
      <c r="B2765" s="14">
        <v>38550</v>
      </c>
      <c r="C2765" s="14" t="s">
        <v>288</v>
      </c>
      <c r="D2765" s="15" t="s">
        <v>88</v>
      </c>
      <c r="E2765" s="15" t="s">
        <v>89</v>
      </c>
      <c r="F2765" s="15" t="s">
        <v>15</v>
      </c>
      <c r="G2765" s="15" t="s">
        <v>16</v>
      </c>
      <c r="H2765" s="15" t="s">
        <v>32</v>
      </c>
      <c r="I2765" s="15" t="s">
        <v>44</v>
      </c>
      <c r="J2765" s="15" t="s">
        <v>252</v>
      </c>
      <c r="K2765" s="15">
        <v>37</v>
      </c>
      <c r="L2765" s="16">
        <v>55</v>
      </c>
      <c r="M2765" s="17">
        <v>2035</v>
      </c>
      <c r="N2765" s="15" t="s">
        <v>367</v>
      </c>
      <c r="O2765" s="15" t="s">
        <v>19</v>
      </c>
      <c r="Q2765"/>
    </row>
    <row r="2766" spans="1:17" ht="15.6" x14ac:dyDescent="0.3">
      <c r="A2766" s="11">
        <v>10382</v>
      </c>
      <c r="B2766" s="10">
        <v>38550</v>
      </c>
      <c r="C2766" s="10" t="s">
        <v>288</v>
      </c>
      <c r="D2766" s="11" t="s">
        <v>88</v>
      </c>
      <c r="E2766" s="11" t="s">
        <v>89</v>
      </c>
      <c r="F2766" s="11" t="s">
        <v>15</v>
      </c>
      <c r="G2766" s="11" t="s">
        <v>16</v>
      </c>
      <c r="H2766" s="11" t="s">
        <v>32</v>
      </c>
      <c r="I2766" s="11" t="s">
        <v>34</v>
      </c>
      <c r="J2766" s="11" t="s">
        <v>246</v>
      </c>
      <c r="K2766" s="11">
        <v>34</v>
      </c>
      <c r="L2766" s="12">
        <v>80</v>
      </c>
      <c r="M2766" s="13">
        <v>2720</v>
      </c>
      <c r="N2766" s="11" t="s">
        <v>367</v>
      </c>
      <c r="O2766" s="11" t="s">
        <v>19</v>
      </c>
      <c r="Q2766"/>
    </row>
    <row r="2767" spans="1:17" ht="15.6" x14ac:dyDescent="0.3">
      <c r="A2767" s="15">
        <v>10382</v>
      </c>
      <c r="B2767" s="14">
        <v>38550</v>
      </c>
      <c r="C2767" s="14" t="s">
        <v>288</v>
      </c>
      <c r="D2767" s="15" t="s">
        <v>88</v>
      </c>
      <c r="E2767" s="15" t="s">
        <v>89</v>
      </c>
      <c r="F2767" s="15" t="s">
        <v>15</v>
      </c>
      <c r="G2767" s="15" t="s">
        <v>16</v>
      </c>
      <c r="H2767" s="15" t="s">
        <v>35</v>
      </c>
      <c r="I2767" s="15" t="s">
        <v>39</v>
      </c>
      <c r="J2767" s="15" t="s">
        <v>250</v>
      </c>
      <c r="K2767" s="15">
        <v>32</v>
      </c>
      <c r="L2767" s="16">
        <v>20</v>
      </c>
      <c r="M2767" s="17">
        <v>640</v>
      </c>
      <c r="N2767" s="15" t="s">
        <v>367</v>
      </c>
      <c r="O2767" s="15" t="s">
        <v>19</v>
      </c>
      <c r="Q2767"/>
    </row>
    <row r="2768" spans="1:17" ht="15.6" x14ac:dyDescent="0.3">
      <c r="A2768" s="11">
        <v>10381</v>
      </c>
      <c r="B2768" s="10">
        <v>38550</v>
      </c>
      <c r="C2768" s="10" t="s">
        <v>321</v>
      </c>
      <c r="D2768" s="11" t="s">
        <v>156</v>
      </c>
      <c r="E2768" s="11" t="s">
        <v>87</v>
      </c>
      <c r="F2768" s="11" t="s">
        <v>15</v>
      </c>
      <c r="G2768" s="11" t="s">
        <v>16</v>
      </c>
      <c r="H2768" s="11" t="s">
        <v>35</v>
      </c>
      <c r="I2768" s="11" t="s">
        <v>37</v>
      </c>
      <c r="J2768" s="11" t="s">
        <v>248</v>
      </c>
      <c r="K2768" s="11">
        <v>48</v>
      </c>
      <c r="L2768" s="12">
        <v>30</v>
      </c>
      <c r="M2768" s="13">
        <v>1440</v>
      </c>
      <c r="N2768" s="11" t="s">
        <v>367</v>
      </c>
      <c r="O2768" s="11" t="s">
        <v>19</v>
      </c>
      <c r="Q2768"/>
    </row>
    <row r="2769" spans="1:17" ht="15.6" x14ac:dyDescent="0.3">
      <c r="A2769" s="15">
        <v>10381</v>
      </c>
      <c r="B2769" s="14">
        <v>38555</v>
      </c>
      <c r="C2769" s="14" t="s">
        <v>321</v>
      </c>
      <c r="D2769" s="15" t="s">
        <v>156</v>
      </c>
      <c r="E2769" s="15" t="s">
        <v>87</v>
      </c>
      <c r="F2769" s="15" t="s">
        <v>15</v>
      </c>
      <c r="G2769" s="15" t="s">
        <v>16</v>
      </c>
      <c r="H2769" s="15" t="s">
        <v>17</v>
      </c>
      <c r="I2769" s="15" t="s">
        <v>20</v>
      </c>
      <c r="J2769" s="15" t="s">
        <v>242</v>
      </c>
      <c r="K2769" s="15">
        <v>25</v>
      </c>
      <c r="L2769" s="16">
        <v>48</v>
      </c>
      <c r="M2769" s="17">
        <v>1200</v>
      </c>
      <c r="N2769" s="15" t="s">
        <v>367</v>
      </c>
      <c r="O2769" s="15" t="s">
        <v>19</v>
      </c>
      <c r="Q2769"/>
    </row>
    <row r="2770" spans="1:17" ht="15.6" x14ac:dyDescent="0.3">
      <c r="A2770" s="11">
        <v>10382</v>
      </c>
      <c r="B2770" s="10">
        <v>38555</v>
      </c>
      <c r="C2770" s="10" t="s">
        <v>288</v>
      </c>
      <c r="D2770" s="11" t="s">
        <v>88</v>
      </c>
      <c r="E2770" s="11" t="s">
        <v>89</v>
      </c>
      <c r="F2770" s="11" t="s">
        <v>15</v>
      </c>
      <c r="G2770" s="11" t="s">
        <v>16</v>
      </c>
      <c r="H2770" s="11" t="s">
        <v>32</v>
      </c>
      <c r="I2770" s="11" t="s">
        <v>33</v>
      </c>
      <c r="J2770" s="11" t="s">
        <v>245</v>
      </c>
      <c r="K2770" s="11">
        <v>25</v>
      </c>
      <c r="L2770" s="12">
        <v>85</v>
      </c>
      <c r="M2770" s="13">
        <v>2125</v>
      </c>
      <c r="N2770" s="11" t="s">
        <v>367</v>
      </c>
      <c r="O2770" s="11" t="s">
        <v>19</v>
      </c>
      <c r="Q2770"/>
    </row>
    <row r="2771" spans="1:17" ht="15.6" x14ac:dyDescent="0.3">
      <c r="A2771" s="15">
        <v>10381</v>
      </c>
      <c r="B2771" s="14">
        <v>38555</v>
      </c>
      <c r="C2771" s="14" t="s">
        <v>321</v>
      </c>
      <c r="D2771" s="15" t="s">
        <v>156</v>
      </c>
      <c r="E2771" s="15" t="s">
        <v>87</v>
      </c>
      <c r="F2771" s="15" t="s">
        <v>15</v>
      </c>
      <c r="G2771" s="15" t="s">
        <v>16</v>
      </c>
      <c r="H2771" s="15" t="s">
        <v>35</v>
      </c>
      <c r="I2771" s="15" t="s">
        <v>39</v>
      </c>
      <c r="J2771" s="15" t="s">
        <v>250</v>
      </c>
      <c r="K2771" s="15">
        <v>35</v>
      </c>
      <c r="L2771" s="16">
        <v>20</v>
      </c>
      <c r="M2771" s="17">
        <v>700</v>
      </c>
      <c r="N2771" s="15" t="s">
        <v>367</v>
      </c>
      <c r="O2771" s="15" t="s">
        <v>19</v>
      </c>
      <c r="Q2771"/>
    </row>
    <row r="2772" spans="1:17" ht="15.6" x14ac:dyDescent="0.3">
      <c r="A2772" s="11">
        <v>10381</v>
      </c>
      <c r="B2772" s="10">
        <v>38555</v>
      </c>
      <c r="C2772" s="10" t="s">
        <v>321</v>
      </c>
      <c r="D2772" s="11" t="s">
        <v>156</v>
      </c>
      <c r="E2772" s="11" t="s">
        <v>87</v>
      </c>
      <c r="F2772" s="11" t="s">
        <v>15</v>
      </c>
      <c r="G2772" s="11" t="s">
        <v>16</v>
      </c>
      <c r="H2772" s="11" t="s">
        <v>17</v>
      </c>
      <c r="I2772" s="11" t="s">
        <v>20</v>
      </c>
      <c r="J2772" s="11" t="s">
        <v>242</v>
      </c>
      <c r="K2772" s="11">
        <v>41</v>
      </c>
      <c r="L2772" s="12">
        <v>48</v>
      </c>
      <c r="M2772" s="13">
        <v>1968</v>
      </c>
      <c r="N2772" s="11" t="s">
        <v>367</v>
      </c>
      <c r="O2772" s="11" t="s">
        <v>19</v>
      </c>
      <c r="Q2772"/>
    </row>
    <row r="2773" spans="1:17" ht="15.6" x14ac:dyDescent="0.3">
      <c r="A2773" s="15">
        <v>10381</v>
      </c>
      <c r="B2773" s="14">
        <v>38555</v>
      </c>
      <c r="C2773" s="14" t="s">
        <v>321</v>
      </c>
      <c r="D2773" s="15" t="s">
        <v>156</v>
      </c>
      <c r="E2773" s="15" t="s">
        <v>87</v>
      </c>
      <c r="F2773" s="15" t="s">
        <v>15</v>
      </c>
      <c r="G2773" s="15" t="s">
        <v>16</v>
      </c>
      <c r="H2773" s="15" t="s">
        <v>17</v>
      </c>
      <c r="I2773" s="15" t="s">
        <v>26</v>
      </c>
      <c r="J2773" s="15" t="s">
        <v>244</v>
      </c>
      <c r="K2773" s="15">
        <v>40</v>
      </c>
      <c r="L2773" s="16">
        <v>60</v>
      </c>
      <c r="M2773" s="17">
        <v>2400</v>
      </c>
      <c r="N2773" s="15" t="s">
        <v>367</v>
      </c>
      <c r="O2773" s="15" t="s">
        <v>19</v>
      </c>
      <c r="Q2773"/>
    </row>
    <row r="2774" spans="1:17" ht="15.6" x14ac:dyDescent="0.3">
      <c r="A2774" s="11">
        <v>10381</v>
      </c>
      <c r="B2774" s="10">
        <v>38555</v>
      </c>
      <c r="C2774" s="10" t="s">
        <v>321</v>
      </c>
      <c r="D2774" s="11" t="s">
        <v>156</v>
      </c>
      <c r="E2774" s="11" t="s">
        <v>87</v>
      </c>
      <c r="F2774" s="11" t="s">
        <v>15</v>
      </c>
      <c r="G2774" s="11" t="s">
        <v>16</v>
      </c>
      <c r="H2774" s="11" t="s">
        <v>17</v>
      </c>
      <c r="I2774" s="11" t="s">
        <v>18</v>
      </c>
      <c r="J2774" s="11" t="s">
        <v>241</v>
      </c>
      <c r="K2774" s="11">
        <v>35</v>
      </c>
      <c r="L2774" s="12">
        <v>30</v>
      </c>
      <c r="M2774" s="13">
        <v>1050</v>
      </c>
      <c r="N2774" s="11" t="s">
        <v>367</v>
      </c>
      <c r="O2774" s="11" t="s">
        <v>19</v>
      </c>
      <c r="Q2774"/>
    </row>
    <row r="2775" spans="1:17" ht="15.6" x14ac:dyDescent="0.3">
      <c r="A2775" s="15">
        <v>10382</v>
      </c>
      <c r="B2775" s="14">
        <v>38555</v>
      </c>
      <c r="C2775" s="14" t="s">
        <v>288</v>
      </c>
      <c r="D2775" s="15" t="s">
        <v>88</v>
      </c>
      <c r="E2775" s="15" t="s">
        <v>89</v>
      </c>
      <c r="F2775" s="15" t="s">
        <v>15</v>
      </c>
      <c r="G2775" s="15" t="s">
        <v>16</v>
      </c>
      <c r="H2775" s="15" t="s">
        <v>17</v>
      </c>
      <c r="I2775" s="15" t="s">
        <v>82</v>
      </c>
      <c r="J2775" s="15" t="s">
        <v>270</v>
      </c>
      <c r="K2775" s="15">
        <v>50</v>
      </c>
      <c r="L2775" s="16">
        <v>75</v>
      </c>
      <c r="M2775" s="17">
        <v>3750</v>
      </c>
      <c r="N2775" s="15" t="s">
        <v>368</v>
      </c>
      <c r="O2775" s="15" t="s">
        <v>19</v>
      </c>
      <c r="Q2775"/>
    </row>
    <row r="2776" spans="1:17" ht="15.6" x14ac:dyDescent="0.3">
      <c r="A2776" s="11">
        <v>10382</v>
      </c>
      <c r="B2776" s="10">
        <v>38555</v>
      </c>
      <c r="C2776" s="10" t="s">
        <v>288</v>
      </c>
      <c r="D2776" s="11" t="s">
        <v>88</v>
      </c>
      <c r="E2776" s="11" t="s">
        <v>89</v>
      </c>
      <c r="F2776" s="11" t="s">
        <v>15</v>
      </c>
      <c r="G2776" s="11" t="s">
        <v>16</v>
      </c>
      <c r="H2776" s="11" t="s">
        <v>35</v>
      </c>
      <c r="I2776" s="11" t="s">
        <v>40</v>
      </c>
      <c r="J2776" s="11" t="s">
        <v>251</v>
      </c>
      <c r="K2776" s="11">
        <v>39</v>
      </c>
      <c r="L2776" s="12">
        <v>25</v>
      </c>
      <c r="M2776" s="13">
        <v>975</v>
      </c>
      <c r="N2776" s="11" t="s">
        <v>367</v>
      </c>
      <c r="O2776" s="11" t="s">
        <v>19</v>
      </c>
      <c r="Q2776"/>
    </row>
    <row r="2777" spans="1:17" ht="15.6" x14ac:dyDescent="0.3">
      <c r="A2777" s="15">
        <v>10382</v>
      </c>
      <c r="B2777" s="14">
        <v>38555</v>
      </c>
      <c r="C2777" s="14" t="s">
        <v>288</v>
      </c>
      <c r="D2777" s="15" t="s">
        <v>88</v>
      </c>
      <c r="E2777" s="15" t="s">
        <v>89</v>
      </c>
      <c r="F2777" s="15" t="s">
        <v>15</v>
      </c>
      <c r="G2777" s="15" t="s">
        <v>16</v>
      </c>
      <c r="H2777" s="15" t="s">
        <v>17</v>
      </c>
      <c r="I2777" s="15" t="s">
        <v>20</v>
      </c>
      <c r="J2777" s="15" t="s">
        <v>242</v>
      </c>
      <c r="K2777" s="15">
        <v>39</v>
      </c>
      <c r="L2777" s="16">
        <v>48</v>
      </c>
      <c r="M2777" s="17">
        <v>1872</v>
      </c>
      <c r="N2777" s="15" t="s">
        <v>367</v>
      </c>
      <c r="O2777" s="15" t="s">
        <v>19</v>
      </c>
      <c r="Q2777"/>
    </row>
    <row r="2778" spans="1:17" ht="15.6" x14ac:dyDescent="0.3">
      <c r="A2778" s="11">
        <v>10382</v>
      </c>
      <c r="B2778" s="10">
        <v>38555</v>
      </c>
      <c r="C2778" s="10" t="s">
        <v>288</v>
      </c>
      <c r="D2778" s="11" t="s">
        <v>88</v>
      </c>
      <c r="E2778" s="11" t="s">
        <v>89</v>
      </c>
      <c r="F2778" s="11" t="s">
        <v>15</v>
      </c>
      <c r="G2778" s="11" t="s">
        <v>16</v>
      </c>
      <c r="H2778" s="11" t="s">
        <v>35</v>
      </c>
      <c r="I2778" s="11" t="s">
        <v>38</v>
      </c>
      <c r="J2778" s="11" t="s">
        <v>249</v>
      </c>
      <c r="K2778" s="11">
        <v>20</v>
      </c>
      <c r="L2778" s="12">
        <v>20</v>
      </c>
      <c r="M2778" s="13">
        <v>400</v>
      </c>
      <c r="N2778" s="11" t="s">
        <v>367</v>
      </c>
      <c r="O2778" s="11" t="s">
        <v>19</v>
      </c>
      <c r="Q2778"/>
    </row>
    <row r="2779" spans="1:17" ht="15.6" x14ac:dyDescent="0.3">
      <c r="A2779" s="15">
        <v>10382</v>
      </c>
      <c r="B2779" s="14">
        <v>38555</v>
      </c>
      <c r="C2779" s="14" t="s">
        <v>288</v>
      </c>
      <c r="D2779" s="15" t="s">
        <v>88</v>
      </c>
      <c r="E2779" s="15" t="s">
        <v>89</v>
      </c>
      <c r="F2779" s="15" t="s">
        <v>15</v>
      </c>
      <c r="G2779" s="15" t="s">
        <v>16</v>
      </c>
      <c r="H2779" s="15" t="s">
        <v>17</v>
      </c>
      <c r="I2779" s="15" t="s">
        <v>26</v>
      </c>
      <c r="J2779" s="15" t="s">
        <v>244</v>
      </c>
      <c r="K2779" s="15">
        <v>33</v>
      </c>
      <c r="L2779" s="16">
        <v>60</v>
      </c>
      <c r="M2779" s="17">
        <v>1980</v>
      </c>
      <c r="N2779" s="15" t="s">
        <v>367</v>
      </c>
      <c r="O2779" s="15" t="s">
        <v>19</v>
      </c>
      <c r="Q2779"/>
    </row>
    <row r="2780" spans="1:17" ht="15.6" x14ac:dyDescent="0.3">
      <c r="A2780" s="11">
        <v>10382</v>
      </c>
      <c r="B2780" s="10">
        <v>38555</v>
      </c>
      <c r="C2780" s="10" t="s">
        <v>288</v>
      </c>
      <c r="D2780" s="11" t="s">
        <v>88</v>
      </c>
      <c r="E2780" s="11" t="s">
        <v>89</v>
      </c>
      <c r="F2780" s="11" t="s">
        <v>15</v>
      </c>
      <c r="G2780" s="11" t="s">
        <v>16</v>
      </c>
      <c r="H2780" s="11" t="s">
        <v>35</v>
      </c>
      <c r="I2780" s="11" t="s">
        <v>39</v>
      </c>
      <c r="J2780" s="11" t="s">
        <v>250</v>
      </c>
      <c r="K2780" s="11">
        <v>26</v>
      </c>
      <c r="L2780" s="12">
        <v>20</v>
      </c>
      <c r="M2780" s="13">
        <v>520</v>
      </c>
      <c r="N2780" s="11" t="s">
        <v>367</v>
      </c>
      <c r="O2780" s="11" t="s">
        <v>19</v>
      </c>
      <c r="Q2780"/>
    </row>
    <row r="2781" spans="1:17" ht="15.6" x14ac:dyDescent="0.3">
      <c r="A2781" s="15">
        <v>10382</v>
      </c>
      <c r="B2781" s="14">
        <v>38555</v>
      </c>
      <c r="C2781" s="14" t="s">
        <v>288</v>
      </c>
      <c r="D2781" s="15" t="s">
        <v>88</v>
      </c>
      <c r="E2781" s="15" t="s">
        <v>89</v>
      </c>
      <c r="F2781" s="15" t="s">
        <v>15</v>
      </c>
      <c r="G2781" s="15" t="s">
        <v>16</v>
      </c>
      <c r="H2781" s="15" t="s">
        <v>35</v>
      </c>
      <c r="I2781" s="15" t="s">
        <v>39</v>
      </c>
      <c r="J2781" s="15" t="s">
        <v>250</v>
      </c>
      <c r="K2781" s="15">
        <v>48</v>
      </c>
      <c r="L2781" s="16">
        <v>20</v>
      </c>
      <c r="M2781" s="17">
        <v>960</v>
      </c>
      <c r="N2781" s="15" t="s">
        <v>367</v>
      </c>
      <c r="O2781" s="15" t="s">
        <v>19</v>
      </c>
      <c r="Q2781"/>
    </row>
    <row r="2782" spans="1:17" ht="15.6" x14ac:dyDescent="0.3">
      <c r="A2782" s="11">
        <v>10382</v>
      </c>
      <c r="B2782" s="10">
        <v>38556</v>
      </c>
      <c r="C2782" s="10" t="s">
        <v>288</v>
      </c>
      <c r="D2782" s="11" t="s">
        <v>88</v>
      </c>
      <c r="E2782" s="11" t="s">
        <v>89</v>
      </c>
      <c r="F2782" s="11" t="s">
        <v>15</v>
      </c>
      <c r="G2782" s="11" t="s">
        <v>16</v>
      </c>
      <c r="H2782" s="11" t="s">
        <v>32</v>
      </c>
      <c r="I2782" s="11" t="s">
        <v>34</v>
      </c>
      <c r="J2782" s="11" t="s">
        <v>246</v>
      </c>
      <c r="K2782" s="11">
        <v>34</v>
      </c>
      <c r="L2782" s="12">
        <v>80</v>
      </c>
      <c r="M2782" s="13">
        <v>2720</v>
      </c>
      <c r="N2782" s="11" t="s">
        <v>367</v>
      </c>
      <c r="O2782" s="11" t="s">
        <v>19</v>
      </c>
      <c r="Q2782"/>
    </row>
    <row r="2783" spans="1:17" ht="15.6" x14ac:dyDescent="0.3">
      <c r="A2783" s="15">
        <v>10383</v>
      </c>
      <c r="B2783" s="14">
        <v>38556</v>
      </c>
      <c r="C2783" s="14" t="s">
        <v>279</v>
      </c>
      <c r="D2783" s="15" t="s">
        <v>41</v>
      </c>
      <c r="E2783" s="15" t="s">
        <v>42</v>
      </c>
      <c r="F2783" s="15" t="s">
        <v>43</v>
      </c>
      <c r="G2783" s="15" t="s">
        <v>25</v>
      </c>
      <c r="H2783" s="15" t="s">
        <v>35</v>
      </c>
      <c r="I2783" s="15" t="s">
        <v>38</v>
      </c>
      <c r="J2783" s="15" t="s">
        <v>249</v>
      </c>
      <c r="K2783" s="15">
        <v>27</v>
      </c>
      <c r="L2783" s="16">
        <v>20</v>
      </c>
      <c r="M2783" s="17">
        <v>540</v>
      </c>
      <c r="N2783" s="15" t="s">
        <v>367</v>
      </c>
      <c r="O2783" s="15" t="s">
        <v>19</v>
      </c>
      <c r="Q2783"/>
    </row>
    <row r="2784" spans="1:17" ht="15.6" x14ac:dyDescent="0.3">
      <c r="A2784" s="11">
        <v>10383</v>
      </c>
      <c r="B2784" s="10">
        <v>38556</v>
      </c>
      <c r="C2784" s="10" t="s">
        <v>279</v>
      </c>
      <c r="D2784" s="11" t="s">
        <v>41</v>
      </c>
      <c r="E2784" s="11" t="s">
        <v>42</v>
      </c>
      <c r="F2784" s="11" t="s">
        <v>43</v>
      </c>
      <c r="G2784" s="11" t="s">
        <v>25</v>
      </c>
      <c r="H2784" s="11" t="s">
        <v>17</v>
      </c>
      <c r="I2784" s="11" t="s">
        <v>26</v>
      </c>
      <c r="J2784" s="11" t="s">
        <v>244</v>
      </c>
      <c r="K2784" s="11">
        <v>24</v>
      </c>
      <c r="L2784" s="12">
        <v>60</v>
      </c>
      <c r="M2784" s="13">
        <v>1440</v>
      </c>
      <c r="N2784" s="11" t="s">
        <v>367</v>
      </c>
      <c r="O2784" s="11" t="s">
        <v>19</v>
      </c>
      <c r="Q2784"/>
    </row>
    <row r="2785" spans="1:17" ht="15.6" x14ac:dyDescent="0.3">
      <c r="A2785" s="15">
        <v>10383</v>
      </c>
      <c r="B2785" s="14">
        <v>38556</v>
      </c>
      <c r="C2785" s="14" t="s">
        <v>279</v>
      </c>
      <c r="D2785" s="15" t="s">
        <v>41</v>
      </c>
      <c r="E2785" s="15" t="s">
        <v>42</v>
      </c>
      <c r="F2785" s="15" t="s">
        <v>43</v>
      </c>
      <c r="G2785" s="15" t="s">
        <v>25</v>
      </c>
      <c r="H2785" s="15" t="s">
        <v>32</v>
      </c>
      <c r="I2785" s="15" t="s">
        <v>46</v>
      </c>
      <c r="J2785" s="15" t="s">
        <v>254</v>
      </c>
      <c r="K2785" s="15">
        <v>47</v>
      </c>
      <c r="L2785" s="16">
        <v>90</v>
      </c>
      <c r="M2785" s="17">
        <v>4230</v>
      </c>
      <c r="N2785" s="15" t="s">
        <v>367</v>
      </c>
      <c r="O2785" s="15" t="s">
        <v>19</v>
      </c>
      <c r="Q2785"/>
    </row>
    <row r="2786" spans="1:17" ht="15.6" x14ac:dyDescent="0.3">
      <c r="A2786" s="11">
        <v>10383</v>
      </c>
      <c r="B2786" s="10">
        <v>38561</v>
      </c>
      <c r="C2786" s="10" t="s">
        <v>279</v>
      </c>
      <c r="D2786" s="11" t="s">
        <v>41</v>
      </c>
      <c r="E2786" s="11" t="s">
        <v>42</v>
      </c>
      <c r="F2786" s="11" t="s">
        <v>43</v>
      </c>
      <c r="G2786" s="11" t="s">
        <v>25</v>
      </c>
      <c r="H2786" s="11" t="s">
        <v>47</v>
      </c>
      <c r="I2786" s="11" t="s">
        <v>119</v>
      </c>
      <c r="J2786" s="11" t="s">
        <v>272</v>
      </c>
      <c r="K2786" s="11">
        <v>26</v>
      </c>
      <c r="L2786" s="12">
        <v>60</v>
      </c>
      <c r="M2786" s="13">
        <v>1560</v>
      </c>
      <c r="N2786" s="11" t="s">
        <v>367</v>
      </c>
      <c r="O2786" s="11" t="s">
        <v>19</v>
      </c>
      <c r="Q2786"/>
    </row>
    <row r="2787" spans="1:17" ht="15.6" x14ac:dyDescent="0.3">
      <c r="A2787" s="15">
        <v>10383</v>
      </c>
      <c r="B2787" s="14">
        <v>38561</v>
      </c>
      <c r="C2787" s="14" t="s">
        <v>279</v>
      </c>
      <c r="D2787" s="15" t="s">
        <v>41</v>
      </c>
      <c r="E2787" s="15" t="s">
        <v>42</v>
      </c>
      <c r="F2787" s="15" t="s">
        <v>43</v>
      </c>
      <c r="G2787" s="15" t="s">
        <v>25</v>
      </c>
      <c r="H2787" s="15" t="s">
        <v>32</v>
      </c>
      <c r="I2787" s="15" t="s">
        <v>34</v>
      </c>
      <c r="J2787" s="15" t="s">
        <v>246</v>
      </c>
      <c r="K2787" s="15">
        <v>38</v>
      </c>
      <c r="L2787" s="16">
        <v>80</v>
      </c>
      <c r="M2787" s="17">
        <v>3040</v>
      </c>
      <c r="N2787" s="15" t="s">
        <v>367</v>
      </c>
      <c r="O2787" s="15" t="s">
        <v>19</v>
      </c>
      <c r="Q2787"/>
    </row>
    <row r="2788" spans="1:17" ht="15.6" x14ac:dyDescent="0.3">
      <c r="A2788" s="11">
        <v>10383</v>
      </c>
      <c r="B2788" s="10">
        <v>38566</v>
      </c>
      <c r="C2788" s="10" t="s">
        <v>279</v>
      </c>
      <c r="D2788" s="11" t="s">
        <v>41</v>
      </c>
      <c r="E2788" s="11" t="s">
        <v>42</v>
      </c>
      <c r="F2788" s="11" t="s">
        <v>43</v>
      </c>
      <c r="G2788" s="11" t="s">
        <v>25</v>
      </c>
      <c r="H2788" s="11" t="s">
        <v>17</v>
      </c>
      <c r="I2788" s="11" t="s">
        <v>20</v>
      </c>
      <c r="J2788" s="11" t="s">
        <v>242</v>
      </c>
      <c r="K2788" s="11">
        <v>28</v>
      </c>
      <c r="L2788" s="12">
        <v>48</v>
      </c>
      <c r="M2788" s="13">
        <v>1344</v>
      </c>
      <c r="N2788" s="11" t="s">
        <v>367</v>
      </c>
      <c r="O2788" s="11" t="s">
        <v>19</v>
      </c>
      <c r="Q2788"/>
    </row>
    <row r="2789" spans="1:17" ht="15.6" x14ac:dyDescent="0.3">
      <c r="A2789" s="15">
        <v>10383</v>
      </c>
      <c r="B2789" s="14">
        <v>38567</v>
      </c>
      <c r="C2789" s="14" t="s">
        <v>279</v>
      </c>
      <c r="D2789" s="15" t="s">
        <v>41</v>
      </c>
      <c r="E2789" s="15" t="s">
        <v>42</v>
      </c>
      <c r="F2789" s="15" t="s">
        <v>43</v>
      </c>
      <c r="G2789" s="15" t="s">
        <v>25</v>
      </c>
      <c r="H2789" s="15" t="s">
        <v>32</v>
      </c>
      <c r="I2789" s="15" t="s">
        <v>46</v>
      </c>
      <c r="J2789" s="15" t="s">
        <v>254</v>
      </c>
      <c r="K2789" s="15">
        <v>22</v>
      </c>
      <c r="L2789" s="16">
        <v>90</v>
      </c>
      <c r="M2789" s="17">
        <v>1980</v>
      </c>
      <c r="N2789" s="15" t="s">
        <v>367</v>
      </c>
      <c r="O2789" s="15" t="s">
        <v>19</v>
      </c>
      <c r="Q2789"/>
    </row>
    <row r="2790" spans="1:17" ht="15.6" x14ac:dyDescent="0.3">
      <c r="A2790" s="11">
        <v>10383</v>
      </c>
      <c r="B2790" s="10">
        <v>38567</v>
      </c>
      <c r="C2790" s="10" t="s">
        <v>279</v>
      </c>
      <c r="D2790" s="11" t="s">
        <v>41</v>
      </c>
      <c r="E2790" s="11" t="s">
        <v>42</v>
      </c>
      <c r="F2790" s="11" t="s">
        <v>43</v>
      </c>
      <c r="G2790" s="11" t="s">
        <v>25</v>
      </c>
      <c r="H2790" s="11" t="s">
        <v>32</v>
      </c>
      <c r="I2790" s="11" t="s">
        <v>46</v>
      </c>
      <c r="J2790" s="11" t="s">
        <v>254</v>
      </c>
      <c r="K2790" s="11">
        <v>40</v>
      </c>
      <c r="L2790" s="12">
        <v>90</v>
      </c>
      <c r="M2790" s="13">
        <v>3600</v>
      </c>
      <c r="N2790" s="11" t="s">
        <v>367</v>
      </c>
      <c r="O2790" s="11" t="s">
        <v>19</v>
      </c>
      <c r="Q2790"/>
    </row>
    <row r="2791" spans="1:17" ht="15.6" x14ac:dyDescent="0.3">
      <c r="A2791" s="15">
        <v>10383</v>
      </c>
      <c r="B2791" s="14">
        <v>38567</v>
      </c>
      <c r="C2791" s="14" t="s">
        <v>279</v>
      </c>
      <c r="D2791" s="15" t="s">
        <v>41</v>
      </c>
      <c r="E2791" s="15" t="s">
        <v>42</v>
      </c>
      <c r="F2791" s="15" t="s">
        <v>43</v>
      </c>
      <c r="G2791" s="15" t="s">
        <v>25</v>
      </c>
      <c r="H2791" s="15" t="s">
        <v>32</v>
      </c>
      <c r="I2791" s="15" t="s">
        <v>46</v>
      </c>
      <c r="J2791" s="15" t="s">
        <v>254</v>
      </c>
      <c r="K2791" s="15">
        <v>21</v>
      </c>
      <c r="L2791" s="16">
        <v>90</v>
      </c>
      <c r="M2791" s="17">
        <v>1890</v>
      </c>
      <c r="N2791" s="15" t="s">
        <v>367</v>
      </c>
      <c r="O2791" s="15" t="s">
        <v>19</v>
      </c>
      <c r="Q2791"/>
    </row>
    <row r="2792" spans="1:17" ht="15.6" x14ac:dyDescent="0.3">
      <c r="A2792" s="11">
        <v>10383</v>
      </c>
      <c r="B2792" s="10">
        <v>38567</v>
      </c>
      <c r="C2792" s="10" t="s">
        <v>279</v>
      </c>
      <c r="D2792" s="11" t="s">
        <v>41</v>
      </c>
      <c r="E2792" s="11" t="s">
        <v>42</v>
      </c>
      <c r="F2792" s="11" t="s">
        <v>43</v>
      </c>
      <c r="G2792" s="11" t="s">
        <v>25</v>
      </c>
      <c r="H2792" s="11" t="s">
        <v>35</v>
      </c>
      <c r="I2792" s="11" t="s">
        <v>39</v>
      </c>
      <c r="J2792" s="11" t="s">
        <v>250</v>
      </c>
      <c r="K2792" s="11">
        <v>32</v>
      </c>
      <c r="L2792" s="12">
        <v>20</v>
      </c>
      <c r="M2792" s="13">
        <v>640</v>
      </c>
      <c r="N2792" s="11" t="s">
        <v>367</v>
      </c>
      <c r="O2792" s="11" t="s">
        <v>19</v>
      </c>
      <c r="Q2792"/>
    </row>
    <row r="2793" spans="1:17" ht="15.6" x14ac:dyDescent="0.3">
      <c r="A2793" s="15">
        <v>10383</v>
      </c>
      <c r="B2793" s="14">
        <v>38567</v>
      </c>
      <c r="C2793" s="14" t="s">
        <v>279</v>
      </c>
      <c r="D2793" s="15" t="s">
        <v>41</v>
      </c>
      <c r="E2793" s="15" t="s">
        <v>42</v>
      </c>
      <c r="F2793" s="15" t="s">
        <v>43</v>
      </c>
      <c r="G2793" s="15" t="s">
        <v>25</v>
      </c>
      <c r="H2793" s="15" t="s">
        <v>47</v>
      </c>
      <c r="I2793" s="15" t="s">
        <v>48</v>
      </c>
      <c r="J2793" s="15" t="s">
        <v>255</v>
      </c>
      <c r="K2793" s="15">
        <v>44</v>
      </c>
      <c r="L2793" s="16">
        <v>70</v>
      </c>
      <c r="M2793" s="17">
        <v>3080</v>
      </c>
      <c r="N2793" s="15" t="s">
        <v>367</v>
      </c>
      <c r="O2793" s="15" t="s">
        <v>19</v>
      </c>
      <c r="Q2793"/>
    </row>
    <row r="2794" spans="1:17" ht="15.6" x14ac:dyDescent="0.3">
      <c r="A2794" s="11">
        <v>10383</v>
      </c>
      <c r="B2794" s="10">
        <v>38567</v>
      </c>
      <c r="C2794" s="10" t="s">
        <v>279</v>
      </c>
      <c r="D2794" s="11" t="s">
        <v>41</v>
      </c>
      <c r="E2794" s="11" t="s">
        <v>42</v>
      </c>
      <c r="F2794" s="11" t="s">
        <v>43</v>
      </c>
      <c r="G2794" s="11" t="s">
        <v>25</v>
      </c>
      <c r="H2794" s="11" t="s">
        <v>35</v>
      </c>
      <c r="I2794" s="11" t="s">
        <v>39</v>
      </c>
      <c r="J2794" s="11" t="s">
        <v>250</v>
      </c>
      <c r="K2794" s="11">
        <v>29</v>
      </c>
      <c r="L2794" s="12">
        <v>20</v>
      </c>
      <c r="M2794" s="13">
        <v>580</v>
      </c>
      <c r="N2794" s="11" t="s">
        <v>367</v>
      </c>
      <c r="O2794" s="11" t="s">
        <v>19</v>
      </c>
      <c r="Q2794"/>
    </row>
    <row r="2795" spans="1:17" ht="15.6" x14ac:dyDescent="0.3">
      <c r="A2795" s="15">
        <v>10383</v>
      </c>
      <c r="B2795" s="14">
        <v>38567</v>
      </c>
      <c r="C2795" s="14" t="s">
        <v>279</v>
      </c>
      <c r="D2795" s="15" t="s">
        <v>41</v>
      </c>
      <c r="E2795" s="15" t="s">
        <v>42</v>
      </c>
      <c r="F2795" s="15" t="s">
        <v>43</v>
      </c>
      <c r="G2795" s="15" t="s">
        <v>25</v>
      </c>
      <c r="H2795" s="15" t="s">
        <v>47</v>
      </c>
      <c r="I2795" s="15" t="s">
        <v>119</v>
      </c>
      <c r="J2795" s="15" t="s">
        <v>272</v>
      </c>
      <c r="K2795" s="15">
        <v>38</v>
      </c>
      <c r="L2795" s="16">
        <v>60</v>
      </c>
      <c r="M2795" s="17">
        <v>2280</v>
      </c>
      <c r="N2795" s="15" t="s">
        <v>367</v>
      </c>
      <c r="O2795" s="15" t="s">
        <v>19</v>
      </c>
      <c r="Q2795"/>
    </row>
    <row r="2796" spans="1:17" ht="15.6" x14ac:dyDescent="0.3">
      <c r="A2796" s="11">
        <v>10384</v>
      </c>
      <c r="B2796" s="10">
        <v>38567</v>
      </c>
      <c r="C2796" s="10" t="s">
        <v>321</v>
      </c>
      <c r="D2796" s="11" t="s">
        <v>156</v>
      </c>
      <c r="E2796" s="11" t="s">
        <v>87</v>
      </c>
      <c r="F2796" s="11" t="s">
        <v>15</v>
      </c>
      <c r="G2796" s="11" t="s">
        <v>16</v>
      </c>
      <c r="H2796" s="11" t="s">
        <v>32</v>
      </c>
      <c r="I2796" s="11" t="s">
        <v>44</v>
      </c>
      <c r="J2796" s="11" t="s">
        <v>252</v>
      </c>
      <c r="K2796" s="11">
        <v>34</v>
      </c>
      <c r="L2796" s="12">
        <v>55</v>
      </c>
      <c r="M2796" s="13">
        <v>1870</v>
      </c>
      <c r="N2796" s="11" t="s">
        <v>367</v>
      </c>
      <c r="O2796" s="11" t="s">
        <v>19</v>
      </c>
      <c r="Q2796"/>
    </row>
    <row r="2797" spans="1:17" ht="15.6" x14ac:dyDescent="0.3">
      <c r="A2797" s="15">
        <v>10384</v>
      </c>
      <c r="B2797" s="14">
        <v>38567</v>
      </c>
      <c r="C2797" s="14" t="s">
        <v>321</v>
      </c>
      <c r="D2797" s="15" t="s">
        <v>156</v>
      </c>
      <c r="E2797" s="15" t="s">
        <v>87</v>
      </c>
      <c r="F2797" s="15" t="s">
        <v>15</v>
      </c>
      <c r="G2797" s="15" t="s">
        <v>16</v>
      </c>
      <c r="H2797" s="15" t="s">
        <v>54</v>
      </c>
      <c r="I2797" s="15" t="s">
        <v>55</v>
      </c>
      <c r="J2797" s="15" t="s">
        <v>258</v>
      </c>
      <c r="K2797" s="15">
        <v>28</v>
      </c>
      <c r="L2797" s="16">
        <v>180</v>
      </c>
      <c r="M2797" s="17">
        <v>5040</v>
      </c>
      <c r="N2797" s="15" t="s">
        <v>367</v>
      </c>
      <c r="O2797" s="15" t="s">
        <v>19</v>
      </c>
      <c r="Q2797"/>
    </row>
    <row r="2798" spans="1:17" ht="15.6" x14ac:dyDescent="0.3">
      <c r="A2798" s="11">
        <v>10384</v>
      </c>
      <c r="B2798" s="10">
        <v>38567</v>
      </c>
      <c r="C2798" s="10" t="s">
        <v>321</v>
      </c>
      <c r="D2798" s="11" t="s">
        <v>156</v>
      </c>
      <c r="E2798" s="11" t="s">
        <v>87</v>
      </c>
      <c r="F2798" s="11" t="s">
        <v>15</v>
      </c>
      <c r="G2798" s="11" t="s">
        <v>16</v>
      </c>
      <c r="H2798" s="11" t="s">
        <v>17</v>
      </c>
      <c r="I2798" s="11" t="s">
        <v>18</v>
      </c>
      <c r="J2798" s="11" t="s">
        <v>241</v>
      </c>
      <c r="K2798" s="11">
        <v>43</v>
      </c>
      <c r="L2798" s="12">
        <v>30</v>
      </c>
      <c r="M2798" s="13">
        <v>1290</v>
      </c>
      <c r="N2798" s="11" t="s">
        <v>367</v>
      </c>
      <c r="O2798" s="11" t="s">
        <v>19</v>
      </c>
      <c r="Q2798"/>
    </row>
    <row r="2799" spans="1:17" ht="15.6" x14ac:dyDescent="0.3">
      <c r="A2799" s="15">
        <v>10384</v>
      </c>
      <c r="B2799" s="14">
        <v>38567</v>
      </c>
      <c r="C2799" s="14" t="s">
        <v>321</v>
      </c>
      <c r="D2799" s="15" t="s">
        <v>156</v>
      </c>
      <c r="E2799" s="15" t="s">
        <v>87</v>
      </c>
      <c r="F2799" s="15" t="s">
        <v>15</v>
      </c>
      <c r="G2799" s="15" t="s">
        <v>16</v>
      </c>
      <c r="H2799" s="15" t="s">
        <v>54</v>
      </c>
      <c r="I2799" s="15" t="s">
        <v>56</v>
      </c>
      <c r="J2799" s="15" t="s">
        <v>259</v>
      </c>
      <c r="K2799" s="15">
        <v>49</v>
      </c>
      <c r="L2799" s="16">
        <v>250</v>
      </c>
      <c r="M2799" s="17">
        <v>12250</v>
      </c>
      <c r="N2799" s="15" t="s">
        <v>367</v>
      </c>
      <c r="O2799" s="15" t="s">
        <v>19</v>
      </c>
      <c r="Q2799"/>
    </row>
    <row r="2800" spans="1:17" ht="15.6" x14ac:dyDescent="0.3">
      <c r="A2800" s="11">
        <v>10385</v>
      </c>
      <c r="B2800" s="10">
        <v>38567</v>
      </c>
      <c r="C2800" s="10" t="s">
        <v>288</v>
      </c>
      <c r="D2800" s="11" t="s">
        <v>88</v>
      </c>
      <c r="E2800" s="11" t="s">
        <v>89</v>
      </c>
      <c r="F2800" s="11" t="s">
        <v>15</v>
      </c>
      <c r="G2800" s="11" t="s">
        <v>16</v>
      </c>
      <c r="H2800" s="11" t="s">
        <v>17</v>
      </c>
      <c r="I2800" s="11" t="s">
        <v>18</v>
      </c>
      <c r="J2800" s="11" t="s">
        <v>241</v>
      </c>
      <c r="K2800" s="11">
        <v>37</v>
      </c>
      <c r="L2800" s="12">
        <v>30</v>
      </c>
      <c r="M2800" s="13">
        <v>1110</v>
      </c>
      <c r="N2800" s="11" t="s">
        <v>367</v>
      </c>
      <c r="O2800" s="11" t="s">
        <v>19</v>
      </c>
      <c r="Q2800"/>
    </row>
    <row r="2801" spans="1:17" ht="15.6" x14ac:dyDescent="0.3">
      <c r="A2801" s="15">
        <v>10385</v>
      </c>
      <c r="B2801" s="14">
        <v>38567</v>
      </c>
      <c r="C2801" s="14" t="s">
        <v>288</v>
      </c>
      <c r="D2801" s="15" t="s">
        <v>88</v>
      </c>
      <c r="E2801" s="15" t="s">
        <v>89</v>
      </c>
      <c r="F2801" s="15" t="s">
        <v>15</v>
      </c>
      <c r="G2801" s="15" t="s">
        <v>16</v>
      </c>
      <c r="H2801" s="15" t="s">
        <v>54</v>
      </c>
      <c r="I2801" s="15" t="s">
        <v>55</v>
      </c>
      <c r="J2801" s="15" t="s">
        <v>258</v>
      </c>
      <c r="K2801" s="15">
        <v>25</v>
      </c>
      <c r="L2801" s="16">
        <v>180</v>
      </c>
      <c r="M2801" s="17">
        <v>4500</v>
      </c>
      <c r="N2801" s="15" t="s">
        <v>367</v>
      </c>
      <c r="O2801" s="15" t="s">
        <v>19</v>
      </c>
      <c r="Q2801"/>
    </row>
    <row r="2802" spans="1:17" ht="15.6" x14ac:dyDescent="0.3">
      <c r="A2802" s="11">
        <v>10387</v>
      </c>
      <c r="B2802" s="10">
        <v>38567</v>
      </c>
      <c r="C2802" s="10" t="s">
        <v>292</v>
      </c>
      <c r="D2802" s="11" t="s">
        <v>97</v>
      </c>
      <c r="E2802" s="11" t="s">
        <v>98</v>
      </c>
      <c r="F2802" s="11" t="s">
        <v>98</v>
      </c>
      <c r="G2802" s="11" t="s">
        <v>74</v>
      </c>
      <c r="H2802" s="11" t="s">
        <v>68</v>
      </c>
      <c r="I2802" s="11" t="s">
        <v>70</v>
      </c>
      <c r="J2802" s="11" t="s">
        <v>267</v>
      </c>
      <c r="K2802" s="11">
        <v>44</v>
      </c>
      <c r="L2802" s="12">
        <v>50</v>
      </c>
      <c r="M2802" s="13">
        <v>2200</v>
      </c>
      <c r="N2802" s="11" t="s">
        <v>367</v>
      </c>
      <c r="O2802" s="11" t="s">
        <v>19</v>
      </c>
      <c r="Q2802"/>
    </row>
    <row r="2803" spans="1:17" ht="15.6" x14ac:dyDescent="0.3">
      <c r="A2803" s="15">
        <v>10388</v>
      </c>
      <c r="B2803" s="14">
        <v>38567</v>
      </c>
      <c r="C2803" s="14" t="s">
        <v>325</v>
      </c>
      <c r="D2803" s="15" t="s">
        <v>163</v>
      </c>
      <c r="E2803" s="15" t="s">
        <v>137</v>
      </c>
      <c r="F2803" s="15" t="s">
        <v>15</v>
      </c>
      <c r="G2803" s="15" t="s">
        <v>16</v>
      </c>
      <c r="H2803" s="15" t="s">
        <v>68</v>
      </c>
      <c r="I2803" s="15" t="s">
        <v>69</v>
      </c>
      <c r="J2803" s="15" t="s">
        <v>266</v>
      </c>
      <c r="K2803" s="15">
        <v>42</v>
      </c>
      <c r="L2803" s="16">
        <v>25</v>
      </c>
      <c r="M2803" s="17">
        <v>1050</v>
      </c>
      <c r="N2803" s="15" t="s">
        <v>367</v>
      </c>
      <c r="O2803" s="15" t="s">
        <v>19</v>
      </c>
      <c r="Q2803"/>
    </row>
    <row r="2804" spans="1:17" ht="15.6" x14ac:dyDescent="0.3">
      <c r="A2804" s="11">
        <v>10388</v>
      </c>
      <c r="B2804" s="10">
        <v>38567</v>
      </c>
      <c r="C2804" s="10" t="s">
        <v>325</v>
      </c>
      <c r="D2804" s="11" t="s">
        <v>163</v>
      </c>
      <c r="E2804" s="11" t="s">
        <v>137</v>
      </c>
      <c r="F2804" s="11" t="s">
        <v>15</v>
      </c>
      <c r="G2804" s="11" t="s">
        <v>16</v>
      </c>
      <c r="H2804" s="11" t="s">
        <v>68</v>
      </c>
      <c r="I2804" s="11" t="s">
        <v>69</v>
      </c>
      <c r="J2804" s="11" t="s">
        <v>266</v>
      </c>
      <c r="K2804" s="11">
        <v>50</v>
      </c>
      <c r="L2804" s="12">
        <v>25</v>
      </c>
      <c r="M2804" s="13">
        <v>1250</v>
      </c>
      <c r="N2804" s="11" t="s">
        <v>368</v>
      </c>
      <c r="O2804" s="11" t="s">
        <v>19</v>
      </c>
      <c r="Q2804"/>
    </row>
    <row r="2805" spans="1:17" ht="15.6" x14ac:dyDescent="0.3">
      <c r="A2805" s="15">
        <v>10388</v>
      </c>
      <c r="B2805" s="14">
        <v>38568</v>
      </c>
      <c r="C2805" s="14" t="s">
        <v>325</v>
      </c>
      <c r="D2805" s="15" t="s">
        <v>163</v>
      </c>
      <c r="E2805" s="15" t="s">
        <v>137</v>
      </c>
      <c r="F2805" s="15" t="s">
        <v>15</v>
      </c>
      <c r="G2805" s="15" t="s">
        <v>16</v>
      </c>
      <c r="H2805" s="15" t="s">
        <v>68</v>
      </c>
      <c r="I2805" s="15" t="s">
        <v>69</v>
      </c>
      <c r="J2805" s="15" t="s">
        <v>266</v>
      </c>
      <c r="K2805" s="15">
        <v>21</v>
      </c>
      <c r="L2805" s="16">
        <v>25</v>
      </c>
      <c r="M2805" s="17">
        <v>525</v>
      </c>
      <c r="N2805" s="15" t="s">
        <v>367</v>
      </c>
      <c r="O2805" s="15" t="s">
        <v>19</v>
      </c>
      <c r="Q2805"/>
    </row>
    <row r="2806" spans="1:17" ht="15.6" x14ac:dyDescent="0.3">
      <c r="A2806" s="11">
        <v>10389</v>
      </c>
      <c r="B2806" s="10">
        <v>38568</v>
      </c>
      <c r="C2806" s="10" t="s">
        <v>326</v>
      </c>
      <c r="D2806" s="11" t="s">
        <v>164</v>
      </c>
      <c r="E2806" s="11" t="s">
        <v>165</v>
      </c>
      <c r="F2806" s="11" t="s">
        <v>85</v>
      </c>
      <c r="G2806" s="11" t="s">
        <v>25</v>
      </c>
      <c r="H2806" s="11" t="s">
        <v>32</v>
      </c>
      <c r="I2806" s="11" t="s">
        <v>33</v>
      </c>
      <c r="J2806" s="11" t="s">
        <v>245</v>
      </c>
      <c r="K2806" s="11">
        <v>26</v>
      </c>
      <c r="L2806" s="12">
        <v>85</v>
      </c>
      <c r="M2806" s="13">
        <v>2210</v>
      </c>
      <c r="N2806" s="11" t="s">
        <v>367</v>
      </c>
      <c r="O2806" s="11" t="s">
        <v>19</v>
      </c>
      <c r="Q2806"/>
    </row>
    <row r="2807" spans="1:17" ht="15.6" x14ac:dyDescent="0.3">
      <c r="A2807" s="15">
        <v>10388</v>
      </c>
      <c r="B2807" s="14">
        <v>38568</v>
      </c>
      <c r="C2807" s="14" t="s">
        <v>325</v>
      </c>
      <c r="D2807" s="15" t="s">
        <v>163</v>
      </c>
      <c r="E2807" s="15" t="s">
        <v>137</v>
      </c>
      <c r="F2807" s="15" t="s">
        <v>15</v>
      </c>
      <c r="G2807" s="15" t="s">
        <v>16</v>
      </c>
      <c r="H2807" s="15" t="s">
        <v>68</v>
      </c>
      <c r="I2807" s="15" t="s">
        <v>76</v>
      </c>
      <c r="J2807" s="15" t="s">
        <v>269</v>
      </c>
      <c r="K2807" s="15">
        <v>44</v>
      </c>
      <c r="L2807" s="16">
        <v>30</v>
      </c>
      <c r="M2807" s="17">
        <v>1320</v>
      </c>
      <c r="N2807" s="15" t="s">
        <v>367</v>
      </c>
      <c r="O2807" s="15" t="s">
        <v>19</v>
      </c>
      <c r="Q2807"/>
    </row>
    <row r="2808" spans="1:17" ht="15.6" x14ac:dyDescent="0.3">
      <c r="A2808" s="11">
        <v>10389</v>
      </c>
      <c r="B2808" s="10">
        <v>38568</v>
      </c>
      <c r="C2808" s="10" t="s">
        <v>326</v>
      </c>
      <c r="D2808" s="11" t="s">
        <v>164</v>
      </c>
      <c r="E2808" s="11" t="s">
        <v>165</v>
      </c>
      <c r="F2808" s="11" t="s">
        <v>85</v>
      </c>
      <c r="G2808" s="11" t="s">
        <v>25</v>
      </c>
      <c r="H2808" s="11" t="s">
        <v>32</v>
      </c>
      <c r="I2808" s="11" t="s">
        <v>34</v>
      </c>
      <c r="J2808" s="11" t="s">
        <v>246</v>
      </c>
      <c r="K2808" s="11">
        <v>25</v>
      </c>
      <c r="L2808" s="12">
        <v>80</v>
      </c>
      <c r="M2808" s="13">
        <v>2000</v>
      </c>
      <c r="N2808" s="11" t="s">
        <v>367</v>
      </c>
      <c r="O2808" s="11" t="s">
        <v>19</v>
      </c>
      <c r="Q2808"/>
    </row>
    <row r="2809" spans="1:17" ht="15.6" x14ac:dyDescent="0.3">
      <c r="A2809" s="15">
        <v>10389</v>
      </c>
      <c r="B2809" s="14">
        <v>38568</v>
      </c>
      <c r="C2809" s="14" t="s">
        <v>326</v>
      </c>
      <c r="D2809" s="15" t="s">
        <v>164</v>
      </c>
      <c r="E2809" s="15" t="s">
        <v>165</v>
      </c>
      <c r="F2809" s="15" t="s">
        <v>85</v>
      </c>
      <c r="G2809" s="15" t="s">
        <v>25</v>
      </c>
      <c r="H2809" s="15" t="s">
        <v>32</v>
      </c>
      <c r="I2809" s="15" t="s">
        <v>44</v>
      </c>
      <c r="J2809" s="15" t="s">
        <v>252</v>
      </c>
      <c r="K2809" s="15">
        <v>36</v>
      </c>
      <c r="L2809" s="16">
        <v>55</v>
      </c>
      <c r="M2809" s="17">
        <v>1980</v>
      </c>
      <c r="N2809" s="15" t="s">
        <v>367</v>
      </c>
      <c r="O2809" s="15" t="s">
        <v>19</v>
      </c>
      <c r="Q2809"/>
    </row>
    <row r="2810" spans="1:17" ht="15.6" x14ac:dyDescent="0.3">
      <c r="A2810" s="11">
        <v>10389</v>
      </c>
      <c r="B2810" s="10">
        <v>38568</v>
      </c>
      <c r="C2810" s="10" t="s">
        <v>326</v>
      </c>
      <c r="D2810" s="11" t="s">
        <v>164</v>
      </c>
      <c r="E2810" s="11" t="s">
        <v>165</v>
      </c>
      <c r="F2810" s="11" t="s">
        <v>85</v>
      </c>
      <c r="G2810" s="11" t="s">
        <v>25</v>
      </c>
      <c r="H2810" s="11" t="s">
        <v>32</v>
      </c>
      <c r="I2810" s="11" t="s">
        <v>44</v>
      </c>
      <c r="J2810" s="11" t="s">
        <v>252</v>
      </c>
      <c r="K2810" s="11">
        <v>47</v>
      </c>
      <c r="L2810" s="12">
        <v>55</v>
      </c>
      <c r="M2810" s="13">
        <v>2585</v>
      </c>
      <c r="N2810" s="11" t="s">
        <v>367</v>
      </c>
      <c r="O2810" s="11" t="s">
        <v>19</v>
      </c>
      <c r="Q2810"/>
    </row>
    <row r="2811" spans="1:17" ht="15.6" x14ac:dyDescent="0.3">
      <c r="A2811" s="15">
        <v>10389</v>
      </c>
      <c r="B2811" s="14">
        <v>38568</v>
      </c>
      <c r="C2811" s="14" t="s">
        <v>326</v>
      </c>
      <c r="D2811" s="15" t="s">
        <v>164</v>
      </c>
      <c r="E2811" s="15" t="s">
        <v>165</v>
      </c>
      <c r="F2811" s="15" t="s">
        <v>85</v>
      </c>
      <c r="G2811" s="15" t="s">
        <v>25</v>
      </c>
      <c r="H2811" s="15" t="s">
        <v>32</v>
      </c>
      <c r="I2811" s="15" t="s">
        <v>46</v>
      </c>
      <c r="J2811" s="15" t="s">
        <v>254</v>
      </c>
      <c r="K2811" s="15">
        <v>49</v>
      </c>
      <c r="L2811" s="16">
        <v>90</v>
      </c>
      <c r="M2811" s="17">
        <v>4410</v>
      </c>
      <c r="N2811" s="15" t="s">
        <v>367</v>
      </c>
      <c r="O2811" s="15" t="s">
        <v>19</v>
      </c>
      <c r="Q2811"/>
    </row>
    <row r="2812" spans="1:17" ht="15.6" x14ac:dyDescent="0.3">
      <c r="A2812" s="11">
        <v>10389</v>
      </c>
      <c r="B2812" s="10">
        <v>38568</v>
      </c>
      <c r="C2812" s="10" t="s">
        <v>326</v>
      </c>
      <c r="D2812" s="11" t="s">
        <v>164</v>
      </c>
      <c r="E2812" s="11" t="s">
        <v>165</v>
      </c>
      <c r="F2812" s="11" t="s">
        <v>85</v>
      </c>
      <c r="G2812" s="11" t="s">
        <v>25</v>
      </c>
      <c r="H2812" s="11" t="s">
        <v>68</v>
      </c>
      <c r="I2812" s="11" t="s">
        <v>76</v>
      </c>
      <c r="J2812" s="11" t="s">
        <v>269</v>
      </c>
      <c r="K2812" s="11">
        <v>39</v>
      </c>
      <c r="L2812" s="12">
        <v>30</v>
      </c>
      <c r="M2812" s="13">
        <v>1170</v>
      </c>
      <c r="N2812" s="11" t="s">
        <v>367</v>
      </c>
      <c r="O2812" s="11" t="s">
        <v>19</v>
      </c>
      <c r="Q2812"/>
    </row>
    <row r="2813" spans="1:17" ht="15.6" x14ac:dyDescent="0.3">
      <c r="A2813" s="15">
        <v>10389</v>
      </c>
      <c r="B2813" s="14">
        <v>38568</v>
      </c>
      <c r="C2813" s="14" t="s">
        <v>326</v>
      </c>
      <c r="D2813" s="15" t="s">
        <v>164</v>
      </c>
      <c r="E2813" s="15" t="s">
        <v>165</v>
      </c>
      <c r="F2813" s="15" t="s">
        <v>85</v>
      </c>
      <c r="G2813" s="15" t="s">
        <v>25</v>
      </c>
      <c r="H2813" s="15" t="s">
        <v>68</v>
      </c>
      <c r="I2813" s="15" t="s">
        <v>75</v>
      </c>
      <c r="J2813" s="15" t="s">
        <v>268</v>
      </c>
      <c r="K2813" s="15">
        <v>45</v>
      </c>
      <c r="L2813" s="16">
        <v>35</v>
      </c>
      <c r="M2813" s="17">
        <v>1575</v>
      </c>
      <c r="N2813" s="15" t="s">
        <v>367</v>
      </c>
      <c r="O2813" s="15" t="s">
        <v>19</v>
      </c>
      <c r="Q2813"/>
    </row>
    <row r="2814" spans="1:17" ht="15.6" x14ac:dyDescent="0.3">
      <c r="A2814" s="11">
        <v>10389</v>
      </c>
      <c r="B2814" s="10">
        <v>38568</v>
      </c>
      <c r="C2814" s="10" t="s">
        <v>326</v>
      </c>
      <c r="D2814" s="11" t="s">
        <v>164</v>
      </c>
      <c r="E2814" s="11" t="s">
        <v>165</v>
      </c>
      <c r="F2814" s="11" t="s">
        <v>85</v>
      </c>
      <c r="G2814" s="11" t="s">
        <v>25</v>
      </c>
      <c r="H2814" s="11" t="s">
        <v>68</v>
      </c>
      <c r="I2814" s="11" t="s">
        <v>70</v>
      </c>
      <c r="J2814" s="11" t="s">
        <v>267</v>
      </c>
      <c r="K2814" s="11">
        <v>49</v>
      </c>
      <c r="L2814" s="12">
        <v>50</v>
      </c>
      <c r="M2814" s="13">
        <v>2450</v>
      </c>
      <c r="N2814" s="11" t="s">
        <v>367</v>
      </c>
      <c r="O2814" s="11" t="s">
        <v>19</v>
      </c>
      <c r="Q2814"/>
    </row>
    <row r="2815" spans="1:17" ht="15.6" x14ac:dyDescent="0.3">
      <c r="A2815" s="15">
        <v>10388</v>
      </c>
      <c r="B2815" s="14">
        <v>38568</v>
      </c>
      <c r="C2815" s="14" t="s">
        <v>325</v>
      </c>
      <c r="D2815" s="15" t="s">
        <v>163</v>
      </c>
      <c r="E2815" s="15" t="s">
        <v>137</v>
      </c>
      <c r="F2815" s="15" t="s">
        <v>15</v>
      </c>
      <c r="G2815" s="15" t="s">
        <v>16</v>
      </c>
      <c r="H2815" s="15" t="s">
        <v>17</v>
      </c>
      <c r="I2815" s="15" t="s">
        <v>82</v>
      </c>
      <c r="J2815" s="15" t="s">
        <v>270</v>
      </c>
      <c r="K2815" s="15">
        <v>35</v>
      </c>
      <c r="L2815" s="16">
        <v>75</v>
      </c>
      <c r="M2815" s="17">
        <v>2625</v>
      </c>
      <c r="N2815" s="15" t="s">
        <v>367</v>
      </c>
      <c r="O2815" s="15" t="s">
        <v>19</v>
      </c>
      <c r="Q2815"/>
    </row>
    <row r="2816" spans="1:17" ht="15.6" x14ac:dyDescent="0.3">
      <c r="A2816" s="11">
        <v>10388</v>
      </c>
      <c r="B2816" s="10">
        <v>38568</v>
      </c>
      <c r="C2816" s="10" t="s">
        <v>325</v>
      </c>
      <c r="D2816" s="11" t="s">
        <v>163</v>
      </c>
      <c r="E2816" s="11" t="s">
        <v>137</v>
      </c>
      <c r="F2816" s="11" t="s">
        <v>15</v>
      </c>
      <c r="G2816" s="11" t="s">
        <v>16</v>
      </c>
      <c r="H2816" s="11" t="s">
        <v>17</v>
      </c>
      <c r="I2816" s="11" t="s">
        <v>20</v>
      </c>
      <c r="J2816" s="11" t="s">
        <v>242</v>
      </c>
      <c r="K2816" s="11">
        <v>27</v>
      </c>
      <c r="L2816" s="12">
        <v>48</v>
      </c>
      <c r="M2816" s="13">
        <v>1296</v>
      </c>
      <c r="N2816" s="11" t="s">
        <v>367</v>
      </c>
      <c r="O2816" s="11" t="s">
        <v>19</v>
      </c>
      <c r="Q2816"/>
    </row>
    <row r="2817" spans="1:17" ht="15.6" x14ac:dyDescent="0.3">
      <c r="A2817" s="15">
        <v>10388</v>
      </c>
      <c r="B2817" s="14">
        <v>38568</v>
      </c>
      <c r="C2817" s="14" t="s">
        <v>325</v>
      </c>
      <c r="D2817" s="15" t="s">
        <v>163</v>
      </c>
      <c r="E2817" s="15" t="s">
        <v>137</v>
      </c>
      <c r="F2817" s="15" t="s">
        <v>15</v>
      </c>
      <c r="G2817" s="15" t="s">
        <v>16</v>
      </c>
      <c r="H2817" s="15" t="s">
        <v>61</v>
      </c>
      <c r="I2817" s="15" t="s">
        <v>62</v>
      </c>
      <c r="J2817" s="15" t="s">
        <v>261</v>
      </c>
      <c r="K2817" s="15">
        <v>46</v>
      </c>
      <c r="L2817" s="16">
        <v>15</v>
      </c>
      <c r="M2817" s="17">
        <v>690</v>
      </c>
      <c r="N2817" s="15" t="s">
        <v>367</v>
      </c>
      <c r="O2817" s="15" t="s">
        <v>19</v>
      </c>
      <c r="Q2817"/>
    </row>
    <row r="2818" spans="1:17" ht="15.6" x14ac:dyDescent="0.3">
      <c r="A2818" s="11">
        <v>10388</v>
      </c>
      <c r="B2818" s="10">
        <v>38568</v>
      </c>
      <c r="C2818" s="10" t="s">
        <v>325</v>
      </c>
      <c r="D2818" s="11" t="s">
        <v>163</v>
      </c>
      <c r="E2818" s="11" t="s">
        <v>137</v>
      </c>
      <c r="F2818" s="11" t="s">
        <v>15</v>
      </c>
      <c r="G2818" s="11" t="s">
        <v>16</v>
      </c>
      <c r="H2818" s="11" t="s">
        <v>61</v>
      </c>
      <c r="I2818" s="11" t="s">
        <v>65</v>
      </c>
      <c r="J2818" s="11" t="s">
        <v>264</v>
      </c>
      <c r="K2818" s="11">
        <v>50</v>
      </c>
      <c r="L2818" s="12">
        <v>30</v>
      </c>
      <c r="M2818" s="13">
        <v>1500</v>
      </c>
      <c r="N2818" s="11" t="s">
        <v>368</v>
      </c>
      <c r="O2818" s="11" t="s">
        <v>19</v>
      </c>
      <c r="Q2818"/>
    </row>
    <row r="2819" spans="1:17" ht="15.6" x14ac:dyDescent="0.3">
      <c r="A2819" s="15">
        <v>10390</v>
      </c>
      <c r="B2819" s="14">
        <v>38568</v>
      </c>
      <c r="C2819" s="14" t="s">
        <v>288</v>
      </c>
      <c r="D2819" s="15" t="s">
        <v>88</v>
      </c>
      <c r="E2819" s="15" t="s">
        <v>89</v>
      </c>
      <c r="F2819" s="15" t="s">
        <v>15</v>
      </c>
      <c r="G2819" s="15" t="s">
        <v>16</v>
      </c>
      <c r="H2819" s="15" t="s">
        <v>32</v>
      </c>
      <c r="I2819" s="15" t="s">
        <v>44</v>
      </c>
      <c r="J2819" s="15" t="s">
        <v>252</v>
      </c>
      <c r="K2819" s="15">
        <v>36</v>
      </c>
      <c r="L2819" s="16">
        <v>55</v>
      </c>
      <c r="M2819" s="17">
        <v>1980</v>
      </c>
      <c r="N2819" s="15" t="s">
        <v>367</v>
      </c>
      <c r="O2819" s="15" t="s">
        <v>19</v>
      </c>
      <c r="Q2819"/>
    </row>
    <row r="2820" spans="1:17" ht="15.6" x14ac:dyDescent="0.3">
      <c r="A2820" s="11">
        <v>10390</v>
      </c>
      <c r="B2820" s="10">
        <v>38568</v>
      </c>
      <c r="C2820" s="10" t="s">
        <v>288</v>
      </c>
      <c r="D2820" s="11" t="s">
        <v>88</v>
      </c>
      <c r="E2820" s="11" t="s">
        <v>89</v>
      </c>
      <c r="F2820" s="11" t="s">
        <v>15</v>
      </c>
      <c r="G2820" s="11" t="s">
        <v>16</v>
      </c>
      <c r="H2820" s="11" t="s">
        <v>32</v>
      </c>
      <c r="I2820" s="11" t="s">
        <v>44</v>
      </c>
      <c r="J2820" s="11" t="s">
        <v>252</v>
      </c>
      <c r="K2820" s="11">
        <v>34</v>
      </c>
      <c r="L2820" s="12">
        <v>55</v>
      </c>
      <c r="M2820" s="13">
        <v>1870</v>
      </c>
      <c r="N2820" s="11" t="s">
        <v>367</v>
      </c>
      <c r="O2820" s="11" t="s">
        <v>19</v>
      </c>
      <c r="Q2820"/>
    </row>
    <row r="2821" spans="1:17" ht="15.6" x14ac:dyDescent="0.3">
      <c r="A2821" s="15">
        <v>10390</v>
      </c>
      <c r="B2821" s="14">
        <v>38573</v>
      </c>
      <c r="C2821" s="14" t="s">
        <v>288</v>
      </c>
      <c r="D2821" s="15" t="s">
        <v>88</v>
      </c>
      <c r="E2821" s="15" t="s">
        <v>89</v>
      </c>
      <c r="F2821" s="15" t="s">
        <v>15</v>
      </c>
      <c r="G2821" s="15" t="s">
        <v>16</v>
      </c>
      <c r="H2821" s="15" t="s">
        <v>17</v>
      </c>
      <c r="I2821" s="15" t="s">
        <v>20</v>
      </c>
      <c r="J2821" s="15" t="s">
        <v>242</v>
      </c>
      <c r="K2821" s="15">
        <v>31</v>
      </c>
      <c r="L2821" s="16">
        <v>48</v>
      </c>
      <c r="M2821" s="17">
        <v>1488</v>
      </c>
      <c r="N2821" s="15" t="s">
        <v>367</v>
      </c>
      <c r="O2821" s="15" t="s">
        <v>19</v>
      </c>
      <c r="Q2821"/>
    </row>
    <row r="2822" spans="1:17" ht="15.6" x14ac:dyDescent="0.3">
      <c r="A2822" s="11">
        <v>10390</v>
      </c>
      <c r="B2822" s="10">
        <v>38573</v>
      </c>
      <c r="C2822" s="10" t="s">
        <v>288</v>
      </c>
      <c r="D2822" s="11" t="s">
        <v>88</v>
      </c>
      <c r="E2822" s="11" t="s">
        <v>89</v>
      </c>
      <c r="F2822" s="11" t="s">
        <v>15</v>
      </c>
      <c r="G2822" s="11" t="s">
        <v>16</v>
      </c>
      <c r="H2822" s="11" t="s">
        <v>17</v>
      </c>
      <c r="I2822" s="11" t="s">
        <v>52</v>
      </c>
      <c r="J2822" s="11" t="s">
        <v>256</v>
      </c>
      <c r="K2822" s="11">
        <v>26</v>
      </c>
      <c r="L2822" s="12">
        <v>45</v>
      </c>
      <c r="M2822" s="13">
        <v>1170</v>
      </c>
      <c r="N2822" s="11" t="s">
        <v>367</v>
      </c>
      <c r="O2822" s="11" t="s">
        <v>19</v>
      </c>
      <c r="Q2822"/>
    </row>
    <row r="2823" spans="1:17" ht="15.6" x14ac:dyDescent="0.3">
      <c r="A2823" s="15">
        <v>10390</v>
      </c>
      <c r="B2823" s="14">
        <v>38573</v>
      </c>
      <c r="C2823" s="14" t="s">
        <v>288</v>
      </c>
      <c r="D2823" s="15" t="s">
        <v>88</v>
      </c>
      <c r="E2823" s="15" t="s">
        <v>89</v>
      </c>
      <c r="F2823" s="15" t="s">
        <v>15</v>
      </c>
      <c r="G2823" s="15" t="s">
        <v>16</v>
      </c>
      <c r="H2823" s="15" t="s">
        <v>32</v>
      </c>
      <c r="I2823" s="15" t="s">
        <v>46</v>
      </c>
      <c r="J2823" s="15" t="s">
        <v>254</v>
      </c>
      <c r="K2823" s="15">
        <v>40</v>
      </c>
      <c r="L2823" s="16">
        <v>90</v>
      </c>
      <c r="M2823" s="17">
        <v>3600</v>
      </c>
      <c r="N2823" s="15" t="s">
        <v>367</v>
      </c>
      <c r="O2823" s="15" t="s">
        <v>19</v>
      </c>
      <c r="Q2823"/>
    </row>
    <row r="2824" spans="1:17" ht="15.6" x14ac:dyDescent="0.3">
      <c r="A2824" s="11">
        <v>10390</v>
      </c>
      <c r="B2824" s="10">
        <v>38573</v>
      </c>
      <c r="C2824" s="10" t="s">
        <v>288</v>
      </c>
      <c r="D2824" s="11" t="s">
        <v>88</v>
      </c>
      <c r="E2824" s="11" t="s">
        <v>89</v>
      </c>
      <c r="F2824" s="11" t="s">
        <v>15</v>
      </c>
      <c r="G2824" s="11" t="s">
        <v>16</v>
      </c>
      <c r="H2824" s="11" t="s">
        <v>32</v>
      </c>
      <c r="I2824" s="11" t="s">
        <v>45</v>
      </c>
      <c r="J2824" s="11" t="s">
        <v>253</v>
      </c>
      <c r="K2824" s="11">
        <v>50</v>
      </c>
      <c r="L2824" s="12">
        <v>35</v>
      </c>
      <c r="M2824" s="13">
        <v>1750</v>
      </c>
      <c r="N2824" s="11" t="s">
        <v>368</v>
      </c>
      <c r="O2824" s="11" t="s">
        <v>19</v>
      </c>
      <c r="Q2824"/>
    </row>
    <row r="2825" spans="1:17" ht="15.6" x14ac:dyDescent="0.3">
      <c r="A2825" s="15">
        <v>10390</v>
      </c>
      <c r="B2825" s="14">
        <v>38573</v>
      </c>
      <c r="C2825" s="14" t="s">
        <v>288</v>
      </c>
      <c r="D2825" s="15" t="s">
        <v>88</v>
      </c>
      <c r="E2825" s="15" t="s">
        <v>89</v>
      </c>
      <c r="F2825" s="15" t="s">
        <v>15</v>
      </c>
      <c r="G2825" s="15" t="s">
        <v>16</v>
      </c>
      <c r="H2825" s="15" t="s">
        <v>68</v>
      </c>
      <c r="I2825" s="15" t="s">
        <v>69</v>
      </c>
      <c r="J2825" s="15" t="s">
        <v>266</v>
      </c>
      <c r="K2825" s="15">
        <v>36</v>
      </c>
      <c r="L2825" s="16">
        <v>25</v>
      </c>
      <c r="M2825" s="17">
        <v>900</v>
      </c>
      <c r="N2825" s="15" t="s">
        <v>367</v>
      </c>
      <c r="O2825" s="15" t="s">
        <v>19</v>
      </c>
      <c r="Q2825"/>
    </row>
    <row r="2826" spans="1:17" ht="15.6" x14ac:dyDescent="0.3">
      <c r="A2826" s="11">
        <v>10390</v>
      </c>
      <c r="B2826" s="10">
        <v>38573</v>
      </c>
      <c r="C2826" s="10" t="s">
        <v>288</v>
      </c>
      <c r="D2826" s="11" t="s">
        <v>88</v>
      </c>
      <c r="E2826" s="11" t="s">
        <v>89</v>
      </c>
      <c r="F2826" s="11" t="s">
        <v>15</v>
      </c>
      <c r="G2826" s="11" t="s">
        <v>16</v>
      </c>
      <c r="H2826" s="11" t="s">
        <v>32</v>
      </c>
      <c r="I2826" s="11" t="s">
        <v>46</v>
      </c>
      <c r="J2826" s="11" t="s">
        <v>254</v>
      </c>
      <c r="K2826" s="11">
        <v>49</v>
      </c>
      <c r="L2826" s="12">
        <v>90</v>
      </c>
      <c r="M2826" s="13">
        <v>4410</v>
      </c>
      <c r="N2826" s="11" t="s">
        <v>367</v>
      </c>
      <c r="O2826" s="11" t="s">
        <v>19</v>
      </c>
      <c r="Q2826"/>
    </row>
    <row r="2827" spans="1:17" ht="15.6" x14ac:dyDescent="0.3">
      <c r="A2827" s="15">
        <v>10390</v>
      </c>
      <c r="B2827" s="14">
        <v>38573</v>
      </c>
      <c r="C2827" s="14" t="s">
        <v>288</v>
      </c>
      <c r="D2827" s="15" t="s">
        <v>88</v>
      </c>
      <c r="E2827" s="15" t="s">
        <v>89</v>
      </c>
      <c r="F2827" s="15" t="s">
        <v>15</v>
      </c>
      <c r="G2827" s="15" t="s">
        <v>16</v>
      </c>
      <c r="H2827" s="15" t="s">
        <v>68</v>
      </c>
      <c r="I2827" s="15" t="s">
        <v>69</v>
      </c>
      <c r="J2827" s="15" t="s">
        <v>266</v>
      </c>
      <c r="K2827" s="15">
        <v>35</v>
      </c>
      <c r="L2827" s="16">
        <v>25</v>
      </c>
      <c r="M2827" s="17">
        <v>875</v>
      </c>
      <c r="N2827" s="15" t="s">
        <v>367</v>
      </c>
      <c r="O2827" s="15" t="s">
        <v>19</v>
      </c>
      <c r="Q2827"/>
    </row>
    <row r="2828" spans="1:17" ht="15.6" x14ac:dyDescent="0.3">
      <c r="A2828" s="11">
        <v>10390</v>
      </c>
      <c r="B2828" s="10">
        <v>38573</v>
      </c>
      <c r="C2828" s="10" t="s">
        <v>288</v>
      </c>
      <c r="D2828" s="11" t="s">
        <v>88</v>
      </c>
      <c r="E2828" s="11" t="s">
        <v>89</v>
      </c>
      <c r="F2828" s="11" t="s">
        <v>15</v>
      </c>
      <c r="G2828" s="11" t="s">
        <v>16</v>
      </c>
      <c r="H2828" s="11" t="s">
        <v>32</v>
      </c>
      <c r="I2828" s="11" t="s">
        <v>45</v>
      </c>
      <c r="J2828" s="11" t="s">
        <v>253</v>
      </c>
      <c r="K2828" s="11">
        <v>37</v>
      </c>
      <c r="L2828" s="12">
        <v>35</v>
      </c>
      <c r="M2828" s="13">
        <v>1295</v>
      </c>
      <c r="N2828" s="11" t="s">
        <v>367</v>
      </c>
      <c r="O2828" s="11" t="s">
        <v>19</v>
      </c>
      <c r="Q2828"/>
    </row>
    <row r="2829" spans="1:17" ht="15.6" x14ac:dyDescent="0.3">
      <c r="A2829" s="15">
        <v>10390</v>
      </c>
      <c r="B2829" s="14">
        <v>38573</v>
      </c>
      <c r="C2829" s="14" t="s">
        <v>288</v>
      </c>
      <c r="D2829" s="15" t="s">
        <v>88</v>
      </c>
      <c r="E2829" s="15" t="s">
        <v>89</v>
      </c>
      <c r="F2829" s="15" t="s">
        <v>15</v>
      </c>
      <c r="G2829" s="15" t="s">
        <v>16</v>
      </c>
      <c r="H2829" s="15" t="s">
        <v>32</v>
      </c>
      <c r="I2829" s="15" t="s">
        <v>33</v>
      </c>
      <c r="J2829" s="15" t="s">
        <v>245</v>
      </c>
      <c r="K2829" s="15">
        <v>46</v>
      </c>
      <c r="L2829" s="16">
        <v>85</v>
      </c>
      <c r="M2829" s="17">
        <v>3910</v>
      </c>
      <c r="N2829" s="15" t="s">
        <v>367</v>
      </c>
      <c r="O2829" s="15" t="s">
        <v>19</v>
      </c>
      <c r="Q2829"/>
    </row>
    <row r="2830" spans="1:17" ht="15.6" x14ac:dyDescent="0.3">
      <c r="A2830" s="11">
        <v>10390</v>
      </c>
      <c r="B2830" s="10">
        <v>38573</v>
      </c>
      <c r="C2830" s="10" t="s">
        <v>288</v>
      </c>
      <c r="D2830" s="11" t="s">
        <v>88</v>
      </c>
      <c r="E2830" s="11" t="s">
        <v>89</v>
      </c>
      <c r="F2830" s="11" t="s">
        <v>15</v>
      </c>
      <c r="G2830" s="11" t="s">
        <v>16</v>
      </c>
      <c r="H2830" s="11" t="s">
        <v>32</v>
      </c>
      <c r="I2830" s="11" t="s">
        <v>46</v>
      </c>
      <c r="J2830" s="11" t="s">
        <v>254</v>
      </c>
      <c r="K2830" s="11">
        <v>45</v>
      </c>
      <c r="L2830" s="12">
        <v>90</v>
      </c>
      <c r="M2830" s="13">
        <v>4050</v>
      </c>
      <c r="N2830" s="11" t="s">
        <v>367</v>
      </c>
      <c r="O2830" s="11" t="s">
        <v>19</v>
      </c>
      <c r="Q2830"/>
    </row>
    <row r="2831" spans="1:17" ht="15.6" x14ac:dyDescent="0.3">
      <c r="A2831" s="15">
        <v>10390</v>
      </c>
      <c r="B2831" s="14">
        <v>38574</v>
      </c>
      <c r="C2831" s="14" t="s">
        <v>288</v>
      </c>
      <c r="D2831" s="15" t="s">
        <v>88</v>
      </c>
      <c r="E2831" s="15" t="s">
        <v>89</v>
      </c>
      <c r="F2831" s="15" t="s">
        <v>15</v>
      </c>
      <c r="G2831" s="15" t="s">
        <v>16</v>
      </c>
      <c r="H2831" s="15" t="s">
        <v>32</v>
      </c>
      <c r="I2831" s="15" t="s">
        <v>44</v>
      </c>
      <c r="J2831" s="15" t="s">
        <v>252</v>
      </c>
      <c r="K2831" s="15">
        <v>30</v>
      </c>
      <c r="L2831" s="16">
        <v>55</v>
      </c>
      <c r="M2831" s="17">
        <v>1650</v>
      </c>
      <c r="N2831" s="15" t="s">
        <v>367</v>
      </c>
      <c r="O2831" s="15" t="s">
        <v>19</v>
      </c>
      <c r="Q2831"/>
    </row>
    <row r="2832" spans="1:17" ht="15.6" x14ac:dyDescent="0.3">
      <c r="A2832" s="11">
        <v>10390</v>
      </c>
      <c r="B2832" s="10">
        <v>38574</v>
      </c>
      <c r="C2832" s="10" t="s">
        <v>288</v>
      </c>
      <c r="D2832" s="11" t="s">
        <v>88</v>
      </c>
      <c r="E2832" s="11" t="s">
        <v>89</v>
      </c>
      <c r="F2832" s="11" t="s">
        <v>15</v>
      </c>
      <c r="G2832" s="11" t="s">
        <v>16</v>
      </c>
      <c r="H2832" s="11" t="s">
        <v>68</v>
      </c>
      <c r="I2832" s="11" t="s">
        <v>70</v>
      </c>
      <c r="J2832" s="11" t="s">
        <v>267</v>
      </c>
      <c r="K2832" s="11">
        <v>41</v>
      </c>
      <c r="L2832" s="12">
        <v>50</v>
      </c>
      <c r="M2832" s="13">
        <v>2050</v>
      </c>
      <c r="N2832" s="11" t="s">
        <v>367</v>
      </c>
      <c r="O2832" s="11" t="s">
        <v>19</v>
      </c>
      <c r="Q2832"/>
    </row>
    <row r="2833" spans="1:17" ht="15.6" x14ac:dyDescent="0.3">
      <c r="A2833" s="15">
        <v>10390</v>
      </c>
      <c r="B2833" s="14">
        <v>38574</v>
      </c>
      <c r="C2833" s="14" t="s">
        <v>288</v>
      </c>
      <c r="D2833" s="15" t="s">
        <v>88</v>
      </c>
      <c r="E2833" s="15" t="s">
        <v>89</v>
      </c>
      <c r="F2833" s="15" t="s">
        <v>15</v>
      </c>
      <c r="G2833" s="15" t="s">
        <v>16</v>
      </c>
      <c r="H2833" s="15" t="s">
        <v>68</v>
      </c>
      <c r="I2833" s="15" t="s">
        <v>70</v>
      </c>
      <c r="J2833" s="15" t="s">
        <v>267</v>
      </c>
      <c r="K2833" s="15">
        <v>45</v>
      </c>
      <c r="L2833" s="16">
        <v>50</v>
      </c>
      <c r="M2833" s="17">
        <v>2250</v>
      </c>
      <c r="N2833" s="15" t="s">
        <v>367</v>
      </c>
      <c r="O2833" s="15" t="s">
        <v>19</v>
      </c>
      <c r="Q2833"/>
    </row>
    <row r="2834" spans="1:17" ht="15.6" x14ac:dyDescent="0.3">
      <c r="A2834" s="11">
        <v>10390</v>
      </c>
      <c r="B2834" s="10">
        <v>38579</v>
      </c>
      <c r="C2834" s="10" t="s">
        <v>288</v>
      </c>
      <c r="D2834" s="11" t="s">
        <v>88</v>
      </c>
      <c r="E2834" s="11" t="s">
        <v>89</v>
      </c>
      <c r="F2834" s="11" t="s">
        <v>15</v>
      </c>
      <c r="G2834" s="11" t="s">
        <v>16</v>
      </c>
      <c r="H2834" s="11" t="s">
        <v>68</v>
      </c>
      <c r="I2834" s="11" t="s">
        <v>69</v>
      </c>
      <c r="J2834" s="11" t="s">
        <v>266</v>
      </c>
      <c r="K2834" s="11">
        <v>22</v>
      </c>
      <c r="L2834" s="12">
        <v>25</v>
      </c>
      <c r="M2834" s="13">
        <v>550</v>
      </c>
      <c r="N2834" s="11" t="s">
        <v>367</v>
      </c>
      <c r="O2834" s="11" t="s">
        <v>19</v>
      </c>
      <c r="Q2834"/>
    </row>
    <row r="2835" spans="1:17" ht="15.6" x14ac:dyDescent="0.3">
      <c r="A2835" s="15">
        <v>10391</v>
      </c>
      <c r="B2835" s="14">
        <v>38579</v>
      </c>
      <c r="C2835" s="14" t="s">
        <v>313</v>
      </c>
      <c r="D2835" s="15" t="s">
        <v>141</v>
      </c>
      <c r="E2835" s="15" t="s">
        <v>142</v>
      </c>
      <c r="F2835" s="15" t="s">
        <v>106</v>
      </c>
      <c r="G2835" s="15" t="s">
        <v>107</v>
      </c>
      <c r="H2835" s="15" t="s">
        <v>32</v>
      </c>
      <c r="I2835" s="15" t="s">
        <v>34</v>
      </c>
      <c r="J2835" s="15" t="s">
        <v>246</v>
      </c>
      <c r="K2835" s="15">
        <v>24</v>
      </c>
      <c r="L2835" s="16">
        <v>80</v>
      </c>
      <c r="M2835" s="17">
        <v>1920</v>
      </c>
      <c r="N2835" s="15" t="s">
        <v>367</v>
      </c>
      <c r="O2835" s="15" t="s">
        <v>19</v>
      </c>
      <c r="Q2835"/>
    </row>
    <row r="2836" spans="1:17" ht="15.6" x14ac:dyDescent="0.3">
      <c r="A2836" s="11">
        <v>10391</v>
      </c>
      <c r="B2836" s="10">
        <v>38579</v>
      </c>
      <c r="C2836" s="10" t="s">
        <v>313</v>
      </c>
      <c r="D2836" s="11" t="s">
        <v>141</v>
      </c>
      <c r="E2836" s="11" t="s">
        <v>142</v>
      </c>
      <c r="F2836" s="11" t="s">
        <v>106</v>
      </c>
      <c r="G2836" s="11" t="s">
        <v>107</v>
      </c>
      <c r="H2836" s="11" t="s">
        <v>32</v>
      </c>
      <c r="I2836" s="11" t="s">
        <v>46</v>
      </c>
      <c r="J2836" s="11" t="s">
        <v>254</v>
      </c>
      <c r="K2836" s="11">
        <v>37</v>
      </c>
      <c r="L2836" s="12">
        <v>90</v>
      </c>
      <c r="M2836" s="13">
        <v>3330</v>
      </c>
      <c r="N2836" s="11" t="s">
        <v>367</v>
      </c>
      <c r="O2836" s="11" t="s">
        <v>19</v>
      </c>
      <c r="Q2836"/>
    </row>
    <row r="2837" spans="1:17" ht="15.6" x14ac:dyDescent="0.3">
      <c r="A2837" s="15">
        <v>10391</v>
      </c>
      <c r="B2837" s="14">
        <v>38579</v>
      </c>
      <c r="C2837" s="14" t="s">
        <v>313</v>
      </c>
      <c r="D2837" s="15" t="s">
        <v>141</v>
      </c>
      <c r="E2837" s="15" t="s">
        <v>142</v>
      </c>
      <c r="F2837" s="15" t="s">
        <v>106</v>
      </c>
      <c r="G2837" s="15" t="s">
        <v>107</v>
      </c>
      <c r="H2837" s="15" t="s">
        <v>35</v>
      </c>
      <c r="I2837" s="15" t="s">
        <v>38</v>
      </c>
      <c r="J2837" s="15" t="s">
        <v>249</v>
      </c>
      <c r="K2837" s="15">
        <v>39</v>
      </c>
      <c r="L2837" s="16">
        <v>20</v>
      </c>
      <c r="M2837" s="17">
        <v>780</v>
      </c>
      <c r="N2837" s="15" t="s">
        <v>367</v>
      </c>
      <c r="O2837" s="15" t="s">
        <v>19</v>
      </c>
      <c r="Q2837"/>
    </row>
    <row r="2838" spans="1:17" ht="15.6" x14ac:dyDescent="0.3">
      <c r="A2838" s="11">
        <v>10391</v>
      </c>
      <c r="B2838" s="10">
        <v>38579</v>
      </c>
      <c r="C2838" s="10" t="s">
        <v>313</v>
      </c>
      <c r="D2838" s="11" t="s">
        <v>141</v>
      </c>
      <c r="E2838" s="11" t="s">
        <v>142</v>
      </c>
      <c r="F2838" s="11" t="s">
        <v>106</v>
      </c>
      <c r="G2838" s="11" t="s">
        <v>107</v>
      </c>
      <c r="H2838" s="11" t="s">
        <v>35</v>
      </c>
      <c r="I2838" s="11" t="s">
        <v>36</v>
      </c>
      <c r="J2838" s="11" t="s">
        <v>247</v>
      </c>
      <c r="K2838" s="11">
        <v>29</v>
      </c>
      <c r="L2838" s="12">
        <v>30</v>
      </c>
      <c r="M2838" s="13">
        <v>870</v>
      </c>
      <c r="N2838" s="11" t="s">
        <v>367</v>
      </c>
      <c r="O2838" s="11" t="s">
        <v>19</v>
      </c>
      <c r="Q2838"/>
    </row>
    <row r="2839" spans="1:17" ht="15.6" x14ac:dyDescent="0.3">
      <c r="A2839" s="15">
        <v>10391</v>
      </c>
      <c r="B2839" s="14">
        <v>38579</v>
      </c>
      <c r="C2839" s="14" t="s">
        <v>313</v>
      </c>
      <c r="D2839" s="15" t="s">
        <v>141</v>
      </c>
      <c r="E2839" s="15" t="s">
        <v>142</v>
      </c>
      <c r="F2839" s="15" t="s">
        <v>106</v>
      </c>
      <c r="G2839" s="15" t="s">
        <v>107</v>
      </c>
      <c r="H2839" s="15" t="s">
        <v>17</v>
      </c>
      <c r="I2839" s="15" t="s">
        <v>18</v>
      </c>
      <c r="J2839" s="15" t="s">
        <v>241</v>
      </c>
      <c r="K2839" s="15">
        <v>35</v>
      </c>
      <c r="L2839" s="16">
        <v>30</v>
      </c>
      <c r="M2839" s="17">
        <v>1050</v>
      </c>
      <c r="N2839" s="15" t="s">
        <v>367</v>
      </c>
      <c r="O2839" s="15" t="s">
        <v>19</v>
      </c>
      <c r="Q2839"/>
    </row>
    <row r="2840" spans="1:17" ht="15.6" x14ac:dyDescent="0.3">
      <c r="A2840" s="11">
        <v>10391</v>
      </c>
      <c r="B2840" s="10">
        <v>38579</v>
      </c>
      <c r="C2840" s="10" t="s">
        <v>313</v>
      </c>
      <c r="D2840" s="11" t="s">
        <v>141</v>
      </c>
      <c r="E2840" s="11" t="s">
        <v>142</v>
      </c>
      <c r="F2840" s="11" t="s">
        <v>106</v>
      </c>
      <c r="G2840" s="11" t="s">
        <v>107</v>
      </c>
      <c r="H2840" s="11" t="s">
        <v>17</v>
      </c>
      <c r="I2840" s="11" t="s">
        <v>20</v>
      </c>
      <c r="J2840" s="11" t="s">
        <v>242</v>
      </c>
      <c r="K2840" s="11">
        <v>42</v>
      </c>
      <c r="L2840" s="12">
        <v>48</v>
      </c>
      <c r="M2840" s="13">
        <v>2016</v>
      </c>
      <c r="N2840" s="11" t="s">
        <v>367</v>
      </c>
      <c r="O2840" s="11" t="s">
        <v>19</v>
      </c>
      <c r="Q2840"/>
    </row>
    <row r="2841" spans="1:17" ht="15.6" x14ac:dyDescent="0.3">
      <c r="A2841" s="15">
        <v>10391</v>
      </c>
      <c r="B2841" s="14">
        <v>38581</v>
      </c>
      <c r="C2841" s="14" t="s">
        <v>313</v>
      </c>
      <c r="D2841" s="15" t="s">
        <v>141</v>
      </c>
      <c r="E2841" s="15" t="s">
        <v>142</v>
      </c>
      <c r="F2841" s="15" t="s">
        <v>106</v>
      </c>
      <c r="G2841" s="15" t="s">
        <v>107</v>
      </c>
      <c r="H2841" s="15" t="s">
        <v>35</v>
      </c>
      <c r="I2841" s="15" t="s">
        <v>39</v>
      </c>
      <c r="J2841" s="15" t="s">
        <v>250</v>
      </c>
      <c r="K2841" s="15">
        <v>44</v>
      </c>
      <c r="L2841" s="16">
        <v>20</v>
      </c>
      <c r="M2841" s="17">
        <v>880</v>
      </c>
      <c r="N2841" s="15" t="s">
        <v>367</v>
      </c>
      <c r="O2841" s="15" t="s">
        <v>19</v>
      </c>
      <c r="Q2841"/>
    </row>
    <row r="2842" spans="1:17" ht="15.6" x14ac:dyDescent="0.3">
      <c r="A2842" s="11">
        <v>10391</v>
      </c>
      <c r="B2842" s="10">
        <v>38581</v>
      </c>
      <c r="C2842" s="10" t="s">
        <v>313</v>
      </c>
      <c r="D2842" s="11" t="s">
        <v>141</v>
      </c>
      <c r="E2842" s="11" t="s">
        <v>142</v>
      </c>
      <c r="F2842" s="11" t="s">
        <v>106</v>
      </c>
      <c r="G2842" s="11" t="s">
        <v>107</v>
      </c>
      <c r="H2842" s="11" t="s">
        <v>17</v>
      </c>
      <c r="I2842" s="11" t="s">
        <v>20</v>
      </c>
      <c r="J2842" s="11" t="s">
        <v>242</v>
      </c>
      <c r="K2842" s="11">
        <v>32</v>
      </c>
      <c r="L2842" s="12">
        <v>48</v>
      </c>
      <c r="M2842" s="13">
        <v>1536</v>
      </c>
      <c r="N2842" s="11" t="s">
        <v>367</v>
      </c>
      <c r="O2842" s="11" t="s">
        <v>19</v>
      </c>
      <c r="Q2842"/>
    </row>
    <row r="2843" spans="1:17" ht="15.6" x14ac:dyDescent="0.3">
      <c r="A2843" s="15">
        <v>10391</v>
      </c>
      <c r="B2843" s="14">
        <v>38581</v>
      </c>
      <c r="C2843" s="14" t="s">
        <v>313</v>
      </c>
      <c r="D2843" s="15" t="s">
        <v>141</v>
      </c>
      <c r="E2843" s="15" t="s">
        <v>142</v>
      </c>
      <c r="F2843" s="15" t="s">
        <v>106</v>
      </c>
      <c r="G2843" s="15" t="s">
        <v>107</v>
      </c>
      <c r="H2843" s="15" t="s">
        <v>17</v>
      </c>
      <c r="I2843" s="15" t="s">
        <v>26</v>
      </c>
      <c r="J2843" s="15" t="s">
        <v>244</v>
      </c>
      <c r="K2843" s="15">
        <v>33</v>
      </c>
      <c r="L2843" s="16">
        <v>60</v>
      </c>
      <c r="M2843" s="17">
        <v>1980</v>
      </c>
      <c r="N2843" s="15" t="s">
        <v>367</v>
      </c>
      <c r="O2843" s="15" t="s">
        <v>19</v>
      </c>
      <c r="Q2843"/>
    </row>
    <row r="2844" spans="1:17" ht="15.6" x14ac:dyDescent="0.3">
      <c r="A2844" s="11">
        <v>10391</v>
      </c>
      <c r="B2844" s="10">
        <v>38581</v>
      </c>
      <c r="C2844" s="10" t="s">
        <v>313</v>
      </c>
      <c r="D2844" s="11" t="s">
        <v>141</v>
      </c>
      <c r="E2844" s="11" t="s">
        <v>142</v>
      </c>
      <c r="F2844" s="11" t="s">
        <v>106</v>
      </c>
      <c r="G2844" s="11" t="s">
        <v>107</v>
      </c>
      <c r="H2844" s="11" t="s">
        <v>17</v>
      </c>
      <c r="I2844" s="11" t="s">
        <v>82</v>
      </c>
      <c r="J2844" s="11" t="s">
        <v>270</v>
      </c>
      <c r="K2844" s="11">
        <v>24</v>
      </c>
      <c r="L2844" s="12">
        <v>75</v>
      </c>
      <c r="M2844" s="13">
        <v>1800</v>
      </c>
      <c r="N2844" s="11" t="s">
        <v>367</v>
      </c>
      <c r="O2844" s="11" t="s">
        <v>19</v>
      </c>
      <c r="Q2844"/>
    </row>
    <row r="2845" spans="1:17" ht="15.6" x14ac:dyDescent="0.3">
      <c r="A2845" s="15">
        <v>10392</v>
      </c>
      <c r="B2845" s="14">
        <v>38587</v>
      </c>
      <c r="C2845" s="14" t="s">
        <v>324</v>
      </c>
      <c r="D2845" s="15" t="s">
        <v>161</v>
      </c>
      <c r="E2845" s="15" t="s">
        <v>162</v>
      </c>
      <c r="F2845" s="15" t="s">
        <v>103</v>
      </c>
      <c r="G2845" s="15" t="s">
        <v>25</v>
      </c>
      <c r="H2845" s="15" t="s">
        <v>17</v>
      </c>
      <c r="I2845" s="15" t="s">
        <v>20</v>
      </c>
      <c r="J2845" s="15" t="s">
        <v>242</v>
      </c>
      <c r="K2845" s="15">
        <v>37</v>
      </c>
      <c r="L2845" s="16">
        <v>48</v>
      </c>
      <c r="M2845" s="17">
        <v>1776</v>
      </c>
      <c r="N2845" s="15" t="s">
        <v>367</v>
      </c>
      <c r="O2845" s="15" t="s">
        <v>19</v>
      </c>
      <c r="Q2845"/>
    </row>
    <row r="2846" spans="1:17" ht="15.6" x14ac:dyDescent="0.3">
      <c r="A2846" s="11">
        <v>10392</v>
      </c>
      <c r="B2846" s="10">
        <v>38587</v>
      </c>
      <c r="C2846" s="10" t="s">
        <v>324</v>
      </c>
      <c r="D2846" s="11" t="s">
        <v>161</v>
      </c>
      <c r="E2846" s="11" t="s">
        <v>162</v>
      </c>
      <c r="F2846" s="11" t="s">
        <v>103</v>
      </c>
      <c r="G2846" s="11" t="s">
        <v>25</v>
      </c>
      <c r="H2846" s="11" t="s">
        <v>17</v>
      </c>
      <c r="I2846" s="11" t="s">
        <v>26</v>
      </c>
      <c r="J2846" s="11" t="s">
        <v>244</v>
      </c>
      <c r="K2846" s="11">
        <v>29</v>
      </c>
      <c r="L2846" s="12">
        <v>60</v>
      </c>
      <c r="M2846" s="13">
        <v>1740</v>
      </c>
      <c r="N2846" s="11" t="s">
        <v>367</v>
      </c>
      <c r="O2846" s="11" t="s">
        <v>19</v>
      </c>
      <c r="Q2846"/>
    </row>
    <row r="2847" spans="1:17" ht="15.6" x14ac:dyDescent="0.3">
      <c r="A2847" s="15">
        <v>10392</v>
      </c>
      <c r="B2847" s="14">
        <v>38587</v>
      </c>
      <c r="C2847" s="14" t="s">
        <v>324</v>
      </c>
      <c r="D2847" s="15" t="s">
        <v>161</v>
      </c>
      <c r="E2847" s="15" t="s">
        <v>162</v>
      </c>
      <c r="F2847" s="15" t="s">
        <v>103</v>
      </c>
      <c r="G2847" s="15" t="s">
        <v>25</v>
      </c>
      <c r="H2847" s="15" t="s">
        <v>17</v>
      </c>
      <c r="I2847" s="15" t="s">
        <v>20</v>
      </c>
      <c r="J2847" s="15" t="s">
        <v>242</v>
      </c>
      <c r="K2847" s="15">
        <v>36</v>
      </c>
      <c r="L2847" s="16">
        <v>48</v>
      </c>
      <c r="M2847" s="17">
        <v>1728</v>
      </c>
      <c r="N2847" s="15" t="s">
        <v>367</v>
      </c>
      <c r="O2847" s="15" t="s">
        <v>19</v>
      </c>
      <c r="Q2847"/>
    </row>
    <row r="2848" spans="1:17" ht="15.6" x14ac:dyDescent="0.3">
      <c r="A2848" s="11">
        <v>10394</v>
      </c>
      <c r="B2848" s="10">
        <v>38587</v>
      </c>
      <c r="C2848" s="10" t="s">
        <v>279</v>
      </c>
      <c r="D2848" s="11" t="s">
        <v>41</v>
      </c>
      <c r="E2848" s="11" t="s">
        <v>42</v>
      </c>
      <c r="F2848" s="11" t="s">
        <v>43</v>
      </c>
      <c r="G2848" s="11" t="s">
        <v>25</v>
      </c>
      <c r="H2848" s="11" t="s">
        <v>32</v>
      </c>
      <c r="I2848" s="11" t="s">
        <v>44</v>
      </c>
      <c r="J2848" s="11" t="s">
        <v>252</v>
      </c>
      <c r="K2848" s="11">
        <v>22</v>
      </c>
      <c r="L2848" s="12">
        <v>55</v>
      </c>
      <c r="M2848" s="13">
        <v>1210</v>
      </c>
      <c r="N2848" s="11" t="s">
        <v>367</v>
      </c>
      <c r="O2848" s="11" t="s">
        <v>19</v>
      </c>
      <c r="Q2848"/>
    </row>
    <row r="2849" spans="1:17" ht="15.6" x14ac:dyDescent="0.3">
      <c r="A2849" s="15">
        <v>10394</v>
      </c>
      <c r="B2849" s="14">
        <v>38587</v>
      </c>
      <c r="C2849" s="14" t="s">
        <v>279</v>
      </c>
      <c r="D2849" s="15" t="s">
        <v>41</v>
      </c>
      <c r="E2849" s="15" t="s">
        <v>42</v>
      </c>
      <c r="F2849" s="15" t="s">
        <v>43</v>
      </c>
      <c r="G2849" s="15" t="s">
        <v>25</v>
      </c>
      <c r="H2849" s="15" t="s">
        <v>32</v>
      </c>
      <c r="I2849" s="15" t="s">
        <v>33</v>
      </c>
      <c r="J2849" s="15" t="s">
        <v>245</v>
      </c>
      <c r="K2849" s="15">
        <v>37</v>
      </c>
      <c r="L2849" s="16">
        <v>85</v>
      </c>
      <c r="M2849" s="17">
        <v>3145</v>
      </c>
      <c r="N2849" s="15" t="s">
        <v>367</v>
      </c>
      <c r="O2849" s="15" t="s">
        <v>19</v>
      </c>
      <c r="Q2849"/>
    </row>
    <row r="2850" spans="1:17" ht="15.6" x14ac:dyDescent="0.3">
      <c r="A2850" s="11">
        <v>10394</v>
      </c>
      <c r="B2850" s="10">
        <v>38587</v>
      </c>
      <c r="C2850" s="10" t="s">
        <v>279</v>
      </c>
      <c r="D2850" s="11" t="s">
        <v>41</v>
      </c>
      <c r="E2850" s="11" t="s">
        <v>42</v>
      </c>
      <c r="F2850" s="11" t="s">
        <v>43</v>
      </c>
      <c r="G2850" s="11" t="s">
        <v>25</v>
      </c>
      <c r="H2850" s="11" t="s">
        <v>32</v>
      </c>
      <c r="I2850" s="11" t="s">
        <v>45</v>
      </c>
      <c r="J2850" s="11" t="s">
        <v>253</v>
      </c>
      <c r="K2850" s="11">
        <v>31</v>
      </c>
      <c r="L2850" s="12">
        <v>35</v>
      </c>
      <c r="M2850" s="13">
        <v>1085</v>
      </c>
      <c r="N2850" s="11" t="s">
        <v>367</v>
      </c>
      <c r="O2850" s="11" t="s">
        <v>19</v>
      </c>
      <c r="Q2850"/>
    </row>
    <row r="2851" spans="1:17" ht="15.6" x14ac:dyDescent="0.3">
      <c r="A2851" s="15">
        <v>10394</v>
      </c>
      <c r="B2851" s="14">
        <v>38587</v>
      </c>
      <c r="C2851" s="14" t="s">
        <v>279</v>
      </c>
      <c r="D2851" s="15" t="s">
        <v>41</v>
      </c>
      <c r="E2851" s="15" t="s">
        <v>42</v>
      </c>
      <c r="F2851" s="15" t="s">
        <v>43</v>
      </c>
      <c r="G2851" s="15" t="s">
        <v>25</v>
      </c>
      <c r="H2851" s="15" t="s">
        <v>32</v>
      </c>
      <c r="I2851" s="15" t="s">
        <v>46</v>
      </c>
      <c r="J2851" s="15" t="s">
        <v>254</v>
      </c>
      <c r="K2851" s="15">
        <v>46</v>
      </c>
      <c r="L2851" s="16">
        <v>90</v>
      </c>
      <c r="M2851" s="17">
        <v>4140</v>
      </c>
      <c r="N2851" s="15" t="s">
        <v>367</v>
      </c>
      <c r="O2851" s="15" t="s">
        <v>19</v>
      </c>
      <c r="Q2851"/>
    </row>
    <row r="2852" spans="1:17" ht="15.6" x14ac:dyDescent="0.3">
      <c r="A2852" s="11">
        <v>10394</v>
      </c>
      <c r="B2852" s="10">
        <v>38587</v>
      </c>
      <c r="C2852" s="10" t="s">
        <v>279</v>
      </c>
      <c r="D2852" s="11" t="s">
        <v>41</v>
      </c>
      <c r="E2852" s="11" t="s">
        <v>42</v>
      </c>
      <c r="F2852" s="11" t="s">
        <v>43</v>
      </c>
      <c r="G2852" s="11" t="s">
        <v>25</v>
      </c>
      <c r="H2852" s="11" t="s">
        <v>32</v>
      </c>
      <c r="I2852" s="11" t="s">
        <v>33</v>
      </c>
      <c r="J2852" s="11" t="s">
        <v>245</v>
      </c>
      <c r="K2852" s="11">
        <v>37</v>
      </c>
      <c r="L2852" s="12">
        <v>85</v>
      </c>
      <c r="M2852" s="13">
        <v>3145</v>
      </c>
      <c r="N2852" s="11" t="s">
        <v>367</v>
      </c>
      <c r="O2852" s="11" t="s">
        <v>19</v>
      </c>
      <c r="Q2852"/>
    </row>
    <row r="2853" spans="1:17" ht="15.6" x14ac:dyDescent="0.3">
      <c r="A2853" s="15">
        <v>10394</v>
      </c>
      <c r="B2853" s="14">
        <v>38592</v>
      </c>
      <c r="C2853" s="14" t="s">
        <v>279</v>
      </c>
      <c r="D2853" s="15" t="s">
        <v>41</v>
      </c>
      <c r="E2853" s="15" t="s">
        <v>42</v>
      </c>
      <c r="F2853" s="15" t="s">
        <v>43</v>
      </c>
      <c r="G2853" s="15" t="s">
        <v>25</v>
      </c>
      <c r="H2853" s="15" t="s">
        <v>35</v>
      </c>
      <c r="I2853" s="15" t="s">
        <v>38</v>
      </c>
      <c r="J2853" s="15" t="s">
        <v>249</v>
      </c>
      <c r="K2853" s="15">
        <v>36</v>
      </c>
      <c r="L2853" s="16">
        <v>20</v>
      </c>
      <c r="M2853" s="17">
        <v>720</v>
      </c>
      <c r="N2853" s="15" t="s">
        <v>367</v>
      </c>
      <c r="O2853" s="15" t="s">
        <v>19</v>
      </c>
      <c r="Q2853"/>
    </row>
    <row r="2854" spans="1:17" ht="15.6" x14ac:dyDescent="0.3">
      <c r="A2854" s="11">
        <v>10394</v>
      </c>
      <c r="B2854" s="10">
        <v>38592</v>
      </c>
      <c r="C2854" s="10" t="s">
        <v>279</v>
      </c>
      <c r="D2854" s="11" t="s">
        <v>41</v>
      </c>
      <c r="E2854" s="11" t="s">
        <v>42</v>
      </c>
      <c r="F2854" s="11" t="s">
        <v>43</v>
      </c>
      <c r="G2854" s="11" t="s">
        <v>25</v>
      </c>
      <c r="H2854" s="11" t="s">
        <v>47</v>
      </c>
      <c r="I2854" s="11" t="s">
        <v>119</v>
      </c>
      <c r="J2854" s="11" t="s">
        <v>272</v>
      </c>
      <c r="K2854" s="11">
        <v>30</v>
      </c>
      <c r="L2854" s="12">
        <v>60</v>
      </c>
      <c r="M2854" s="13">
        <v>1800</v>
      </c>
      <c r="N2854" s="11" t="s">
        <v>367</v>
      </c>
      <c r="O2854" s="11" t="s">
        <v>19</v>
      </c>
      <c r="Q2854"/>
    </row>
    <row r="2855" spans="1:17" ht="15.6" x14ac:dyDescent="0.3">
      <c r="A2855" s="15">
        <v>10395</v>
      </c>
      <c r="B2855" s="14">
        <v>38592</v>
      </c>
      <c r="C2855" s="14" t="s">
        <v>305</v>
      </c>
      <c r="D2855" s="15" t="s">
        <v>126</v>
      </c>
      <c r="E2855" s="15" t="s">
        <v>91</v>
      </c>
      <c r="F2855" s="15" t="s">
        <v>92</v>
      </c>
      <c r="G2855" s="15" t="s">
        <v>25</v>
      </c>
      <c r="H2855" s="15" t="s">
        <v>32</v>
      </c>
      <c r="I2855" s="15" t="s">
        <v>33</v>
      </c>
      <c r="J2855" s="15" t="s">
        <v>245</v>
      </c>
      <c r="K2855" s="15">
        <v>32</v>
      </c>
      <c r="L2855" s="16">
        <v>85</v>
      </c>
      <c r="M2855" s="17">
        <v>2720</v>
      </c>
      <c r="N2855" s="15" t="s">
        <v>367</v>
      </c>
      <c r="O2855" s="15" t="s">
        <v>19</v>
      </c>
      <c r="Q2855"/>
    </row>
    <row r="2856" spans="1:17" ht="15.6" x14ac:dyDescent="0.3">
      <c r="A2856" s="11">
        <v>10395</v>
      </c>
      <c r="B2856" s="10">
        <v>38592</v>
      </c>
      <c r="C2856" s="10" t="s">
        <v>305</v>
      </c>
      <c r="D2856" s="11" t="s">
        <v>126</v>
      </c>
      <c r="E2856" s="11" t="s">
        <v>91</v>
      </c>
      <c r="F2856" s="11" t="s">
        <v>92</v>
      </c>
      <c r="G2856" s="11" t="s">
        <v>25</v>
      </c>
      <c r="H2856" s="11" t="s">
        <v>32</v>
      </c>
      <c r="I2856" s="11" t="s">
        <v>34</v>
      </c>
      <c r="J2856" s="11" t="s">
        <v>246</v>
      </c>
      <c r="K2856" s="11">
        <v>33</v>
      </c>
      <c r="L2856" s="12">
        <v>80</v>
      </c>
      <c r="M2856" s="13">
        <v>2640</v>
      </c>
      <c r="N2856" s="11" t="s">
        <v>367</v>
      </c>
      <c r="O2856" s="11" t="s">
        <v>19</v>
      </c>
      <c r="Q2856"/>
    </row>
    <row r="2857" spans="1:17" ht="15.6" x14ac:dyDescent="0.3">
      <c r="A2857" s="15">
        <v>10395</v>
      </c>
      <c r="B2857" s="14">
        <v>38592</v>
      </c>
      <c r="C2857" s="14" t="s">
        <v>305</v>
      </c>
      <c r="D2857" s="15" t="s">
        <v>126</v>
      </c>
      <c r="E2857" s="15" t="s">
        <v>91</v>
      </c>
      <c r="F2857" s="15" t="s">
        <v>92</v>
      </c>
      <c r="G2857" s="15" t="s">
        <v>25</v>
      </c>
      <c r="H2857" s="15" t="s">
        <v>35</v>
      </c>
      <c r="I2857" s="15" t="s">
        <v>36</v>
      </c>
      <c r="J2857" s="15" t="s">
        <v>247</v>
      </c>
      <c r="K2857" s="15">
        <v>46</v>
      </c>
      <c r="L2857" s="16">
        <v>30</v>
      </c>
      <c r="M2857" s="17">
        <v>1380</v>
      </c>
      <c r="N2857" s="15" t="s">
        <v>367</v>
      </c>
      <c r="O2857" s="15" t="s">
        <v>19</v>
      </c>
      <c r="Q2857"/>
    </row>
    <row r="2858" spans="1:17" ht="15.6" x14ac:dyDescent="0.3">
      <c r="A2858" s="11">
        <v>10395</v>
      </c>
      <c r="B2858" s="10">
        <v>38594</v>
      </c>
      <c r="C2858" s="10" t="s">
        <v>305</v>
      </c>
      <c r="D2858" s="11" t="s">
        <v>126</v>
      </c>
      <c r="E2858" s="11" t="s">
        <v>91</v>
      </c>
      <c r="F2858" s="11" t="s">
        <v>92</v>
      </c>
      <c r="G2858" s="11" t="s">
        <v>25</v>
      </c>
      <c r="H2858" s="11" t="s">
        <v>47</v>
      </c>
      <c r="I2858" s="11" t="s">
        <v>48</v>
      </c>
      <c r="J2858" s="11" t="s">
        <v>255</v>
      </c>
      <c r="K2858" s="11">
        <v>45</v>
      </c>
      <c r="L2858" s="12">
        <v>70</v>
      </c>
      <c r="M2858" s="13">
        <v>3150</v>
      </c>
      <c r="N2858" s="11" t="s">
        <v>367</v>
      </c>
      <c r="O2858" s="11" t="s">
        <v>19</v>
      </c>
      <c r="Q2858"/>
    </row>
    <row r="2859" spans="1:17" ht="15.6" x14ac:dyDescent="0.3">
      <c r="A2859" s="15">
        <v>10396</v>
      </c>
      <c r="B2859" s="14">
        <v>38594</v>
      </c>
      <c r="C2859" s="14" t="s">
        <v>288</v>
      </c>
      <c r="D2859" s="15" t="s">
        <v>88</v>
      </c>
      <c r="E2859" s="15" t="s">
        <v>89</v>
      </c>
      <c r="F2859" s="15" t="s">
        <v>15</v>
      </c>
      <c r="G2859" s="15" t="s">
        <v>16</v>
      </c>
      <c r="H2859" s="15" t="s">
        <v>32</v>
      </c>
      <c r="I2859" s="15" t="s">
        <v>34</v>
      </c>
      <c r="J2859" s="15" t="s">
        <v>246</v>
      </c>
      <c r="K2859" s="15">
        <v>33</v>
      </c>
      <c r="L2859" s="16">
        <v>80</v>
      </c>
      <c r="M2859" s="17">
        <v>2640</v>
      </c>
      <c r="N2859" s="15" t="s">
        <v>367</v>
      </c>
      <c r="O2859" s="15" t="s">
        <v>19</v>
      </c>
      <c r="Q2859"/>
    </row>
    <row r="2860" spans="1:17" ht="15.6" x14ac:dyDescent="0.3">
      <c r="A2860" s="11">
        <v>10396</v>
      </c>
      <c r="B2860" s="10">
        <v>38594</v>
      </c>
      <c r="C2860" s="10" t="s">
        <v>288</v>
      </c>
      <c r="D2860" s="11" t="s">
        <v>88</v>
      </c>
      <c r="E2860" s="11" t="s">
        <v>89</v>
      </c>
      <c r="F2860" s="11" t="s">
        <v>15</v>
      </c>
      <c r="G2860" s="11" t="s">
        <v>16</v>
      </c>
      <c r="H2860" s="11" t="s">
        <v>17</v>
      </c>
      <c r="I2860" s="11" t="s">
        <v>20</v>
      </c>
      <c r="J2860" s="11" t="s">
        <v>242</v>
      </c>
      <c r="K2860" s="11">
        <v>33</v>
      </c>
      <c r="L2860" s="12">
        <v>48</v>
      </c>
      <c r="M2860" s="13">
        <v>1584</v>
      </c>
      <c r="N2860" s="11" t="s">
        <v>367</v>
      </c>
      <c r="O2860" s="11" t="s">
        <v>19</v>
      </c>
      <c r="Q2860"/>
    </row>
    <row r="2861" spans="1:17" ht="15.6" x14ac:dyDescent="0.3">
      <c r="A2861" s="15">
        <v>10396</v>
      </c>
      <c r="B2861" s="14">
        <v>38594</v>
      </c>
      <c r="C2861" s="14" t="s">
        <v>288</v>
      </c>
      <c r="D2861" s="15" t="s">
        <v>88</v>
      </c>
      <c r="E2861" s="15" t="s">
        <v>89</v>
      </c>
      <c r="F2861" s="15" t="s">
        <v>15</v>
      </c>
      <c r="G2861" s="15" t="s">
        <v>16</v>
      </c>
      <c r="H2861" s="15" t="s">
        <v>47</v>
      </c>
      <c r="I2861" s="15" t="s">
        <v>119</v>
      </c>
      <c r="J2861" s="15" t="s">
        <v>272</v>
      </c>
      <c r="K2861" s="15">
        <v>24</v>
      </c>
      <c r="L2861" s="16">
        <v>60</v>
      </c>
      <c r="M2861" s="17">
        <v>1440</v>
      </c>
      <c r="N2861" s="15" t="s">
        <v>367</v>
      </c>
      <c r="O2861" s="15" t="s">
        <v>19</v>
      </c>
      <c r="Q2861"/>
    </row>
    <row r="2862" spans="1:17" ht="15.6" x14ac:dyDescent="0.3">
      <c r="A2862" s="11">
        <v>10396</v>
      </c>
      <c r="B2862" s="10">
        <v>38594</v>
      </c>
      <c r="C2862" s="10" t="s">
        <v>288</v>
      </c>
      <c r="D2862" s="11" t="s">
        <v>88</v>
      </c>
      <c r="E2862" s="11" t="s">
        <v>89</v>
      </c>
      <c r="F2862" s="11" t="s">
        <v>15</v>
      </c>
      <c r="G2862" s="11" t="s">
        <v>16</v>
      </c>
      <c r="H2862" s="11" t="s">
        <v>17</v>
      </c>
      <c r="I2862" s="11" t="s">
        <v>20</v>
      </c>
      <c r="J2862" s="11" t="s">
        <v>242</v>
      </c>
      <c r="K2862" s="11">
        <v>45</v>
      </c>
      <c r="L2862" s="12">
        <v>48</v>
      </c>
      <c r="M2862" s="13">
        <v>2160</v>
      </c>
      <c r="N2862" s="11" t="s">
        <v>367</v>
      </c>
      <c r="O2862" s="11" t="s">
        <v>19</v>
      </c>
      <c r="Q2862"/>
    </row>
    <row r="2863" spans="1:17" ht="15.6" x14ac:dyDescent="0.3">
      <c r="A2863" s="15">
        <v>10396</v>
      </c>
      <c r="B2863" s="14">
        <v>38594</v>
      </c>
      <c r="C2863" s="14" t="s">
        <v>288</v>
      </c>
      <c r="D2863" s="15" t="s">
        <v>88</v>
      </c>
      <c r="E2863" s="15" t="s">
        <v>89</v>
      </c>
      <c r="F2863" s="15" t="s">
        <v>15</v>
      </c>
      <c r="G2863" s="15" t="s">
        <v>16</v>
      </c>
      <c r="H2863" s="15" t="s">
        <v>54</v>
      </c>
      <c r="I2863" s="15" t="s">
        <v>57</v>
      </c>
      <c r="J2863" s="15" t="s">
        <v>260</v>
      </c>
      <c r="K2863" s="15">
        <v>49</v>
      </c>
      <c r="L2863" s="16">
        <v>220</v>
      </c>
      <c r="M2863" s="17">
        <v>10780</v>
      </c>
      <c r="N2863" s="15" t="s">
        <v>367</v>
      </c>
      <c r="O2863" s="15" t="s">
        <v>19</v>
      </c>
      <c r="Q2863"/>
    </row>
    <row r="2864" spans="1:17" ht="15.6" x14ac:dyDescent="0.3">
      <c r="A2864" s="11">
        <v>10396</v>
      </c>
      <c r="B2864" s="10">
        <v>38594</v>
      </c>
      <c r="C2864" s="10" t="s">
        <v>288</v>
      </c>
      <c r="D2864" s="11" t="s">
        <v>88</v>
      </c>
      <c r="E2864" s="11" t="s">
        <v>89</v>
      </c>
      <c r="F2864" s="11" t="s">
        <v>15</v>
      </c>
      <c r="G2864" s="11" t="s">
        <v>16</v>
      </c>
      <c r="H2864" s="11" t="s">
        <v>17</v>
      </c>
      <c r="I2864" s="11" t="s">
        <v>82</v>
      </c>
      <c r="J2864" s="11" t="s">
        <v>270</v>
      </c>
      <c r="K2864" s="11">
        <v>27</v>
      </c>
      <c r="L2864" s="12">
        <v>75</v>
      </c>
      <c r="M2864" s="13">
        <v>2025</v>
      </c>
      <c r="N2864" s="11" t="s">
        <v>367</v>
      </c>
      <c r="O2864" s="11" t="s">
        <v>19</v>
      </c>
      <c r="Q2864"/>
    </row>
    <row r="2865" spans="1:17" ht="15.6" x14ac:dyDescent="0.3">
      <c r="A2865" s="15">
        <v>10396</v>
      </c>
      <c r="B2865" s="14">
        <v>38594</v>
      </c>
      <c r="C2865" s="14" t="s">
        <v>288</v>
      </c>
      <c r="D2865" s="15" t="s">
        <v>88</v>
      </c>
      <c r="E2865" s="15" t="s">
        <v>89</v>
      </c>
      <c r="F2865" s="15" t="s">
        <v>15</v>
      </c>
      <c r="G2865" s="15" t="s">
        <v>16</v>
      </c>
      <c r="H2865" s="15" t="s">
        <v>17</v>
      </c>
      <c r="I2865" s="15" t="s">
        <v>20</v>
      </c>
      <c r="J2865" s="15" t="s">
        <v>242</v>
      </c>
      <c r="K2865" s="15">
        <v>37</v>
      </c>
      <c r="L2865" s="16">
        <v>48</v>
      </c>
      <c r="M2865" s="17">
        <v>1776</v>
      </c>
      <c r="N2865" s="15" t="s">
        <v>367</v>
      </c>
      <c r="O2865" s="15" t="s">
        <v>19</v>
      </c>
      <c r="Q2865"/>
    </row>
    <row r="2866" spans="1:17" ht="15.6" x14ac:dyDescent="0.3">
      <c r="A2866" s="11">
        <v>10396</v>
      </c>
      <c r="B2866" s="10">
        <v>38594</v>
      </c>
      <c r="C2866" s="10" t="s">
        <v>288</v>
      </c>
      <c r="D2866" s="11" t="s">
        <v>88</v>
      </c>
      <c r="E2866" s="11" t="s">
        <v>89</v>
      </c>
      <c r="F2866" s="11" t="s">
        <v>15</v>
      </c>
      <c r="G2866" s="11" t="s">
        <v>16</v>
      </c>
      <c r="H2866" s="11" t="s">
        <v>54</v>
      </c>
      <c r="I2866" s="11" t="s">
        <v>56</v>
      </c>
      <c r="J2866" s="11" t="s">
        <v>259</v>
      </c>
      <c r="K2866" s="11">
        <v>39</v>
      </c>
      <c r="L2866" s="12">
        <v>250</v>
      </c>
      <c r="M2866" s="13">
        <v>9750</v>
      </c>
      <c r="N2866" s="11" t="s">
        <v>367</v>
      </c>
      <c r="O2866" s="11" t="s">
        <v>19</v>
      </c>
      <c r="Q2866"/>
    </row>
    <row r="2867" spans="1:17" ht="15.6" x14ac:dyDescent="0.3">
      <c r="A2867" s="15">
        <v>10397</v>
      </c>
      <c r="B2867" s="14">
        <v>38594</v>
      </c>
      <c r="C2867" s="14" t="s">
        <v>306</v>
      </c>
      <c r="D2867" s="15" t="s">
        <v>127</v>
      </c>
      <c r="E2867" s="15" t="s">
        <v>128</v>
      </c>
      <c r="F2867" s="15" t="s">
        <v>92</v>
      </c>
      <c r="G2867" s="15" t="s">
        <v>25</v>
      </c>
      <c r="H2867" s="15" t="s">
        <v>54</v>
      </c>
      <c r="I2867" s="15" t="s">
        <v>56</v>
      </c>
      <c r="J2867" s="15" t="s">
        <v>259</v>
      </c>
      <c r="K2867" s="15">
        <v>32</v>
      </c>
      <c r="L2867" s="16">
        <v>250</v>
      </c>
      <c r="M2867" s="17">
        <v>8000</v>
      </c>
      <c r="N2867" s="15" t="s">
        <v>367</v>
      </c>
      <c r="O2867" s="15" t="s">
        <v>19</v>
      </c>
      <c r="Q2867"/>
    </row>
    <row r="2868" spans="1:17" ht="15.6" x14ac:dyDescent="0.3">
      <c r="A2868" s="11">
        <v>10397</v>
      </c>
      <c r="B2868" s="10">
        <v>38594</v>
      </c>
      <c r="C2868" s="10" t="s">
        <v>306</v>
      </c>
      <c r="D2868" s="11" t="s">
        <v>127</v>
      </c>
      <c r="E2868" s="11" t="s">
        <v>128</v>
      </c>
      <c r="F2868" s="11" t="s">
        <v>92</v>
      </c>
      <c r="G2868" s="11" t="s">
        <v>25</v>
      </c>
      <c r="H2868" s="11" t="s">
        <v>54</v>
      </c>
      <c r="I2868" s="11" t="s">
        <v>166</v>
      </c>
      <c r="J2868" s="11" t="s">
        <v>273</v>
      </c>
      <c r="K2868" s="11">
        <v>22</v>
      </c>
      <c r="L2868" s="12">
        <v>160</v>
      </c>
      <c r="M2868" s="13">
        <v>3520</v>
      </c>
      <c r="N2868" s="11" t="s">
        <v>367</v>
      </c>
      <c r="O2868" s="11" t="s">
        <v>19</v>
      </c>
      <c r="Q2868"/>
    </row>
    <row r="2869" spans="1:17" ht="15.6" x14ac:dyDescent="0.3">
      <c r="A2869" s="15">
        <v>10397</v>
      </c>
      <c r="B2869" s="14">
        <v>38594</v>
      </c>
      <c r="C2869" s="14" t="s">
        <v>306</v>
      </c>
      <c r="D2869" s="15" t="s">
        <v>127</v>
      </c>
      <c r="E2869" s="15" t="s">
        <v>128</v>
      </c>
      <c r="F2869" s="15" t="s">
        <v>92</v>
      </c>
      <c r="G2869" s="15" t="s">
        <v>25</v>
      </c>
      <c r="H2869" s="15" t="s">
        <v>54</v>
      </c>
      <c r="I2869" s="15" t="s">
        <v>56</v>
      </c>
      <c r="J2869" s="15" t="s">
        <v>259</v>
      </c>
      <c r="K2869" s="15">
        <v>48</v>
      </c>
      <c r="L2869" s="16">
        <v>250</v>
      </c>
      <c r="M2869" s="17">
        <v>12000</v>
      </c>
      <c r="N2869" s="15" t="s">
        <v>367</v>
      </c>
      <c r="O2869" s="15" t="s">
        <v>19</v>
      </c>
      <c r="Q2869"/>
    </row>
    <row r="2870" spans="1:17" ht="15.6" x14ac:dyDescent="0.3">
      <c r="A2870" s="11">
        <v>10397</v>
      </c>
      <c r="B2870" s="10">
        <v>38594</v>
      </c>
      <c r="C2870" s="10" t="s">
        <v>306</v>
      </c>
      <c r="D2870" s="11" t="s">
        <v>127</v>
      </c>
      <c r="E2870" s="11" t="s">
        <v>128</v>
      </c>
      <c r="F2870" s="11" t="s">
        <v>92</v>
      </c>
      <c r="G2870" s="11" t="s">
        <v>25</v>
      </c>
      <c r="H2870" s="11" t="s">
        <v>54</v>
      </c>
      <c r="I2870" s="11" t="s">
        <v>57</v>
      </c>
      <c r="J2870" s="11" t="s">
        <v>260</v>
      </c>
      <c r="K2870" s="11">
        <v>36</v>
      </c>
      <c r="L2870" s="12">
        <v>220</v>
      </c>
      <c r="M2870" s="13">
        <v>7920</v>
      </c>
      <c r="N2870" s="11" t="s">
        <v>367</v>
      </c>
      <c r="O2870" s="11" t="s">
        <v>19</v>
      </c>
      <c r="Q2870"/>
    </row>
    <row r="2871" spans="1:17" ht="15.6" x14ac:dyDescent="0.3">
      <c r="A2871" s="15">
        <v>10397</v>
      </c>
      <c r="B2871" s="14">
        <v>38594</v>
      </c>
      <c r="C2871" s="14" t="s">
        <v>306</v>
      </c>
      <c r="D2871" s="15" t="s">
        <v>127</v>
      </c>
      <c r="E2871" s="15" t="s">
        <v>128</v>
      </c>
      <c r="F2871" s="15" t="s">
        <v>92</v>
      </c>
      <c r="G2871" s="15" t="s">
        <v>25</v>
      </c>
      <c r="H2871" s="15" t="s">
        <v>54</v>
      </c>
      <c r="I2871" s="15" t="s">
        <v>56</v>
      </c>
      <c r="J2871" s="15" t="s">
        <v>259</v>
      </c>
      <c r="K2871" s="15">
        <v>34</v>
      </c>
      <c r="L2871" s="16">
        <v>250</v>
      </c>
      <c r="M2871" s="17">
        <v>8500</v>
      </c>
      <c r="N2871" s="15" t="s">
        <v>367</v>
      </c>
      <c r="O2871" s="15" t="s">
        <v>19</v>
      </c>
      <c r="Q2871"/>
    </row>
    <row r="2872" spans="1:17" ht="15.6" x14ac:dyDescent="0.3">
      <c r="A2872" s="11">
        <v>10398</v>
      </c>
      <c r="B2872" s="10">
        <v>38594</v>
      </c>
      <c r="C2872" s="10" t="s">
        <v>296</v>
      </c>
      <c r="D2872" s="11" t="s">
        <v>109</v>
      </c>
      <c r="E2872" s="11" t="s">
        <v>110</v>
      </c>
      <c r="F2872" s="11" t="s">
        <v>92</v>
      </c>
      <c r="G2872" s="11" t="s">
        <v>25</v>
      </c>
      <c r="H2872" s="11" t="s">
        <v>61</v>
      </c>
      <c r="I2872" s="11" t="s">
        <v>65</v>
      </c>
      <c r="J2872" s="11" t="s">
        <v>264</v>
      </c>
      <c r="K2872" s="11">
        <v>33</v>
      </c>
      <c r="L2872" s="12">
        <v>30</v>
      </c>
      <c r="M2872" s="13">
        <v>990</v>
      </c>
      <c r="N2872" s="11" t="s">
        <v>367</v>
      </c>
      <c r="O2872" s="11" t="s">
        <v>19</v>
      </c>
      <c r="Q2872"/>
    </row>
    <row r="2873" spans="1:17" ht="15.6" x14ac:dyDescent="0.3">
      <c r="A2873" s="15">
        <v>10398</v>
      </c>
      <c r="B2873" s="14">
        <v>38594</v>
      </c>
      <c r="C2873" s="14" t="s">
        <v>296</v>
      </c>
      <c r="D2873" s="15" t="s">
        <v>109</v>
      </c>
      <c r="E2873" s="15" t="s">
        <v>110</v>
      </c>
      <c r="F2873" s="15" t="s">
        <v>92</v>
      </c>
      <c r="G2873" s="15" t="s">
        <v>25</v>
      </c>
      <c r="H2873" s="15" t="s">
        <v>61</v>
      </c>
      <c r="I2873" s="15" t="s">
        <v>62</v>
      </c>
      <c r="J2873" s="15" t="s">
        <v>261</v>
      </c>
      <c r="K2873" s="15">
        <v>34</v>
      </c>
      <c r="L2873" s="16">
        <v>15</v>
      </c>
      <c r="M2873" s="17">
        <v>510</v>
      </c>
      <c r="N2873" s="15" t="s">
        <v>367</v>
      </c>
      <c r="O2873" s="15" t="s">
        <v>19</v>
      </c>
      <c r="Q2873"/>
    </row>
    <row r="2874" spans="1:17" ht="15.6" x14ac:dyDescent="0.3">
      <c r="A2874" s="11">
        <v>10398</v>
      </c>
      <c r="B2874" s="10">
        <v>38594</v>
      </c>
      <c r="C2874" s="10" t="s">
        <v>296</v>
      </c>
      <c r="D2874" s="11" t="s">
        <v>109</v>
      </c>
      <c r="E2874" s="11" t="s">
        <v>110</v>
      </c>
      <c r="F2874" s="11" t="s">
        <v>92</v>
      </c>
      <c r="G2874" s="11" t="s">
        <v>25</v>
      </c>
      <c r="H2874" s="11" t="s">
        <v>54</v>
      </c>
      <c r="I2874" s="11" t="s">
        <v>55</v>
      </c>
      <c r="J2874" s="11" t="s">
        <v>258</v>
      </c>
      <c r="K2874" s="11">
        <v>28</v>
      </c>
      <c r="L2874" s="12">
        <v>180</v>
      </c>
      <c r="M2874" s="13">
        <v>5040</v>
      </c>
      <c r="N2874" s="11" t="s">
        <v>367</v>
      </c>
      <c r="O2874" s="11" t="s">
        <v>19</v>
      </c>
      <c r="Q2874"/>
    </row>
    <row r="2875" spans="1:17" ht="15.6" x14ac:dyDescent="0.3">
      <c r="A2875" s="15">
        <v>10398</v>
      </c>
      <c r="B2875" s="14">
        <v>38594</v>
      </c>
      <c r="C2875" s="14" t="s">
        <v>296</v>
      </c>
      <c r="D2875" s="15" t="s">
        <v>109</v>
      </c>
      <c r="E2875" s="15" t="s">
        <v>110</v>
      </c>
      <c r="F2875" s="15" t="s">
        <v>92</v>
      </c>
      <c r="G2875" s="15" t="s">
        <v>25</v>
      </c>
      <c r="H2875" s="15" t="s">
        <v>17</v>
      </c>
      <c r="I2875" s="15" t="s">
        <v>20</v>
      </c>
      <c r="J2875" s="15" t="s">
        <v>242</v>
      </c>
      <c r="K2875" s="15">
        <v>45</v>
      </c>
      <c r="L2875" s="16">
        <v>48</v>
      </c>
      <c r="M2875" s="17">
        <v>2160</v>
      </c>
      <c r="N2875" s="15" t="s">
        <v>367</v>
      </c>
      <c r="O2875" s="15" t="s">
        <v>19</v>
      </c>
      <c r="Q2875"/>
    </row>
    <row r="2876" spans="1:17" ht="15.6" x14ac:dyDescent="0.3">
      <c r="A2876" s="11">
        <v>10398</v>
      </c>
      <c r="B2876" s="10">
        <v>38596</v>
      </c>
      <c r="C2876" s="10" t="s">
        <v>296</v>
      </c>
      <c r="D2876" s="11" t="s">
        <v>109</v>
      </c>
      <c r="E2876" s="11" t="s">
        <v>110</v>
      </c>
      <c r="F2876" s="11" t="s">
        <v>92</v>
      </c>
      <c r="G2876" s="11" t="s">
        <v>25</v>
      </c>
      <c r="H2876" s="11" t="s">
        <v>61</v>
      </c>
      <c r="I2876" s="11" t="s">
        <v>66</v>
      </c>
      <c r="J2876" s="11" t="s">
        <v>265</v>
      </c>
      <c r="K2876" s="11">
        <v>43</v>
      </c>
      <c r="L2876" s="12">
        <v>35</v>
      </c>
      <c r="M2876" s="13">
        <v>1505</v>
      </c>
      <c r="N2876" s="11" t="s">
        <v>367</v>
      </c>
      <c r="O2876" s="11" t="s">
        <v>19</v>
      </c>
      <c r="Q2876"/>
    </row>
    <row r="2877" spans="1:17" ht="15.6" x14ac:dyDescent="0.3">
      <c r="A2877" s="15">
        <v>10398</v>
      </c>
      <c r="B2877" s="14">
        <v>38596</v>
      </c>
      <c r="C2877" s="14" t="s">
        <v>296</v>
      </c>
      <c r="D2877" s="15" t="s">
        <v>109</v>
      </c>
      <c r="E2877" s="15" t="s">
        <v>110</v>
      </c>
      <c r="F2877" s="15" t="s">
        <v>92</v>
      </c>
      <c r="G2877" s="15" t="s">
        <v>25</v>
      </c>
      <c r="H2877" s="15" t="s">
        <v>61</v>
      </c>
      <c r="I2877" s="15" t="s">
        <v>62</v>
      </c>
      <c r="J2877" s="15" t="s">
        <v>261</v>
      </c>
      <c r="K2877" s="15">
        <v>28</v>
      </c>
      <c r="L2877" s="16">
        <v>15</v>
      </c>
      <c r="M2877" s="17">
        <v>420</v>
      </c>
      <c r="N2877" s="15" t="s">
        <v>367</v>
      </c>
      <c r="O2877" s="15" t="s">
        <v>19</v>
      </c>
      <c r="Q2877"/>
    </row>
    <row r="2878" spans="1:17" ht="15.6" x14ac:dyDescent="0.3">
      <c r="A2878" s="11">
        <v>10398</v>
      </c>
      <c r="B2878" s="10">
        <v>38596</v>
      </c>
      <c r="C2878" s="10" t="s">
        <v>296</v>
      </c>
      <c r="D2878" s="11" t="s">
        <v>109</v>
      </c>
      <c r="E2878" s="11" t="s">
        <v>110</v>
      </c>
      <c r="F2878" s="11" t="s">
        <v>92</v>
      </c>
      <c r="G2878" s="11" t="s">
        <v>25</v>
      </c>
      <c r="H2878" s="11" t="s">
        <v>17</v>
      </c>
      <c r="I2878" s="11" t="s">
        <v>20</v>
      </c>
      <c r="J2878" s="11" t="s">
        <v>242</v>
      </c>
      <c r="K2878" s="11">
        <v>34</v>
      </c>
      <c r="L2878" s="12">
        <v>48</v>
      </c>
      <c r="M2878" s="13">
        <v>1632</v>
      </c>
      <c r="N2878" s="11" t="s">
        <v>367</v>
      </c>
      <c r="O2878" s="11" t="s">
        <v>19</v>
      </c>
      <c r="Q2878"/>
    </row>
    <row r="2879" spans="1:17" ht="15.6" x14ac:dyDescent="0.3">
      <c r="A2879" s="15">
        <v>10398</v>
      </c>
      <c r="B2879" s="14">
        <v>38596</v>
      </c>
      <c r="C2879" s="14" t="s">
        <v>296</v>
      </c>
      <c r="D2879" s="15" t="s">
        <v>109</v>
      </c>
      <c r="E2879" s="15" t="s">
        <v>110</v>
      </c>
      <c r="F2879" s="15" t="s">
        <v>92</v>
      </c>
      <c r="G2879" s="15" t="s">
        <v>25</v>
      </c>
      <c r="H2879" s="15" t="s">
        <v>61</v>
      </c>
      <c r="I2879" s="15" t="s">
        <v>66</v>
      </c>
      <c r="J2879" s="15" t="s">
        <v>265</v>
      </c>
      <c r="K2879" s="15">
        <v>41</v>
      </c>
      <c r="L2879" s="16">
        <v>35</v>
      </c>
      <c r="M2879" s="17">
        <v>1435</v>
      </c>
      <c r="N2879" s="15" t="s">
        <v>367</v>
      </c>
      <c r="O2879" s="15" t="s">
        <v>19</v>
      </c>
      <c r="Q2879"/>
    </row>
    <row r="2880" spans="1:17" ht="15.6" x14ac:dyDescent="0.3">
      <c r="A2880" s="11">
        <v>10398</v>
      </c>
      <c r="B2880" s="10">
        <v>38596</v>
      </c>
      <c r="C2880" s="10" t="s">
        <v>296</v>
      </c>
      <c r="D2880" s="11" t="s">
        <v>109</v>
      </c>
      <c r="E2880" s="11" t="s">
        <v>110</v>
      </c>
      <c r="F2880" s="11" t="s">
        <v>92</v>
      </c>
      <c r="G2880" s="11" t="s">
        <v>25</v>
      </c>
      <c r="H2880" s="11" t="s">
        <v>61</v>
      </c>
      <c r="I2880" s="11" t="s">
        <v>63</v>
      </c>
      <c r="J2880" s="11" t="s">
        <v>262</v>
      </c>
      <c r="K2880" s="11">
        <v>45</v>
      </c>
      <c r="L2880" s="12">
        <v>40</v>
      </c>
      <c r="M2880" s="13">
        <v>1800</v>
      </c>
      <c r="N2880" s="11" t="s">
        <v>367</v>
      </c>
      <c r="O2880" s="11" t="s">
        <v>19</v>
      </c>
      <c r="Q2880"/>
    </row>
    <row r="2881" spans="1:17" ht="15.6" x14ac:dyDescent="0.3">
      <c r="A2881" s="15">
        <v>10398</v>
      </c>
      <c r="B2881" s="14">
        <v>38596</v>
      </c>
      <c r="C2881" s="14" t="s">
        <v>296</v>
      </c>
      <c r="D2881" s="15" t="s">
        <v>109</v>
      </c>
      <c r="E2881" s="15" t="s">
        <v>110</v>
      </c>
      <c r="F2881" s="15" t="s">
        <v>92</v>
      </c>
      <c r="G2881" s="15" t="s">
        <v>25</v>
      </c>
      <c r="H2881" s="15" t="s">
        <v>17</v>
      </c>
      <c r="I2881" s="15" t="s">
        <v>20</v>
      </c>
      <c r="J2881" s="15" t="s">
        <v>242</v>
      </c>
      <c r="K2881" s="15">
        <v>22</v>
      </c>
      <c r="L2881" s="16">
        <v>48</v>
      </c>
      <c r="M2881" s="17">
        <v>1056</v>
      </c>
      <c r="N2881" s="15" t="s">
        <v>367</v>
      </c>
      <c r="O2881" s="15" t="s">
        <v>19</v>
      </c>
      <c r="Q2881"/>
    </row>
    <row r="2882" spans="1:17" ht="15.6" x14ac:dyDescent="0.3">
      <c r="A2882" s="11">
        <v>10398</v>
      </c>
      <c r="B2882" s="10">
        <v>38596</v>
      </c>
      <c r="C2882" s="10" t="s">
        <v>296</v>
      </c>
      <c r="D2882" s="11" t="s">
        <v>109</v>
      </c>
      <c r="E2882" s="11" t="s">
        <v>110</v>
      </c>
      <c r="F2882" s="11" t="s">
        <v>92</v>
      </c>
      <c r="G2882" s="11" t="s">
        <v>25</v>
      </c>
      <c r="H2882" s="11" t="s">
        <v>17</v>
      </c>
      <c r="I2882" s="11" t="s">
        <v>20</v>
      </c>
      <c r="J2882" s="11" t="s">
        <v>242</v>
      </c>
      <c r="K2882" s="11">
        <v>49</v>
      </c>
      <c r="L2882" s="12">
        <v>48</v>
      </c>
      <c r="M2882" s="13">
        <v>2352</v>
      </c>
      <c r="N2882" s="11" t="s">
        <v>367</v>
      </c>
      <c r="O2882" s="11" t="s">
        <v>19</v>
      </c>
      <c r="Q2882"/>
    </row>
    <row r="2883" spans="1:17" ht="15.6" x14ac:dyDescent="0.3">
      <c r="A2883" s="15">
        <v>10398</v>
      </c>
      <c r="B2883" s="14">
        <v>38596</v>
      </c>
      <c r="C2883" s="14" t="s">
        <v>296</v>
      </c>
      <c r="D2883" s="15" t="s">
        <v>109</v>
      </c>
      <c r="E2883" s="15" t="s">
        <v>110</v>
      </c>
      <c r="F2883" s="15" t="s">
        <v>92</v>
      </c>
      <c r="G2883" s="15" t="s">
        <v>25</v>
      </c>
      <c r="H2883" s="15" t="s">
        <v>61</v>
      </c>
      <c r="I2883" s="15" t="s">
        <v>66</v>
      </c>
      <c r="J2883" s="15" t="s">
        <v>265</v>
      </c>
      <c r="K2883" s="15">
        <v>47</v>
      </c>
      <c r="L2883" s="16">
        <v>35</v>
      </c>
      <c r="M2883" s="17">
        <v>1645</v>
      </c>
      <c r="N2883" s="15" t="s">
        <v>367</v>
      </c>
      <c r="O2883" s="15" t="s">
        <v>19</v>
      </c>
      <c r="Q2883"/>
    </row>
    <row r="2884" spans="1:17" ht="15.6" x14ac:dyDescent="0.3">
      <c r="A2884" s="11">
        <v>10398</v>
      </c>
      <c r="B2884" s="10">
        <v>38596</v>
      </c>
      <c r="C2884" s="10" t="s">
        <v>296</v>
      </c>
      <c r="D2884" s="11" t="s">
        <v>109</v>
      </c>
      <c r="E2884" s="11" t="s">
        <v>110</v>
      </c>
      <c r="F2884" s="11" t="s">
        <v>92</v>
      </c>
      <c r="G2884" s="11" t="s">
        <v>25</v>
      </c>
      <c r="H2884" s="11" t="s">
        <v>54</v>
      </c>
      <c r="I2884" s="11" t="s">
        <v>57</v>
      </c>
      <c r="J2884" s="11" t="s">
        <v>260</v>
      </c>
      <c r="K2884" s="11">
        <v>36</v>
      </c>
      <c r="L2884" s="12">
        <v>220</v>
      </c>
      <c r="M2884" s="13">
        <v>7920</v>
      </c>
      <c r="N2884" s="11" t="s">
        <v>367</v>
      </c>
      <c r="O2884" s="11" t="s">
        <v>19</v>
      </c>
      <c r="Q2884"/>
    </row>
    <row r="2885" spans="1:17" ht="15.6" x14ac:dyDescent="0.3">
      <c r="A2885" s="15">
        <v>10398</v>
      </c>
      <c r="B2885" s="14">
        <v>38602</v>
      </c>
      <c r="C2885" s="14" t="s">
        <v>296</v>
      </c>
      <c r="D2885" s="15" t="s">
        <v>109</v>
      </c>
      <c r="E2885" s="15" t="s">
        <v>110</v>
      </c>
      <c r="F2885" s="15" t="s">
        <v>92</v>
      </c>
      <c r="G2885" s="15" t="s">
        <v>25</v>
      </c>
      <c r="H2885" s="15" t="s">
        <v>61</v>
      </c>
      <c r="I2885" s="15" t="s">
        <v>64</v>
      </c>
      <c r="J2885" s="15" t="s">
        <v>263</v>
      </c>
      <c r="K2885" s="15">
        <v>22</v>
      </c>
      <c r="L2885" s="16">
        <v>35</v>
      </c>
      <c r="M2885" s="17">
        <v>770</v>
      </c>
      <c r="N2885" s="15" t="s">
        <v>367</v>
      </c>
      <c r="O2885" s="15" t="s">
        <v>19</v>
      </c>
      <c r="Q2885"/>
    </row>
    <row r="2886" spans="1:17" ht="15.6" x14ac:dyDescent="0.3">
      <c r="A2886" s="11">
        <v>10398</v>
      </c>
      <c r="B2886" s="10">
        <v>38602</v>
      </c>
      <c r="C2886" s="10" t="s">
        <v>296</v>
      </c>
      <c r="D2886" s="11" t="s">
        <v>109</v>
      </c>
      <c r="E2886" s="11" t="s">
        <v>110</v>
      </c>
      <c r="F2886" s="11" t="s">
        <v>92</v>
      </c>
      <c r="G2886" s="11" t="s">
        <v>25</v>
      </c>
      <c r="H2886" s="11" t="s">
        <v>61</v>
      </c>
      <c r="I2886" s="11" t="s">
        <v>62</v>
      </c>
      <c r="J2886" s="11" t="s">
        <v>261</v>
      </c>
      <c r="K2886" s="11">
        <v>23</v>
      </c>
      <c r="L2886" s="12">
        <v>15</v>
      </c>
      <c r="M2886" s="13">
        <v>345</v>
      </c>
      <c r="N2886" s="11" t="s">
        <v>367</v>
      </c>
      <c r="O2886" s="11" t="s">
        <v>19</v>
      </c>
      <c r="Q2886"/>
    </row>
    <row r="2887" spans="1:17" ht="15.6" x14ac:dyDescent="0.3">
      <c r="A2887" s="15">
        <v>10398</v>
      </c>
      <c r="B2887" s="14">
        <v>38602</v>
      </c>
      <c r="C2887" s="14" t="s">
        <v>296</v>
      </c>
      <c r="D2887" s="15" t="s">
        <v>109</v>
      </c>
      <c r="E2887" s="15" t="s">
        <v>110</v>
      </c>
      <c r="F2887" s="15" t="s">
        <v>92</v>
      </c>
      <c r="G2887" s="15" t="s">
        <v>25</v>
      </c>
      <c r="H2887" s="15" t="s">
        <v>61</v>
      </c>
      <c r="I2887" s="15" t="s">
        <v>65</v>
      </c>
      <c r="J2887" s="15" t="s">
        <v>264</v>
      </c>
      <c r="K2887" s="15">
        <v>29</v>
      </c>
      <c r="L2887" s="16">
        <v>30</v>
      </c>
      <c r="M2887" s="17">
        <v>870</v>
      </c>
      <c r="N2887" s="15" t="s">
        <v>367</v>
      </c>
      <c r="O2887" s="15" t="s">
        <v>19</v>
      </c>
      <c r="Q2887"/>
    </row>
    <row r="2888" spans="1:17" ht="15.6" x14ac:dyDescent="0.3">
      <c r="A2888" s="11">
        <v>10398</v>
      </c>
      <c r="B2888" s="10">
        <v>38603</v>
      </c>
      <c r="C2888" s="10" t="s">
        <v>296</v>
      </c>
      <c r="D2888" s="11" t="s">
        <v>109</v>
      </c>
      <c r="E2888" s="11" t="s">
        <v>110</v>
      </c>
      <c r="F2888" s="11" t="s">
        <v>92</v>
      </c>
      <c r="G2888" s="11" t="s">
        <v>25</v>
      </c>
      <c r="H2888" s="11" t="s">
        <v>61</v>
      </c>
      <c r="I2888" s="11" t="s">
        <v>62</v>
      </c>
      <c r="J2888" s="11" t="s">
        <v>261</v>
      </c>
      <c r="K2888" s="11">
        <v>36</v>
      </c>
      <c r="L2888" s="12">
        <v>15</v>
      </c>
      <c r="M2888" s="13">
        <v>540</v>
      </c>
      <c r="N2888" s="11" t="s">
        <v>367</v>
      </c>
      <c r="O2888" s="11" t="s">
        <v>19</v>
      </c>
      <c r="Q2888"/>
    </row>
    <row r="2889" spans="1:17" ht="15.6" x14ac:dyDescent="0.3">
      <c r="A2889" s="15">
        <v>10398</v>
      </c>
      <c r="B2889" s="14">
        <v>38603</v>
      </c>
      <c r="C2889" s="14" t="s">
        <v>296</v>
      </c>
      <c r="D2889" s="15" t="s">
        <v>109</v>
      </c>
      <c r="E2889" s="15" t="s">
        <v>110</v>
      </c>
      <c r="F2889" s="15" t="s">
        <v>92</v>
      </c>
      <c r="G2889" s="15" t="s">
        <v>25</v>
      </c>
      <c r="H2889" s="15" t="s">
        <v>61</v>
      </c>
      <c r="I2889" s="15" t="s">
        <v>62</v>
      </c>
      <c r="J2889" s="15" t="s">
        <v>261</v>
      </c>
      <c r="K2889" s="15">
        <v>34</v>
      </c>
      <c r="L2889" s="16">
        <v>15</v>
      </c>
      <c r="M2889" s="17">
        <v>510</v>
      </c>
      <c r="N2889" s="15" t="s">
        <v>367</v>
      </c>
      <c r="O2889" s="15" t="s">
        <v>19</v>
      </c>
      <c r="Q2889"/>
    </row>
    <row r="2890" spans="1:17" ht="15.6" x14ac:dyDescent="0.3">
      <c r="A2890" s="11">
        <v>10400</v>
      </c>
      <c r="B2890" s="10">
        <v>38603</v>
      </c>
      <c r="C2890" s="10" t="s">
        <v>358</v>
      </c>
      <c r="D2890" s="11" t="s">
        <v>226</v>
      </c>
      <c r="E2890" s="11" t="s">
        <v>227</v>
      </c>
      <c r="F2890" s="11" t="s">
        <v>15</v>
      </c>
      <c r="G2890" s="11" t="s">
        <v>16</v>
      </c>
      <c r="H2890" s="11" t="s">
        <v>32</v>
      </c>
      <c r="I2890" s="11" t="s">
        <v>33</v>
      </c>
      <c r="J2890" s="11" t="s">
        <v>245</v>
      </c>
      <c r="K2890" s="11">
        <v>64</v>
      </c>
      <c r="L2890" s="12">
        <v>85</v>
      </c>
      <c r="M2890" s="13">
        <v>5440</v>
      </c>
      <c r="N2890" s="11" t="s">
        <v>368</v>
      </c>
      <c r="O2890" s="11" t="s">
        <v>19</v>
      </c>
      <c r="Q2890"/>
    </row>
    <row r="2891" spans="1:17" ht="15.6" x14ac:dyDescent="0.3">
      <c r="A2891" s="15">
        <v>10400</v>
      </c>
      <c r="B2891" s="14">
        <v>38603</v>
      </c>
      <c r="C2891" s="14" t="s">
        <v>358</v>
      </c>
      <c r="D2891" s="15" t="s">
        <v>226</v>
      </c>
      <c r="E2891" s="15" t="s">
        <v>227</v>
      </c>
      <c r="F2891" s="15" t="s">
        <v>15</v>
      </c>
      <c r="G2891" s="15" t="s">
        <v>16</v>
      </c>
      <c r="H2891" s="15" t="s">
        <v>61</v>
      </c>
      <c r="I2891" s="15" t="s">
        <v>62</v>
      </c>
      <c r="J2891" s="15" t="s">
        <v>261</v>
      </c>
      <c r="K2891" s="15">
        <v>34</v>
      </c>
      <c r="L2891" s="16">
        <v>15</v>
      </c>
      <c r="M2891" s="17">
        <v>510</v>
      </c>
      <c r="N2891" s="15" t="s">
        <v>367</v>
      </c>
      <c r="O2891" s="15" t="s">
        <v>19</v>
      </c>
      <c r="Q2891"/>
    </row>
    <row r="2892" spans="1:17" ht="15.6" x14ac:dyDescent="0.3">
      <c r="A2892" s="11">
        <v>10400</v>
      </c>
      <c r="B2892" s="10">
        <v>38603</v>
      </c>
      <c r="C2892" s="10" t="s">
        <v>358</v>
      </c>
      <c r="D2892" s="11" t="s">
        <v>226</v>
      </c>
      <c r="E2892" s="11" t="s">
        <v>227</v>
      </c>
      <c r="F2892" s="11" t="s">
        <v>15</v>
      </c>
      <c r="G2892" s="11" t="s">
        <v>16</v>
      </c>
      <c r="H2892" s="11" t="s">
        <v>54</v>
      </c>
      <c r="I2892" s="11" t="s">
        <v>56</v>
      </c>
      <c r="J2892" s="11" t="s">
        <v>259</v>
      </c>
      <c r="K2892" s="11">
        <v>30</v>
      </c>
      <c r="L2892" s="12">
        <v>250</v>
      </c>
      <c r="M2892" s="13">
        <v>7500</v>
      </c>
      <c r="N2892" s="11" t="s">
        <v>367</v>
      </c>
      <c r="O2892" s="11" t="s">
        <v>19</v>
      </c>
      <c r="Q2892"/>
    </row>
    <row r="2893" spans="1:17" ht="15.6" x14ac:dyDescent="0.3">
      <c r="A2893" s="15">
        <v>10400</v>
      </c>
      <c r="B2893" s="14">
        <v>38603</v>
      </c>
      <c r="C2893" s="14" t="s">
        <v>358</v>
      </c>
      <c r="D2893" s="15" t="s">
        <v>226</v>
      </c>
      <c r="E2893" s="15" t="s">
        <v>227</v>
      </c>
      <c r="F2893" s="15" t="s">
        <v>15</v>
      </c>
      <c r="G2893" s="15" t="s">
        <v>16</v>
      </c>
      <c r="H2893" s="15" t="s">
        <v>17</v>
      </c>
      <c r="I2893" s="15" t="s">
        <v>20</v>
      </c>
      <c r="J2893" s="15" t="s">
        <v>242</v>
      </c>
      <c r="K2893" s="15">
        <v>58</v>
      </c>
      <c r="L2893" s="16">
        <v>48</v>
      </c>
      <c r="M2893" s="17">
        <v>2784</v>
      </c>
      <c r="N2893" s="15" t="s">
        <v>368</v>
      </c>
      <c r="O2893" s="15" t="s">
        <v>19</v>
      </c>
      <c r="Q2893"/>
    </row>
    <row r="2894" spans="1:17" ht="15.6" x14ac:dyDescent="0.3">
      <c r="A2894" s="11">
        <v>10400</v>
      </c>
      <c r="B2894" s="10">
        <v>38603</v>
      </c>
      <c r="C2894" s="10" t="s">
        <v>358</v>
      </c>
      <c r="D2894" s="11" t="s">
        <v>226</v>
      </c>
      <c r="E2894" s="11" t="s">
        <v>227</v>
      </c>
      <c r="F2894" s="11" t="s">
        <v>15</v>
      </c>
      <c r="G2894" s="11" t="s">
        <v>16</v>
      </c>
      <c r="H2894" s="11" t="s">
        <v>61</v>
      </c>
      <c r="I2894" s="11" t="s">
        <v>62</v>
      </c>
      <c r="J2894" s="11" t="s">
        <v>261</v>
      </c>
      <c r="K2894" s="11">
        <v>24</v>
      </c>
      <c r="L2894" s="12">
        <v>15</v>
      </c>
      <c r="M2894" s="13">
        <v>360</v>
      </c>
      <c r="N2894" s="11" t="s">
        <v>367</v>
      </c>
      <c r="O2894" s="11" t="s">
        <v>19</v>
      </c>
      <c r="Q2894"/>
    </row>
    <row r="2895" spans="1:17" ht="15.6" x14ac:dyDescent="0.3">
      <c r="A2895" s="15">
        <v>10400</v>
      </c>
      <c r="B2895" s="14">
        <v>38603</v>
      </c>
      <c r="C2895" s="14" t="s">
        <v>358</v>
      </c>
      <c r="D2895" s="15" t="s">
        <v>226</v>
      </c>
      <c r="E2895" s="15" t="s">
        <v>227</v>
      </c>
      <c r="F2895" s="15" t="s">
        <v>15</v>
      </c>
      <c r="G2895" s="15" t="s">
        <v>16</v>
      </c>
      <c r="H2895" s="15" t="s">
        <v>17</v>
      </c>
      <c r="I2895" s="15" t="s">
        <v>52</v>
      </c>
      <c r="J2895" s="15" t="s">
        <v>256</v>
      </c>
      <c r="K2895" s="15">
        <v>38</v>
      </c>
      <c r="L2895" s="16">
        <v>45</v>
      </c>
      <c r="M2895" s="17">
        <v>1710</v>
      </c>
      <c r="N2895" s="15" t="s">
        <v>367</v>
      </c>
      <c r="O2895" s="15" t="s">
        <v>19</v>
      </c>
      <c r="Q2895"/>
    </row>
    <row r="2896" spans="1:17" ht="15.6" x14ac:dyDescent="0.3">
      <c r="A2896" s="11">
        <v>10400</v>
      </c>
      <c r="B2896" s="10">
        <v>38603</v>
      </c>
      <c r="C2896" s="10" t="s">
        <v>358</v>
      </c>
      <c r="D2896" s="11" t="s">
        <v>226</v>
      </c>
      <c r="E2896" s="11" t="s">
        <v>227</v>
      </c>
      <c r="F2896" s="11" t="s">
        <v>15</v>
      </c>
      <c r="G2896" s="11" t="s">
        <v>16</v>
      </c>
      <c r="H2896" s="11" t="s">
        <v>17</v>
      </c>
      <c r="I2896" s="11" t="s">
        <v>20</v>
      </c>
      <c r="J2896" s="11" t="s">
        <v>242</v>
      </c>
      <c r="K2896" s="11">
        <v>42</v>
      </c>
      <c r="L2896" s="12">
        <v>48</v>
      </c>
      <c r="M2896" s="13">
        <v>2016</v>
      </c>
      <c r="N2896" s="11" t="s">
        <v>367</v>
      </c>
      <c r="O2896" s="11" t="s">
        <v>19</v>
      </c>
      <c r="Q2896"/>
    </row>
    <row r="2897" spans="1:17" ht="15.6" x14ac:dyDescent="0.3">
      <c r="A2897" s="15">
        <v>10400</v>
      </c>
      <c r="B2897" s="14">
        <v>38609</v>
      </c>
      <c r="C2897" s="14" t="s">
        <v>358</v>
      </c>
      <c r="D2897" s="15" t="s">
        <v>226</v>
      </c>
      <c r="E2897" s="15" t="s">
        <v>227</v>
      </c>
      <c r="F2897" s="15" t="s">
        <v>15</v>
      </c>
      <c r="G2897" s="15" t="s">
        <v>16</v>
      </c>
      <c r="H2897" s="15" t="s">
        <v>54</v>
      </c>
      <c r="I2897" s="15" t="s">
        <v>57</v>
      </c>
      <c r="J2897" s="15" t="s">
        <v>260</v>
      </c>
      <c r="K2897" s="15">
        <v>46</v>
      </c>
      <c r="L2897" s="16">
        <v>220</v>
      </c>
      <c r="M2897" s="17">
        <v>10120</v>
      </c>
      <c r="N2897" s="15" t="s">
        <v>367</v>
      </c>
      <c r="O2897" s="15" t="s">
        <v>19</v>
      </c>
      <c r="Q2897"/>
    </row>
    <row r="2898" spans="1:17" ht="15.6" x14ac:dyDescent="0.3">
      <c r="A2898" s="11">
        <v>10400</v>
      </c>
      <c r="B2898" s="10">
        <v>38609</v>
      </c>
      <c r="C2898" s="10" t="s">
        <v>358</v>
      </c>
      <c r="D2898" s="11" t="s">
        <v>226</v>
      </c>
      <c r="E2898" s="11" t="s">
        <v>227</v>
      </c>
      <c r="F2898" s="11" t="s">
        <v>15</v>
      </c>
      <c r="G2898" s="11" t="s">
        <v>16</v>
      </c>
      <c r="H2898" s="11" t="s">
        <v>61</v>
      </c>
      <c r="I2898" s="11" t="s">
        <v>66</v>
      </c>
      <c r="J2898" s="11" t="s">
        <v>265</v>
      </c>
      <c r="K2898" s="11">
        <v>20</v>
      </c>
      <c r="L2898" s="12">
        <v>35</v>
      </c>
      <c r="M2898" s="13">
        <v>700</v>
      </c>
      <c r="N2898" s="11" t="s">
        <v>367</v>
      </c>
      <c r="O2898" s="11" t="s">
        <v>19</v>
      </c>
      <c r="Q2898"/>
    </row>
    <row r="2899" spans="1:17" ht="15.6" x14ac:dyDescent="0.3">
      <c r="A2899" s="15">
        <v>10402</v>
      </c>
      <c r="B2899" s="14">
        <v>38609</v>
      </c>
      <c r="C2899" s="14" t="s">
        <v>345</v>
      </c>
      <c r="D2899" s="15" t="s">
        <v>201</v>
      </c>
      <c r="E2899" s="15" t="s">
        <v>91</v>
      </c>
      <c r="F2899" s="15" t="s">
        <v>92</v>
      </c>
      <c r="G2899" s="15" t="s">
        <v>25</v>
      </c>
      <c r="H2899" s="15" t="s">
        <v>68</v>
      </c>
      <c r="I2899" s="15" t="s">
        <v>69</v>
      </c>
      <c r="J2899" s="15" t="s">
        <v>266</v>
      </c>
      <c r="K2899" s="15">
        <v>45</v>
      </c>
      <c r="L2899" s="16">
        <v>25</v>
      </c>
      <c r="M2899" s="17">
        <v>1125</v>
      </c>
      <c r="N2899" s="15" t="s">
        <v>367</v>
      </c>
      <c r="O2899" s="15" t="s">
        <v>19</v>
      </c>
      <c r="Q2899"/>
    </row>
    <row r="2900" spans="1:17" ht="15.6" x14ac:dyDescent="0.3">
      <c r="A2900" s="11">
        <v>10402</v>
      </c>
      <c r="B2900" s="10">
        <v>38609</v>
      </c>
      <c r="C2900" s="10" t="s">
        <v>345</v>
      </c>
      <c r="D2900" s="11" t="s">
        <v>201</v>
      </c>
      <c r="E2900" s="11" t="s">
        <v>91</v>
      </c>
      <c r="F2900" s="11" t="s">
        <v>92</v>
      </c>
      <c r="G2900" s="11" t="s">
        <v>25</v>
      </c>
      <c r="H2900" s="11" t="s">
        <v>68</v>
      </c>
      <c r="I2900" s="11" t="s">
        <v>69</v>
      </c>
      <c r="J2900" s="11" t="s">
        <v>266</v>
      </c>
      <c r="K2900" s="11">
        <v>55</v>
      </c>
      <c r="L2900" s="12">
        <v>25</v>
      </c>
      <c r="M2900" s="13">
        <v>1375</v>
      </c>
      <c r="N2900" s="11" t="s">
        <v>368</v>
      </c>
      <c r="O2900" s="11" t="s">
        <v>19</v>
      </c>
      <c r="Q2900"/>
    </row>
    <row r="2901" spans="1:17" ht="15.6" x14ac:dyDescent="0.3">
      <c r="A2901" s="15">
        <v>10402</v>
      </c>
      <c r="B2901" s="14">
        <v>38609</v>
      </c>
      <c r="C2901" s="14" t="s">
        <v>345</v>
      </c>
      <c r="D2901" s="15" t="s">
        <v>201</v>
      </c>
      <c r="E2901" s="15" t="s">
        <v>91</v>
      </c>
      <c r="F2901" s="15" t="s">
        <v>92</v>
      </c>
      <c r="G2901" s="15" t="s">
        <v>25</v>
      </c>
      <c r="H2901" s="15" t="s">
        <v>68</v>
      </c>
      <c r="I2901" s="15" t="s">
        <v>70</v>
      </c>
      <c r="J2901" s="15" t="s">
        <v>267</v>
      </c>
      <c r="K2901" s="15">
        <v>59</v>
      </c>
      <c r="L2901" s="16">
        <v>50</v>
      </c>
      <c r="M2901" s="17">
        <v>2950</v>
      </c>
      <c r="N2901" s="15" t="s">
        <v>368</v>
      </c>
      <c r="O2901" s="15" t="s">
        <v>19</v>
      </c>
      <c r="Q2901"/>
    </row>
    <row r="2902" spans="1:17" ht="15.6" x14ac:dyDescent="0.3">
      <c r="A2902" s="11">
        <v>10403</v>
      </c>
      <c r="B2902" s="10">
        <v>38617</v>
      </c>
      <c r="C2902" s="10" t="s">
        <v>320</v>
      </c>
      <c r="D2902" s="11" t="s">
        <v>154</v>
      </c>
      <c r="E2902" s="11" t="s">
        <v>155</v>
      </c>
      <c r="F2902" s="11" t="s">
        <v>81</v>
      </c>
      <c r="G2902" s="11" t="s">
        <v>25</v>
      </c>
      <c r="H2902" s="11" t="s">
        <v>68</v>
      </c>
      <c r="I2902" s="11" t="s">
        <v>76</v>
      </c>
      <c r="J2902" s="11" t="s">
        <v>269</v>
      </c>
      <c r="K2902" s="11">
        <v>24</v>
      </c>
      <c r="L2902" s="12">
        <v>30</v>
      </c>
      <c r="M2902" s="13">
        <v>720</v>
      </c>
      <c r="N2902" s="11" t="s">
        <v>367</v>
      </c>
      <c r="O2902" s="11" t="s">
        <v>19</v>
      </c>
      <c r="Q2902"/>
    </row>
    <row r="2903" spans="1:17" ht="15.6" x14ac:dyDescent="0.3">
      <c r="A2903" s="15">
        <v>10403</v>
      </c>
      <c r="B2903" s="14">
        <v>38618</v>
      </c>
      <c r="C2903" s="14" t="s">
        <v>320</v>
      </c>
      <c r="D2903" s="15" t="s">
        <v>154</v>
      </c>
      <c r="E2903" s="15" t="s">
        <v>155</v>
      </c>
      <c r="F2903" s="15" t="s">
        <v>81</v>
      </c>
      <c r="G2903" s="15" t="s">
        <v>25</v>
      </c>
      <c r="H2903" s="15" t="s">
        <v>68</v>
      </c>
      <c r="I2903" s="15" t="s">
        <v>69</v>
      </c>
      <c r="J2903" s="15" t="s">
        <v>266</v>
      </c>
      <c r="K2903" s="15">
        <v>66</v>
      </c>
      <c r="L2903" s="16">
        <v>25</v>
      </c>
      <c r="M2903" s="17">
        <v>1650</v>
      </c>
      <c r="N2903" s="15" t="s">
        <v>368</v>
      </c>
      <c r="O2903" s="15" t="s">
        <v>19</v>
      </c>
      <c r="Q2903"/>
    </row>
    <row r="2904" spans="1:17" ht="15.6" x14ac:dyDescent="0.3">
      <c r="A2904" s="11">
        <v>10403</v>
      </c>
      <c r="B2904" s="10">
        <v>38618</v>
      </c>
      <c r="C2904" s="10" t="s">
        <v>320</v>
      </c>
      <c r="D2904" s="11" t="s">
        <v>154</v>
      </c>
      <c r="E2904" s="11" t="s">
        <v>155</v>
      </c>
      <c r="F2904" s="11" t="s">
        <v>81</v>
      </c>
      <c r="G2904" s="11" t="s">
        <v>25</v>
      </c>
      <c r="H2904" s="11" t="s">
        <v>68</v>
      </c>
      <c r="I2904" s="11" t="s">
        <v>70</v>
      </c>
      <c r="J2904" s="11" t="s">
        <v>267</v>
      </c>
      <c r="K2904" s="11">
        <v>66</v>
      </c>
      <c r="L2904" s="12">
        <v>50</v>
      </c>
      <c r="M2904" s="13">
        <v>3300</v>
      </c>
      <c r="N2904" s="11" t="s">
        <v>368</v>
      </c>
      <c r="O2904" s="11" t="s">
        <v>19</v>
      </c>
      <c r="Q2904"/>
    </row>
    <row r="2905" spans="1:17" ht="15.6" x14ac:dyDescent="0.3">
      <c r="A2905" s="15">
        <v>10403</v>
      </c>
      <c r="B2905" s="14">
        <v>38626</v>
      </c>
      <c r="C2905" s="14" t="s">
        <v>320</v>
      </c>
      <c r="D2905" s="15" t="s">
        <v>154</v>
      </c>
      <c r="E2905" s="15" t="s">
        <v>155</v>
      </c>
      <c r="F2905" s="15" t="s">
        <v>81</v>
      </c>
      <c r="G2905" s="15" t="s">
        <v>25</v>
      </c>
      <c r="H2905" s="15" t="s">
        <v>68</v>
      </c>
      <c r="I2905" s="15" t="s">
        <v>69</v>
      </c>
      <c r="J2905" s="15" t="s">
        <v>266</v>
      </c>
      <c r="K2905" s="15">
        <v>36</v>
      </c>
      <c r="L2905" s="16">
        <v>25</v>
      </c>
      <c r="M2905" s="17">
        <v>900</v>
      </c>
      <c r="N2905" s="15" t="s">
        <v>367</v>
      </c>
      <c r="O2905" s="15" t="s">
        <v>19</v>
      </c>
      <c r="Q2905"/>
    </row>
    <row r="2906" spans="1:17" ht="15.6" x14ac:dyDescent="0.3">
      <c r="A2906" s="11">
        <v>10403</v>
      </c>
      <c r="B2906" s="10">
        <v>38626</v>
      </c>
      <c r="C2906" s="10" t="s">
        <v>320</v>
      </c>
      <c r="D2906" s="11" t="s">
        <v>154</v>
      </c>
      <c r="E2906" s="11" t="s">
        <v>155</v>
      </c>
      <c r="F2906" s="11" t="s">
        <v>81</v>
      </c>
      <c r="G2906" s="11" t="s">
        <v>25</v>
      </c>
      <c r="H2906" s="11" t="s">
        <v>68</v>
      </c>
      <c r="I2906" s="11" t="s">
        <v>108</v>
      </c>
      <c r="J2906" s="11" t="s">
        <v>271</v>
      </c>
      <c r="K2906" s="11">
        <v>46</v>
      </c>
      <c r="L2906" s="12">
        <v>45</v>
      </c>
      <c r="M2906" s="13">
        <v>2070</v>
      </c>
      <c r="N2906" s="11" t="s">
        <v>367</v>
      </c>
      <c r="O2906" s="11" t="s">
        <v>19</v>
      </c>
      <c r="Q2906"/>
    </row>
    <row r="2907" spans="1:17" ht="15.6" x14ac:dyDescent="0.3">
      <c r="A2907" s="15">
        <v>10403</v>
      </c>
      <c r="B2907" s="14">
        <v>38626</v>
      </c>
      <c r="C2907" s="14" t="s">
        <v>320</v>
      </c>
      <c r="D2907" s="15" t="s">
        <v>154</v>
      </c>
      <c r="E2907" s="15" t="s">
        <v>155</v>
      </c>
      <c r="F2907" s="15" t="s">
        <v>81</v>
      </c>
      <c r="G2907" s="15" t="s">
        <v>25</v>
      </c>
      <c r="H2907" s="15" t="s">
        <v>68</v>
      </c>
      <c r="I2907" s="15" t="s">
        <v>75</v>
      </c>
      <c r="J2907" s="15" t="s">
        <v>268</v>
      </c>
      <c r="K2907" s="15">
        <v>27</v>
      </c>
      <c r="L2907" s="16">
        <v>35</v>
      </c>
      <c r="M2907" s="17">
        <v>945</v>
      </c>
      <c r="N2907" s="15" t="s">
        <v>367</v>
      </c>
      <c r="O2907" s="15" t="s">
        <v>19</v>
      </c>
      <c r="Q2907"/>
    </row>
    <row r="2908" spans="1:17" ht="15.6" x14ac:dyDescent="0.3">
      <c r="A2908" s="11">
        <v>10403</v>
      </c>
      <c r="B2908" s="10">
        <v>38626</v>
      </c>
      <c r="C2908" s="10" t="s">
        <v>320</v>
      </c>
      <c r="D2908" s="11" t="s">
        <v>154</v>
      </c>
      <c r="E2908" s="11" t="s">
        <v>155</v>
      </c>
      <c r="F2908" s="11" t="s">
        <v>81</v>
      </c>
      <c r="G2908" s="11" t="s">
        <v>25</v>
      </c>
      <c r="H2908" s="11" t="s">
        <v>68</v>
      </c>
      <c r="I2908" s="11" t="s">
        <v>69</v>
      </c>
      <c r="J2908" s="11" t="s">
        <v>266</v>
      </c>
      <c r="K2908" s="11">
        <v>30</v>
      </c>
      <c r="L2908" s="12">
        <v>25</v>
      </c>
      <c r="M2908" s="13">
        <v>750</v>
      </c>
      <c r="N2908" s="11" t="s">
        <v>367</v>
      </c>
      <c r="O2908" s="11" t="s">
        <v>19</v>
      </c>
      <c r="Q2908"/>
    </row>
    <row r="2909" spans="1:17" ht="15.6" x14ac:dyDescent="0.3">
      <c r="A2909" s="15">
        <v>10403</v>
      </c>
      <c r="B2909" s="14">
        <v>38626</v>
      </c>
      <c r="C2909" s="14" t="s">
        <v>320</v>
      </c>
      <c r="D2909" s="15" t="s">
        <v>154</v>
      </c>
      <c r="E2909" s="15" t="s">
        <v>155</v>
      </c>
      <c r="F2909" s="15" t="s">
        <v>81</v>
      </c>
      <c r="G2909" s="15" t="s">
        <v>25</v>
      </c>
      <c r="H2909" s="15" t="s">
        <v>68</v>
      </c>
      <c r="I2909" s="15" t="s">
        <v>108</v>
      </c>
      <c r="J2909" s="15" t="s">
        <v>271</v>
      </c>
      <c r="K2909" s="15">
        <v>45</v>
      </c>
      <c r="L2909" s="16">
        <v>45</v>
      </c>
      <c r="M2909" s="17">
        <v>2025</v>
      </c>
      <c r="N2909" s="15" t="s">
        <v>367</v>
      </c>
      <c r="O2909" s="15" t="s">
        <v>19</v>
      </c>
      <c r="Q2909"/>
    </row>
    <row r="2910" spans="1:17" ht="15.6" x14ac:dyDescent="0.3">
      <c r="A2910" s="11">
        <v>10403</v>
      </c>
      <c r="B2910" s="10">
        <v>38626</v>
      </c>
      <c r="C2910" s="10" t="s">
        <v>320</v>
      </c>
      <c r="D2910" s="11" t="s">
        <v>154</v>
      </c>
      <c r="E2910" s="11" t="s">
        <v>155</v>
      </c>
      <c r="F2910" s="11" t="s">
        <v>81</v>
      </c>
      <c r="G2910" s="11" t="s">
        <v>25</v>
      </c>
      <c r="H2910" s="11" t="s">
        <v>68</v>
      </c>
      <c r="I2910" s="11" t="s">
        <v>70</v>
      </c>
      <c r="J2910" s="11" t="s">
        <v>267</v>
      </c>
      <c r="K2910" s="11">
        <v>31</v>
      </c>
      <c r="L2910" s="12">
        <v>50</v>
      </c>
      <c r="M2910" s="13">
        <v>1550</v>
      </c>
      <c r="N2910" s="11" t="s">
        <v>367</v>
      </c>
      <c r="O2910" s="11" t="s">
        <v>19</v>
      </c>
      <c r="Q2910"/>
    </row>
    <row r="2911" spans="1:17" ht="15.6" x14ac:dyDescent="0.3">
      <c r="A2911" s="15">
        <v>10405</v>
      </c>
      <c r="B2911" s="14">
        <v>38626</v>
      </c>
      <c r="C2911" s="14" t="s">
        <v>356</v>
      </c>
      <c r="D2911" s="15" t="s">
        <v>223</v>
      </c>
      <c r="E2911" s="15" t="s">
        <v>224</v>
      </c>
      <c r="F2911" s="15" t="s">
        <v>92</v>
      </c>
      <c r="G2911" s="15" t="s">
        <v>25</v>
      </c>
      <c r="H2911" s="15" t="s">
        <v>32</v>
      </c>
      <c r="I2911" s="15" t="s">
        <v>44</v>
      </c>
      <c r="J2911" s="15" t="s">
        <v>252</v>
      </c>
      <c r="K2911" s="15">
        <v>97</v>
      </c>
      <c r="L2911" s="16">
        <v>55</v>
      </c>
      <c r="M2911" s="17">
        <v>5335</v>
      </c>
      <c r="N2911" s="15" t="s">
        <v>369</v>
      </c>
      <c r="O2911" s="15" t="s">
        <v>19</v>
      </c>
      <c r="Q2911"/>
    </row>
    <row r="2912" spans="1:17" ht="15.6" x14ac:dyDescent="0.3">
      <c r="A2912" s="11">
        <v>10405</v>
      </c>
      <c r="B2912" s="10">
        <v>38626</v>
      </c>
      <c r="C2912" s="10" t="s">
        <v>356</v>
      </c>
      <c r="D2912" s="11" t="s">
        <v>223</v>
      </c>
      <c r="E2912" s="11" t="s">
        <v>224</v>
      </c>
      <c r="F2912" s="11" t="s">
        <v>92</v>
      </c>
      <c r="G2912" s="11" t="s">
        <v>25</v>
      </c>
      <c r="H2912" s="11" t="s">
        <v>32</v>
      </c>
      <c r="I2912" s="11" t="s">
        <v>44</v>
      </c>
      <c r="J2912" s="11" t="s">
        <v>252</v>
      </c>
      <c r="K2912" s="11">
        <v>61</v>
      </c>
      <c r="L2912" s="12">
        <v>55</v>
      </c>
      <c r="M2912" s="13">
        <v>3355</v>
      </c>
      <c r="N2912" s="11" t="s">
        <v>368</v>
      </c>
      <c r="O2912" s="11" t="s">
        <v>19</v>
      </c>
      <c r="Q2912"/>
    </row>
    <row r="2913" spans="1:17" ht="15.6" x14ac:dyDescent="0.3">
      <c r="A2913" s="15">
        <v>10405</v>
      </c>
      <c r="B2913" s="14">
        <v>38626</v>
      </c>
      <c r="C2913" s="14" t="s">
        <v>356</v>
      </c>
      <c r="D2913" s="15" t="s">
        <v>223</v>
      </c>
      <c r="E2913" s="15" t="s">
        <v>224</v>
      </c>
      <c r="F2913" s="15" t="s">
        <v>92</v>
      </c>
      <c r="G2913" s="15" t="s">
        <v>25</v>
      </c>
      <c r="H2913" s="15" t="s">
        <v>32</v>
      </c>
      <c r="I2913" s="15" t="s">
        <v>34</v>
      </c>
      <c r="J2913" s="15" t="s">
        <v>246</v>
      </c>
      <c r="K2913" s="15">
        <v>55</v>
      </c>
      <c r="L2913" s="16">
        <v>80</v>
      </c>
      <c r="M2913" s="17">
        <v>4400</v>
      </c>
      <c r="N2913" s="15" t="s">
        <v>368</v>
      </c>
      <c r="O2913" s="15" t="s">
        <v>19</v>
      </c>
      <c r="Q2913"/>
    </row>
    <row r="2914" spans="1:17" ht="15.6" x14ac:dyDescent="0.3">
      <c r="A2914" s="11">
        <v>10405</v>
      </c>
      <c r="B2914" s="10">
        <v>38628</v>
      </c>
      <c r="C2914" s="10" t="s">
        <v>356</v>
      </c>
      <c r="D2914" s="11" t="s">
        <v>223</v>
      </c>
      <c r="E2914" s="11" t="s">
        <v>224</v>
      </c>
      <c r="F2914" s="11" t="s">
        <v>92</v>
      </c>
      <c r="G2914" s="11" t="s">
        <v>25</v>
      </c>
      <c r="H2914" s="11" t="s">
        <v>32</v>
      </c>
      <c r="I2914" s="11" t="s">
        <v>33</v>
      </c>
      <c r="J2914" s="11" t="s">
        <v>245</v>
      </c>
      <c r="K2914" s="11">
        <v>47</v>
      </c>
      <c r="L2914" s="12">
        <v>85</v>
      </c>
      <c r="M2914" s="13">
        <v>3995</v>
      </c>
      <c r="N2914" s="11" t="s">
        <v>367</v>
      </c>
      <c r="O2914" s="11" t="s">
        <v>19</v>
      </c>
      <c r="Q2914"/>
    </row>
    <row r="2915" spans="1:17" ht="15.6" x14ac:dyDescent="0.3">
      <c r="A2915" s="15">
        <v>10405</v>
      </c>
      <c r="B2915" s="14">
        <v>38628</v>
      </c>
      <c r="C2915" s="14" t="s">
        <v>356</v>
      </c>
      <c r="D2915" s="15" t="s">
        <v>223</v>
      </c>
      <c r="E2915" s="15" t="s">
        <v>224</v>
      </c>
      <c r="F2915" s="15" t="s">
        <v>92</v>
      </c>
      <c r="G2915" s="15" t="s">
        <v>25</v>
      </c>
      <c r="H2915" s="15" t="s">
        <v>32</v>
      </c>
      <c r="I2915" s="15" t="s">
        <v>34</v>
      </c>
      <c r="J2915" s="15" t="s">
        <v>246</v>
      </c>
      <c r="K2915" s="15">
        <v>76</v>
      </c>
      <c r="L2915" s="16">
        <v>80</v>
      </c>
      <c r="M2915" s="17">
        <v>6080</v>
      </c>
      <c r="N2915" s="15" t="s">
        <v>369</v>
      </c>
      <c r="O2915" s="15" t="s">
        <v>19</v>
      </c>
      <c r="Q2915"/>
    </row>
    <row r="2916" spans="1:17" ht="15.6" x14ac:dyDescent="0.3">
      <c r="A2916" s="11">
        <v>10408</v>
      </c>
      <c r="B2916" s="10">
        <v>38628</v>
      </c>
      <c r="C2916" s="10" t="s">
        <v>359</v>
      </c>
      <c r="D2916" s="11" t="s">
        <v>228</v>
      </c>
      <c r="E2916" s="11" t="s">
        <v>229</v>
      </c>
      <c r="F2916" s="11" t="s">
        <v>74</v>
      </c>
      <c r="G2916" s="11" t="s">
        <v>74</v>
      </c>
      <c r="H2916" s="11" t="s">
        <v>17</v>
      </c>
      <c r="I2916" s="11" t="s">
        <v>20</v>
      </c>
      <c r="J2916" s="11" t="s">
        <v>242</v>
      </c>
      <c r="K2916" s="11">
        <v>15</v>
      </c>
      <c r="L2916" s="12">
        <v>48</v>
      </c>
      <c r="M2916" s="13">
        <v>720</v>
      </c>
      <c r="N2916" s="11" t="s">
        <v>367</v>
      </c>
      <c r="O2916" s="11" t="s">
        <v>19</v>
      </c>
      <c r="Q2916"/>
    </row>
    <row r="2917" spans="1:17" ht="15.6" x14ac:dyDescent="0.3">
      <c r="A2917" s="15">
        <v>10409</v>
      </c>
      <c r="B2917" s="14">
        <v>38628</v>
      </c>
      <c r="C2917" s="14" t="s">
        <v>347</v>
      </c>
      <c r="D2917" s="15" t="s">
        <v>204</v>
      </c>
      <c r="E2917" s="15" t="s">
        <v>98</v>
      </c>
      <c r="F2917" s="15" t="s">
        <v>98</v>
      </c>
      <c r="G2917" s="15" t="s">
        <v>107</v>
      </c>
      <c r="H2917" s="15" t="s">
        <v>17</v>
      </c>
      <c r="I2917" s="15" t="s">
        <v>20</v>
      </c>
      <c r="J2917" s="15" t="s">
        <v>242</v>
      </c>
      <c r="K2917" s="15">
        <v>6</v>
      </c>
      <c r="L2917" s="16">
        <v>48</v>
      </c>
      <c r="M2917" s="17">
        <v>288</v>
      </c>
      <c r="N2917" s="15" t="s">
        <v>367</v>
      </c>
      <c r="O2917" s="15" t="s">
        <v>19</v>
      </c>
      <c r="Q2917"/>
    </row>
    <row r="2918" spans="1:17" ht="15.6" x14ac:dyDescent="0.3">
      <c r="A2918" s="11">
        <v>10409</v>
      </c>
      <c r="B2918" s="10">
        <v>38628</v>
      </c>
      <c r="C2918" s="10" t="s">
        <v>347</v>
      </c>
      <c r="D2918" s="11" t="s">
        <v>204</v>
      </c>
      <c r="E2918" s="11" t="s">
        <v>98</v>
      </c>
      <c r="F2918" s="11" t="s">
        <v>98</v>
      </c>
      <c r="G2918" s="11" t="s">
        <v>107</v>
      </c>
      <c r="H2918" s="11" t="s">
        <v>17</v>
      </c>
      <c r="I2918" s="11" t="s">
        <v>20</v>
      </c>
      <c r="J2918" s="11" t="s">
        <v>242</v>
      </c>
      <c r="K2918" s="11">
        <v>61</v>
      </c>
      <c r="L2918" s="12">
        <v>48</v>
      </c>
      <c r="M2918" s="13">
        <v>2928</v>
      </c>
      <c r="N2918" s="11" t="s">
        <v>368</v>
      </c>
      <c r="O2918" s="11" t="s">
        <v>19</v>
      </c>
      <c r="Q2918"/>
    </row>
    <row r="2919" spans="1:17" ht="15.6" x14ac:dyDescent="0.3">
      <c r="A2919" s="15">
        <v>10411</v>
      </c>
      <c r="B2919" s="14">
        <v>38628</v>
      </c>
      <c r="C2919" s="14" t="s">
        <v>327</v>
      </c>
      <c r="D2919" s="15" t="s">
        <v>167</v>
      </c>
      <c r="E2919" s="15" t="s">
        <v>168</v>
      </c>
      <c r="F2919" s="15" t="s">
        <v>169</v>
      </c>
      <c r="G2919" s="15" t="s">
        <v>16</v>
      </c>
      <c r="H2919" s="15" t="s">
        <v>32</v>
      </c>
      <c r="I2919" s="15" t="s">
        <v>33</v>
      </c>
      <c r="J2919" s="15" t="s">
        <v>245</v>
      </c>
      <c r="K2919" s="15">
        <v>23</v>
      </c>
      <c r="L2919" s="16">
        <v>85</v>
      </c>
      <c r="M2919" s="17">
        <v>1955</v>
      </c>
      <c r="N2919" s="15" t="s">
        <v>367</v>
      </c>
      <c r="O2919" s="15" t="s">
        <v>19</v>
      </c>
      <c r="Q2919"/>
    </row>
    <row r="2920" spans="1:17" ht="15.6" x14ac:dyDescent="0.3">
      <c r="A2920" s="11">
        <v>10411</v>
      </c>
      <c r="B2920" s="10">
        <v>38628</v>
      </c>
      <c r="C2920" s="10" t="s">
        <v>327</v>
      </c>
      <c r="D2920" s="11" t="s">
        <v>167</v>
      </c>
      <c r="E2920" s="11" t="s">
        <v>168</v>
      </c>
      <c r="F2920" s="11" t="s">
        <v>169</v>
      </c>
      <c r="G2920" s="11" t="s">
        <v>16</v>
      </c>
      <c r="H2920" s="11" t="s">
        <v>32</v>
      </c>
      <c r="I2920" s="11" t="s">
        <v>34</v>
      </c>
      <c r="J2920" s="11" t="s">
        <v>246</v>
      </c>
      <c r="K2920" s="11">
        <v>27</v>
      </c>
      <c r="L2920" s="12">
        <v>80</v>
      </c>
      <c r="M2920" s="13">
        <v>2160</v>
      </c>
      <c r="N2920" s="11" t="s">
        <v>367</v>
      </c>
      <c r="O2920" s="11" t="s">
        <v>19</v>
      </c>
      <c r="Q2920"/>
    </row>
    <row r="2921" spans="1:17" ht="15.6" x14ac:dyDescent="0.3">
      <c r="A2921" s="15">
        <v>10411</v>
      </c>
      <c r="B2921" s="14">
        <v>38628</v>
      </c>
      <c r="C2921" s="14" t="s">
        <v>327</v>
      </c>
      <c r="D2921" s="15" t="s">
        <v>167</v>
      </c>
      <c r="E2921" s="15" t="s">
        <v>168</v>
      </c>
      <c r="F2921" s="15" t="s">
        <v>169</v>
      </c>
      <c r="G2921" s="15" t="s">
        <v>16</v>
      </c>
      <c r="H2921" s="15" t="s">
        <v>35</v>
      </c>
      <c r="I2921" s="15" t="s">
        <v>38</v>
      </c>
      <c r="J2921" s="15" t="s">
        <v>249</v>
      </c>
      <c r="K2921" s="15">
        <v>40</v>
      </c>
      <c r="L2921" s="16">
        <v>20</v>
      </c>
      <c r="M2921" s="17">
        <v>800</v>
      </c>
      <c r="N2921" s="15" t="s">
        <v>367</v>
      </c>
      <c r="O2921" s="15" t="s">
        <v>19</v>
      </c>
      <c r="Q2921"/>
    </row>
    <row r="2922" spans="1:17" ht="15.6" x14ac:dyDescent="0.3">
      <c r="A2922" s="11">
        <v>10411</v>
      </c>
      <c r="B2922" s="10">
        <v>38628</v>
      </c>
      <c r="C2922" s="10" t="s">
        <v>327</v>
      </c>
      <c r="D2922" s="11" t="s">
        <v>167</v>
      </c>
      <c r="E2922" s="11" t="s">
        <v>168</v>
      </c>
      <c r="F2922" s="11" t="s">
        <v>169</v>
      </c>
      <c r="G2922" s="11" t="s">
        <v>16</v>
      </c>
      <c r="H2922" s="11" t="s">
        <v>35</v>
      </c>
      <c r="I2922" s="11" t="s">
        <v>39</v>
      </c>
      <c r="J2922" s="11" t="s">
        <v>250</v>
      </c>
      <c r="K2922" s="11">
        <v>27</v>
      </c>
      <c r="L2922" s="12">
        <v>20</v>
      </c>
      <c r="M2922" s="13">
        <v>540</v>
      </c>
      <c r="N2922" s="11" t="s">
        <v>367</v>
      </c>
      <c r="O2922" s="11" t="s">
        <v>19</v>
      </c>
      <c r="Q2922"/>
    </row>
    <row r="2923" spans="1:17" ht="15.6" x14ac:dyDescent="0.3">
      <c r="A2923" s="15">
        <v>10411</v>
      </c>
      <c r="B2923" s="14">
        <v>38628</v>
      </c>
      <c r="C2923" s="14" t="s">
        <v>327</v>
      </c>
      <c r="D2923" s="15" t="s">
        <v>167</v>
      </c>
      <c r="E2923" s="15" t="s">
        <v>168</v>
      </c>
      <c r="F2923" s="15" t="s">
        <v>169</v>
      </c>
      <c r="G2923" s="15" t="s">
        <v>16</v>
      </c>
      <c r="H2923" s="15" t="s">
        <v>35</v>
      </c>
      <c r="I2923" s="15" t="s">
        <v>38</v>
      </c>
      <c r="J2923" s="15" t="s">
        <v>249</v>
      </c>
      <c r="K2923" s="15">
        <v>46</v>
      </c>
      <c r="L2923" s="16">
        <v>20</v>
      </c>
      <c r="M2923" s="17">
        <v>920</v>
      </c>
      <c r="N2923" s="15" t="s">
        <v>367</v>
      </c>
      <c r="O2923" s="15" t="s">
        <v>19</v>
      </c>
      <c r="Q2923"/>
    </row>
    <row r="2924" spans="1:17" ht="15.6" x14ac:dyDescent="0.3">
      <c r="A2924" s="11">
        <v>10411</v>
      </c>
      <c r="B2924" s="10">
        <v>38628</v>
      </c>
      <c r="C2924" s="10" t="s">
        <v>327</v>
      </c>
      <c r="D2924" s="11" t="s">
        <v>167</v>
      </c>
      <c r="E2924" s="11" t="s">
        <v>168</v>
      </c>
      <c r="F2924" s="11" t="s">
        <v>169</v>
      </c>
      <c r="G2924" s="11" t="s">
        <v>16</v>
      </c>
      <c r="H2924" s="11" t="s">
        <v>17</v>
      </c>
      <c r="I2924" s="11" t="s">
        <v>26</v>
      </c>
      <c r="J2924" s="11" t="s">
        <v>244</v>
      </c>
      <c r="K2924" s="11">
        <v>35</v>
      </c>
      <c r="L2924" s="12">
        <v>60</v>
      </c>
      <c r="M2924" s="13">
        <v>2100</v>
      </c>
      <c r="N2924" s="11" t="s">
        <v>367</v>
      </c>
      <c r="O2924" s="11" t="s">
        <v>19</v>
      </c>
      <c r="Q2924"/>
    </row>
    <row r="2925" spans="1:17" ht="15.6" x14ac:dyDescent="0.3">
      <c r="A2925" s="15">
        <v>10411</v>
      </c>
      <c r="B2925" s="14">
        <v>38630</v>
      </c>
      <c r="C2925" s="14" t="s">
        <v>327</v>
      </c>
      <c r="D2925" s="15" t="s">
        <v>167</v>
      </c>
      <c r="E2925" s="15" t="s">
        <v>168</v>
      </c>
      <c r="F2925" s="15" t="s">
        <v>169</v>
      </c>
      <c r="G2925" s="15" t="s">
        <v>16</v>
      </c>
      <c r="H2925" s="15" t="s">
        <v>35</v>
      </c>
      <c r="I2925" s="15" t="s">
        <v>39</v>
      </c>
      <c r="J2925" s="15" t="s">
        <v>250</v>
      </c>
      <c r="K2925" s="15">
        <v>26</v>
      </c>
      <c r="L2925" s="16">
        <v>20</v>
      </c>
      <c r="M2925" s="17">
        <v>520</v>
      </c>
      <c r="N2925" s="15" t="s">
        <v>367</v>
      </c>
      <c r="O2925" s="15" t="s">
        <v>19</v>
      </c>
      <c r="Q2925"/>
    </row>
    <row r="2926" spans="1:17" ht="15.6" x14ac:dyDescent="0.3">
      <c r="A2926" s="11">
        <v>10411</v>
      </c>
      <c r="B2926" s="10">
        <v>38630</v>
      </c>
      <c r="C2926" s="10" t="s">
        <v>327</v>
      </c>
      <c r="D2926" s="11" t="s">
        <v>167</v>
      </c>
      <c r="E2926" s="11" t="s">
        <v>168</v>
      </c>
      <c r="F2926" s="11" t="s">
        <v>169</v>
      </c>
      <c r="G2926" s="11" t="s">
        <v>16</v>
      </c>
      <c r="H2926" s="11" t="s">
        <v>35</v>
      </c>
      <c r="I2926" s="11" t="s">
        <v>39</v>
      </c>
      <c r="J2926" s="11" t="s">
        <v>250</v>
      </c>
      <c r="K2926" s="11">
        <v>27</v>
      </c>
      <c r="L2926" s="12">
        <v>20</v>
      </c>
      <c r="M2926" s="13">
        <v>540</v>
      </c>
      <c r="N2926" s="11" t="s">
        <v>367</v>
      </c>
      <c r="O2926" s="11" t="s">
        <v>19</v>
      </c>
      <c r="Q2926"/>
    </row>
    <row r="2927" spans="1:17" ht="15.6" x14ac:dyDescent="0.3">
      <c r="A2927" s="15">
        <v>10411</v>
      </c>
      <c r="B2927" s="14">
        <v>38630</v>
      </c>
      <c r="C2927" s="14" t="s">
        <v>327</v>
      </c>
      <c r="D2927" s="15" t="s">
        <v>167</v>
      </c>
      <c r="E2927" s="15" t="s">
        <v>168</v>
      </c>
      <c r="F2927" s="15" t="s">
        <v>169</v>
      </c>
      <c r="G2927" s="15" t="s">
        <v>16</v>
      </c>
      <c r="H2927" s="15" t="s">
        <v>32</v>
      </c>
      <c r="I2927" s="15" t="s">
        <v>33</v>
      </c>
      <c r="J2927" s="15" t="s">
        <v>245</v>
      </c>
      <c r="K2927" s="15">
        <v>34</v>
      </c>
      <c r="L2927" s="16">
        <v>85</v>
      </c>
      <c r="M2927" s="17">
        <v>2890</v>
      </c>
      <c r="N2927" s="15" t="s">
        <v>367</v>
      </c>
      <c r="O2927" s="15" t="s">
        <v>19</v>
      </c>
      <c r="Q2927"/>
    </row>
    <row r="2928" spans="1:17" ht="15.6" x14ac:dyDescent="0.3">
      <c r="A2928" s="11">
        <v>10412</v>
      </c>
      <c r="B2928" s="10">
        <v>38630</v>
      </c>
      <c r="C2928" s="10" t="s">
        <v>279</v>
      </c>
      <c r="D2928" s="11" t="s">
        <v>41</v>
      </c>
      <c r="E2928" s="11" t="s">
        <v>42</v>
      </c>
      <c r="F2928" s="11" t="s">
        <v>43</v>
      </c>
      <c r="G2928" s="11" t="s">
        <v>25</v>
      </c>
      <c r="H2928" s="11" t="s">
        <v>35</v>
      </c>
      <c r="I2928" s="11" t="s">
        <v>38</v>
      </c>
      <c r="J2928" s="11" t="s">
        <v>249</v>
      </c>
      <c r="K2928" s="11">
        <v>54</v>
      </c>
      <c r="L2928" s="12">
        <v>20</v>
      </c>
      <c r="M2928" s="13">
        <v>1080</v>
      </c>
      <c r="N2928" s="11" t="s">
        <v>368</v>
      </c>
      <c r="O2928" s="11" t="s">
        <v>19</v>
      </c>
      <c r="Q2928"/>
    </row>
    <row r="2929" spans="1:17" ht="15.6" x14ac:dyDescent="0.3">
      <c r="A2929" s="15">
        <v>10412</v>
      </c>
      <c r="B2929" s="14">
        <v>38630</v>
      </c>
      <c r="C2929" s="14" t="s">
        <v>279</v>
      </c>
      <c r="D2929" s="15" t="s">
        <v>41</v>
      </c>
      <c r="E2929" s="15" t="s">
        <v>42</v>
      </c>
      <c r="F2929" s="15" t="s">
        <v>43</v>
      </c>
      <c r="G2929" s="15" t="s">
        <v>25</v>
      </c>
      <c r="H2929" s="15" t="s">
        <v>32</v>
      </c>
      <c r="I2929" s="15" t="s">
        <v>34</v>
      </c>
      <c r="J2929" s="15" t="s">
        <v>246</v>
      </c>
      <c r="K2929" s="15">
        <v>41</v>
      </c>
      <c r="L2929" s="16">
        <v>80</v>
      </c>
      <c r="M2929" s="17">
        <v>3280</v>
      </c>
      <c r="N2929" s="15" t="s">
        <v>367</v>
      </c>
      <c r="O2929" s="15" t="s">
        <v>19</v>
      </c>
      <c r="Q2929"/>
    </row>
    <row r="2930" spans="1:17" ht="15.6" x14ac:dyDescent="0.3">
      <c r="A2930" s="11">
        <v>10412</v>
      </c>
      <c r="B2930" s="10">
        <v>38630</v>
      </c>
      <c r="C2930" s="10" t="s">
        <v>279</v>
      </c>
      <c r="D2930" s="11" t="s">
        <v>41</v>
      </c>
      <c r="E2930" s="11" t="s">
        <v>42</v>
      </c>
      <c r="F2930" s="11" t="s">
        <v>43</v>
      </c>
      <c r="G2930" s="11" t="s">
        <v>25</v>
      </c>
      <c r="H2930" s="11" t="s">
        <v>35</v>
      </c>
      <c r="I2930" s="11" t="s">
        <v>39</v>
      </c>
      <c r="J2930" s="11" t="s">
        <v>250</v>
      </c>
      <c r="K2930" s="11">
        <v>56</v>
      </c>
      <c r="L2930" s="12">
        <v>20</v>
      </c>
      <c r="M2930" s="13">
        <v>1120</v>
      </c>
      <c r="N2930" s="11" t="s">
        <v>368</v>
      </c>
      <c r="O2930" s="11" t="s">
        <v>19</v>
      </c>
      <c r="Q2930"/>
    </row>
    <row r="2931" spans="1:17" ht="15.6" x14ac:dyDescent="0.3">
      <c r="A2931" s="15">
        <v>10412</v>
      </c>
      <c r="B2931" s="14">
        <v>38635</v>
      </c>
      <c r="C2931" s="14" t="s">
        <v>279</v>
      </c>
      <c r="D2931" s="15" t="s">
        <v>41</v>
      </c>
      <c r="E2931" s="15" t="s">
        <v>42</v>
      </c>
      <c r="F2931" s="15" t="s">
        <v>43</v>
      </c>
      <c r="G2931" s="15" t="s">
        <v>25</v>
      </c>
      <c r="H2931" s="15" t="s">
        <v>35</v>
      </c>
      <c r="I2931" s="15" t="s">
        <v>39</v>
      </c>
      <c r="J2931" s="15" t="s">
        <v>250</v>
      </c>
      <c r="K2931" s="15">
        <v>47</v>
      </c>
      <c r="L2931" s="16">
        <v>20</v>
      </c>
      <c r="M2931" s="17">
        <v>940</v>
      </c>
      <c r="N2931" s="15" t="s">
        <v>367</v>
      </c>
      <c r="O2931" s="15" t="s">
        <v>19</v>
      </c>
      <c r="Q2931"/>
    </row>
    <row r="2932" spans="1:17" ht="15.6" x14ac:dyDescent="0.3">
      <c r="A2932" s="11">
        <v>10412</v>
      </c>
      <c r="B2932" s="10">
        <v>38635</v>
      </c>
      <c r="C2932" s="10" t="s">
        <v>279</v>
      </c>
      <c r="D2932" s="11" t="s">
        <v>41</v>
      </c>
      <c r="E2932" s="11" t="s">
        <v>42</v>
      </c>
      <c r="F2932" s="11" t="s">
        <v>43</v>
      </c>
      <c r="G2932" s="11" t="s">
        <v>25</v>
      </c>
      <c r="H2932" s="11" t="s">
        <v>32</v>
      </c>
      <c r="I2932" s="11" t="s">
        <v>33</v>
      </c>
      <c r="J2932" s="11" t="s">
        <v>245</v>
      </c>
      <c r="K2932" s="11">
        <v>60</v>
      </c>
      <c r="L2932" s="12">
        <v>85</v>
      </c>
      <c r="M2932" s="13">
        <v>5100</v>
      </c>
      <c r="N2932" s="11" t="s">
        <v>368</v>
      </c>
      <c r="O2932" s="11" t="s">
        <v>19</v>
      </c>
      <c r="Q2932"/>
    </row>
    <row r="2933" spans="1:17" ht="15.6" x14ac:dyDescent="0.3">
      <c r="A2933" s="15">
        <v>10412</v>
      </c>
      <c r="B2933" s="14">
        <v>38666</v>
      </c>
      <c r="C2933" s="14" t="s">
        <v>279</v>
      </c>
      <c r="D2933" s="15" t="s">
        <v>41</v>
      </c>
      <c r="E2933" s="15" t="s">
        <v>42</v>
      </c>
      <c r="F2933" s="15" t="s">
        <v>43</v>
      </c>
      <c r="G2933" s="15" t="s">
        <v>25</v>
      </c>
      <c r="H2933" s="15" t="s">
        <v>32</v>
      </c>
      <c r="I2933" s="15" t="s">
        <v>44</v>
      </c>
      <c r="J2933" s="15" t="s">
        <v>252</v>
      </c>
      <c r="K2933" s="15">
        <v>21</v>
      </c>
      <c r="L2933" s="16">
        <v>55</v>
      </c>
      <c r="M2933" s="17">
        <v>1155</v>
      </c>
      <c r="N2933" s="15" t="s">
        <v>367</v>
      </c>
      <c r="O2933" s="15" t="s">
        <v>19</v>
      </c>
      <c r="Q2933"/>
    </row>
    <row r="2934" spans="1:17" ht="15.6" x14ac:dyDescent="0.3">
      <c r="A2934" s="11">
        <v>10412</v>
      </c>
      <c r="B2934" s="10">
        <v>38666</v>
      </c>
      <c r="C2934" s="10" t="s">
        <v>279</v>
      </c>
      <c r="D2934" s="11" t="s">
        <v>41</v>
      </c>
      <c r="E2934" s="11" t="s">
        <v>42</v>
      </c>
      <c r="F2934" s="11" t="s">
        <v>43</v>
      </c>
      <c r="G2934" s="11" t="s">
        <v>25</v>
      </c>
      <c r="H2934" s="11" t="s">
        <v>35</v>
      </c>
      <c r="I2934" s="11" t="s">
        <v>39</v>
      </c>
      <c r="J2934" s="11" t="s">
        <v>250</v>
      </c>
      <c r="K2934" s="11">
        <v>70</v>
      </c>
      <c r="L2934" s="12">
        <v>20</v>
      </c>
      <c r="M2934" s="13">
        <v>1400</v>
      </c>
      <c r="N2934" s="11" t="s">
        <v>368</v>
      </c>
      <c r="O2934" s="11" t="s">
        <v>19</v>
      </c>
      <c r="Q2934"/>
    </row>
    <row r="2935" spans="1:17" ht="15.6" x14ac:dyDescent="0.3">
      <c r="A2935" s="15">
        <v>10412</v>
      </c>
      <c r="B2935" s="14">
        <v>38666</v>
      </c>
      <c r="C2935" s="14" t="s">
        <v>279</v>
      </c>
      <c r="D2935" s="15" t="s">
        <v>41</v>
      </c>
      <c r="E2935" s="15" t="s">
        <v>42</v>
      </c>
      <c r="F2935" s="15" t="s">
        <v>43</v>
      </c>
      <c r="G2935" s="15" t="s">
        <v>25</v>
      </c>
      <c r="H2935" s="15" t="s">
        <v>32</v>
      </c>
      <c r="I2935" s="15" t="s">
        <v>46</v>
      </c>
      <c r="J2935" s="15" t="s">
        <v>254</v>
      </c>
      <c r="K2935" s="15">
        <v>30</v>
      </c>
      <c r="L2935" s="16">
        <v>90</v>
      </c>
      <c r="M2935" s="17">
        <v>2700</v>
      </c>
      <c r="N2935" s="15" t="s">
        <v>367</v>
      </c>
      <c r="O2935" s="15" t="s">
        <v>19</v>
      </c>
      <c r="Q2935"/>
    </row>
    <row r="2936" spans="1:17" ht="15.6" x14ac:dyDescent="0.3">
      <c r="A2936" s="11">
        <v>10412</v>
      </c>
      <c r="B2936" s="10">
        <v>38666</v>
      </c>
      <c r="C2936" s="10" t="s">
        <v>279</v>
      </c>
      <c r="D2936" s="11" t="s">
        <v>41</v>
      </c>
      <c r="E2936" s="11" t="s">
        <v>42</v>
      </c>
      <c r="F2936" s="11" t="s">
        <v>43</v>
      </c>
      <c r="G2936" s="11" t="s">
        <v>25</v>
      </c>
      <c r="H2936" s="11" t="s">
        <v>32</v>
      </c>
      <c r="I2936" s="11" t="s">
        <v>46</v>
      </c>
      <c r="J2936" s="11" t="s">
        <v>254</v>
      </c>
      <c r="K2936" s="11">
        <v>31</v>
      </c>
      <c r="L2936" s="12">
        <v>90</v>
      </c>
      <c r="M2936" s="13">
        <v>2790</v>
      </c>
      <c r="N2936" s="11" t="s">
        <v>367</v>
      </c>
      <c r="O2936" s="11" t="s">
        <v>19</v>
      </c>
      <c r="Q2936"/>
    </row>
    <row r="2937" spans="1:17" ht="15.6" x14ac:dyDescent="0.3">
      <c r="A2937" s="15">
        <v>10412</v>
      </c>
      <c r="B2937" s="14">
        <v>38666</v>
      </c>
      <c r="C2937" s="14" t="s">
        <v>279</v>
      </c>
      <c r="D2937" s="15" t="s">
        <v>41</v>
      </c>
      <c r="E2937" s="15" t="s">
        <v>42</v>
      </c>
      <c r="F2937" s="15" t="s">
        <v>43</v>
      </c>
      <c r="G2937" s="15" t="s">
        <v>25</v>
      </c>
      <c r="H2937" s="15" t="s">
        <v>35</v>
      </c>
      <c r="I2937" s="15" t="s">
        <v>39</v>
      </c>
      <c r="J2937" s="15" t="s">
        <v>250</v>
      </c>
      <c r="K2937" s="15">
        <v>19</v>
      </c>
      <c r="L2937" s="16">
        <v>20</v>
      </c>
      <c r="M2937" s="17">
        <v>380</v>
      </c>
      <c r="N2937" s="15" t="s">
        <v>367</v>
      </c>
      <c r="O2937" s="15" t="s">
        <v>19</v>
      </c>
      <c r="Q2937"/>
    </row>
    <row r="2938" spans="1:17" ht="15.6" x14ac:dyDescent="0.3">
      <c r="A2938" s="11">
        <v>10412</v>
      </c>
      <c r="B2938" s="10">
        <v>38666</v>
      </c>
      <c r="C2938" s="10" t="s">
        <v>279</v>
      </c>
      <c r="D2938" s="11" t="s">
        <v>41</v>
      </c>
      <c r="E2938" s="11" t="s">
        <v>42</v>
      </c>
      <c r="F2938" s="11" t="s">
        <v>43</v>
      </c>
      <c r="G2938" s="11" t="s">
        <v>25</v>
      </c>
      <c r="H2938" s="11" t="s">
        <v>35</v>
      </c>
      <c r="I2938" s="11" t="s">
        <v>39</v>
      </c>
      <c r="J2938" s="11" t="s">
        <v>250</v>
      </c>
      <c r="K2938" s="11">
        <v>26</v>
      </c>
      <c r="L2938" s="12">
        <v>20</v>
      </c>
      <c r="M2938" s="13">
        <v>520</v>
      </c>
      <c r="N2938" s="11" t="s">
        <v>367</v>
      </c>
      <c r="O2938" s="11" t="s">
        <v>19</v>
      </c>
      <c r="Q2938"/>
    </row>
    <row r="2939" spans="1:17" ht="15.6" x14ac:dyDescent="0.3">
      <c r="A2939" s="15">
        <v>10413</v>
      </c>
      <c r="B2939" s="14">
        <v>38666</v>
      </c>
      <c r="C2939" s="14" t="s">
        <v>328</v>
      </c>
      <c r="D2939" s="15" t="s">
        <v>170</v>
      </c>
      <c r="E2939" s="15" t="s">
        <v>171</v>
      </c>
      <c r="F2939" s="15" t="s">
        <v>15</v>
      </c>
      <c r="G2939" s="15" t="s">
        <v>16</v>
      </c>
      <c r="H2939" s="15" t="s">
        <v>32</v>
      </c>
      <c r="I2939" s="15" t="s">
        <v>45</v>
      </c>
      <c r="J2939" s="15" t="s">
        <v>253</v>
      </c>
      <c r="K2939" s="15">
        <v>36</v>
      </c>
      <c r="L2939" s="16">
        <v>35</v>
      </c>
      <c r="M2939" s="17">
        <v>1260</v>
      </c>
      <c r="N2939" s="15" t="s">
        <v>367</v>
      </c>
      <c r="O2939" s="15" t="s">
        <v>19</v>
      </c>
      <c r="Q2939"/>
    </row>
    <row r="2940" spans="1:17" ht="15.6" x14ac:dyDescent="0.3">
      <c r="A2940" s="11">
        <v>10413</v>
      </c>
      <c r="B2940" s="10">
        <v>38666</v>
      </c>
      <c r="C2940" s="10" t="s">
        <v>328</v>
      </c>
      <c r="D2940" s="11" t="s">
        <v>170</v>
      </c>
      <c r="E2940" s="11" t="s">
        <v>171</v>
      </c>
      <c r="F2940" s="11" t="s">
        <v>15</v>
      </c>
      <c r="G2940" s="11" t="s">
        <v>16</v>
      </c>
      <c r="H2940" s="11" t="s">
        <v>32</v>
      </c>
      <c r="I2940" s="11" t="s">
        <v>46</v>
      </c>
      <c r="J2940" s="11" t="s">
        <v>254</v>
      </c>
      <c r="K2940" s="11">
        <v>47</v>
      </c>
      <c r="L2940" s="12">
        <v>90</v>
      </c>
      <c r="M2940" s="13">
        <v>4230</v>
      </c>
      <c r="N2940" s="11" t="s">
        <v>367</v>
      </c>
      <c r="O2940" s="11" t="s">
        <v>19</v>
      </c>
      <c r="Q2940"/>
    </row>
    <row r="2941" spans="1:17" ht="15.6" x14ac:dyDescent="0.3">
      <c r="A2941" s="15">
        <v>10413</v>
      </c>
      <c r="B2941" s="14">
        <v>38666</v>
      </c>
      <c r="C2941" s="14" t="s">
        <v>328</v>
      </c>
      <c r="D2941" s="15" t="s">
        <v>170</v>
      </c>
      <c r="E2941" s="15" t="s">
        <v>171</v>
      </c>
      <c r="F2941" s="15" t="s">
        <v>15</v>
      </c>
      <c r="G2941" s="15" t="s">
        <v>16</v>
      </c>
      <c r="H2941" s="15" t="s">
        <v>32</v>
      </c>
      <c r="I2941" s="15" t="s">
        <v>46</v>
      </c>
      <c r="J2941" s="15" t="s">
        <v>254</v>
      </c>
      <c r="K2941" s="15">
        <v>22</v>
      </c>
      <c r="L2941" s="16">
        <v>90</v>
      </c>
      <c r="M2941" s="17">
        <v>1980</v>
      </c>
      <c r="N2941" s="15" t="s">
        <v>367</v>
      </c>
      <c r="O2941" s="15" t="s">
        <v>19</v>
      </c>
      <c r="Q2941"/>
    </row>
    <row r="2942" spans="1:17" ht="15.6" x14ac:dyDescent="0.3">
      <c r="A2942" s="11">
        <v>10413</v>
      </c>
      <c r="B2942" s="10">
        <v>38666</v>
      </c>
      <c r="C2942" s="10" t="s">
        <v>328</v>
      </c>
      <c r="D2942" s="11" t="s">
        <v>170</v>
      </c>
      <c r="E2942" s="11" t="s">
        <v>171</v>
      </c>
      <c r="F2942" s="11" t="s">
        <v>15</v>
      </c>
      <c r="G2942" s="11" t="s">
        <v>16</v>
      </c>
      <c r="H2942" s="11" t="s">
        <v>32</v>
      </c>
      <c r="I2942" s="11" t="s">
        <v>34</v>
      </c>
      <c r="J2942" s="11" t="s">
        <v>246</v>
      </c>
      <c r="K2942" s="11">
        <v>49</v>
      </c>
      <c r="L2942" s="12">
        <v>80</v>
      </c>
      <c r="M2942" s="13">
        <v>3920</v>
      </c>
      <c r="N2942" s="11" t="s">
        <v>367</v>
      </c>
      <c r="O2942" s="11" t="s">
        <v>19</v>
      </c>
      <c r="Q2942"/>
    </row>
    <row r="2943" spans="1:17" ht="15.6" x14ac:dyDescent="0.3">
      <c r="A2943" s="15">
        <v>10413</v>
      </c>
      <c r="B2943" s="14">
        <v>38666</v>
      </c>
      <c r="C2943" s="14" t="s">
        <v>328</v>
      </c>
      <c r="D2943" s="15" t="s">
        <v>170</v>
      </c>
      <c r="E2943" s="15" t="s">
        <v>171</v>
      </c>
      <c r="F2943" s="15" t="s">
        <v>15</v>
      </c>
      <c r="G2943" s="15" t="s">
        <v>16</v>
      </c>
      <c r="H2943" s="15" t="s">
        <v>47</v>
      </c>
      <c r="I2943" s="15" t="s">
        <v>48</v>
      </c>
      <c r="J2943" s="15" t="s">
        <v>255</v>
      </c>
      <c r="K2943" s="15">
        <v>24</v>
      </c>
      <c r="L2943" s="16">
        <v>70</v>
      </c>
      <c r="M2943" s="17">
        <v>1680</v>
      </c>
      <c r="N2943" s="15" t="s">
        <v>367</v>
      </c>
      <c r="O2943" s="15" t="s">
        <v>19</v>
      </c>
      <c r="Q2943"/>
    </row>
    <row r="2944" spans="1:17" ht="15.6" x14ac:dyDescent="0.3">
      <c r="A2944" s="11">
        <v>10413</v>
      </c>
      <c r="B2944" s="10">
        <v>38666</v>
      </c>
      <c r="C2944" s="10" t="s">
        <v>328</v>
      </c>
      <c r="D2944" s="11" t="s">
        <v>170</v>
      </c>
      <c r="E2944" s="11" t="s">
        <v>171</v>
      </c>
      <c r="F2944" s="11" t="s">
        <v>15</v>
      </c>
      <c r="G2944" s="11" t="s">
        <v>16</v>
      </c>
      <c r="H2944" s="11" t="s">
        <v>47</v>
      </c>
      <c r="I2944" s="11" t="s">
        <v>48</v>
      </c>
      <c r="J2944" s="11" t="s">
        <v>255</v>
      </c>
      <c r="K2944" s="11">
        <v>51</v>
      </c>
      <c r="L2944" s="12">
        <v>70</v>
      </c>
      <c r="M2944" s="13">
        <v>3570</v>
      </c>
      <c r="N2944" s="11" t="s">
        <v>368</v>
      </c>
      <c r="O2944" s="11" t="s">
        <v>19</v>
      </c>
      <c r="Q2944"/>
    </row>
    <row r="2945" spans="1:17" ht="15.6" x14ac:dyDescent="0.3">
      <c r="A2945" s="15">
        <v>10416</v>
      </c>
      <c r="B2945" s="14">
        <v>38668</v>
      </c>
      <c r="C2945" s="14" t="s">
        <v>329</v>
      </c>
      <c r="D2945" s="15" t="s">
        <v>172</v>
      </c>
      <c r="E2945" s="15" t="s">
        <v>173</v>
      </c>
      <c r="F2945" s="15" t="s">
        <v>60</v>
      </c>
      <c r="G2945" s="15" t="s">
        <v>25</v>
      </c>
      <c r="H2945" s="15" t="s">
        <v>61</v>
      </c>
      <c r="I2945" s="15" t="s">
        <v>62</v>
      </c>
      <c r="J2945" s="15" t="s">
        <v>261</v>
      </c>
      <c r="K2945" s="15">
        <v>24</v>
      </c>
      <c r="L2945" s="16">
        <v>15</v>
      </c>
      <c r="M2945" s="17">
        <v>360</v>
      </c>
      <c r="N2945" s="15" t="s">
        <v>367</v>
      </c>
      <c r="O2945" s="15" t="s">
        <v>19</v>
      </c>
      <c r="Q2945"/>
    </row>
    <row r="2946" spans="1:17" ht="15.6" x14ac:dyDescent="0.3">
      <c r="A2946" s="11">
        <v>10416</v>
      </c>
      <c r="B2946" s="10">
        <v>38668</v>
      </c>
      <c r="C2946" s="10" t="s">
        <v>329</v>
      </c>
      <c r="D2946" s="11" t="s">
        <v>172</v>
      </c>
      <c r="E2946" s="11" t="s">
        <v>173</v>
      </c>
      <c r="F2946" s="11" t="s">
        <v>60</v>
      </c>
      <c r="G2946" s="11" t="s">
        <v>25</v>
      </c>
      <c r="H2946" s="11" t="s">
        <v>61</v>
      </c>
      <c r="I2946" s="11" t="s">
        <v>62</v>
      </c>
      <c r="J2946" s="11" t="s">
        <v>261</v>
      </c>
      <c r="K2946" s="11">
        <v>15</v>
      </c>
      <c r="L2946" s="12">
        <v>15</v>
      </c>
      <c r="M2946" s="13">
        <v>225</v>
      </c>
      <c r="N2946" s="11" t="s">
        <v>367</v>
      </c>
      <c r="O2946" s="11" t="s">
        <v>19</v>
      </c>
      <c r="Q2946"/>
    </row>
    <row r="2947" spans="1:17" ht="15.6" x14ac:dyDescent="0.3">
      <c r="A2947" s="15">
        <v>10416</v>
      </c>
      <c r="B2947" s="14">
        <v>38668</v>
      </c>
      <c r="C2947" s="14" t="s">
        <v>329</v>
      </c>
      <c r="D2947" s="15" t="s">
        <v>172</v>
      </c>
      <c r="E2947" s="15" t="s">
        <v>173</v>
      </c>
      <c r="F2947" s="15" t="s">
        <v>60</v>
      </c>
      <c r="G2947" s="15" t="s">
        <v>25</v>
      </c>
      <c r="H2947" s="15" t="s">
        <v>61</v>
      </c>
      <c r="I2947" s="15" t="s">
        <v>62</v>
      </c>
      <c r="J2947" s="15" t="s">
        <v>261</v>
      </c>
      <c r="K2947" s="15">
        <v>47</v>
      </c>
      <c r="L2947" s="16">
        <v>15</v>
      </c>
      <c r="M2947" s="17">
        <v>705</v>
      </c>
      <c r="N2947" s="15" t="s">
        <v>367</v>
      </c>
      <c r="O2947" s="15" t="s">
        <v>19</v>
      </c>
      <c r="Q2947"/>
    </row>
    <row r="2948" spans="1:17" ht="15.6" x14ac:dyDescent="0.3">
      <c r="A2948" s="11">
        <v>10416</v>
      </c>
      <c r="B2948" s="10">
        <v>38669</v>
      </c>
      <c r="C2948" s="10" t="s">
        <v>329</v>
      </c>
      <c r="D2948" s="11" t="s">
        <v>172</v>
      </c>
      <c r="E2948" s="11" t="s">
        <v>173</v>
      </c>
      <c r="F2948" s="11" t="s">
        <v>60</v>
      </c>
      <c r="G2948" s="11" t="s">
        <v>25</v>
      </c>
      <c r="H2948" s="11" t="s">
        <v>68</v>
      </c>
      <c r="I2948" s="11" t="s">
        <v>70</v>
      </c>
      <c r="J2948" s="11" t="s">
        <v>267</v>
      </c>
      <c r="K2948" s="11">
        <v>32</v>
      </c>
      <c r="L2948" s="12">
        <v>50</v>
      </c>
      <c r="M2948" s="13">
        <v>1600</v>
      </c>
      <c r="N2948" s="11" t="s">
        <v>367</v>
      </c>
      <c r="O2948" s="11" t="s">
        <v>19</v>
      </c>
      <c r="Q2948"/>
    </row>
    <row r="2949" spans="1:17" ht="15.6" x14ac:dyDescent="0.3">
      <c r="A2949" s="15">
        <v>10416</v>
      </c>
      <c r="B2949" s="14">
        <v>38669</v>
      </c>
      <c r="C2949" s="14" t="s">
        <v>329</v>
      </c>
      <c r="D2949" s="15" t="s">
        <v>172</v>
      </c>
      <c r="E2949" s="15" t="s">
        <v>173</v>
      </c>
      <c r="F2949" s="15" t="s">
        <v>60</v>
      </c>
      <c r="G2949" s="15" t="s">
        <v>25</v>
      </c>
      <c r="H2949" s="15" t="s">
        <v>61</v>
      </c>
      <c r="I2949" s="15" t="s">
        <v>62</v>
      </c>
      <c r="J2949" s="15" t="s">
        <v>261</v>
      </c>
      <c r="K2949" s="15">
        <v>18</v>
      </c>
      <c r="L2949" s="16">
        <v>15</v>
      </c>
      <c r="M2949" s="17">
        <v>270</v>
      </c>
      <c r="N2949" s="15" t="s">
        <v>367</v>
      </c>
      <c r="O2949" s="15" t="s">
        <v>19</v>
      </c>
      <c r="Q2949"/>
    </row>
    <row r="2950" spans="1:17" ht="15.6" x14ac:dyDescent="0.3">
      <c r="A2950" s="11">
        <v>10416</v>
      </c>
      <c r="B2950" s="10">
        <v>38669</v>
      </c>
      <c r="C2950" s="10" t="s">
        <v>329</v>
      </c>
      <c r="D2950" s="11" t="s">
        <v>172</v>
      </c>
      <c r="E2950" s="11" t="s">
        <v>173</v>
      </c>
      <c r="F2950" s="11" t="s">
        <v>60</v>
      </c>
      <c r="G2950" s="11" t="s">
        <v>25</v>
      </c>
      <c r="H2950" s="11" t="s">
        <v>61</v>
      </c>
      <c r="I2950" s="11" t="s">
        <v>62</v>
      </c>
      <c r="J2950" s="11" t="s">
        <v>261</v>
      </c>
      <c r="K2950" s="11">
        <v>48</v>
      </c>
      <c r="L2950" s="12">
        <v>15</v>
      </c>
      <c r="M2950" s="13">
        <v>720</v>
      </c>
      <c r="N2950" s="11" t="s">
        <v>367</v>
      </c>
      <c r="O2950" s="11" t="s">
        <v>19</v>
      </c>
      <c r="Q2950"/>
    </row>
    <row r="2951" spans="1:17" ht="15.6" x14ac:dyDescent="0.3">
      <c r="A2951" s="15">
        <v>10416</v>
      </c>
      <c r="B2951" s="14">
        <v>38670</v>
      </c>
      <c r="C2951" s="14" t="s">
        <v>329</v>
      </c>
      <c r="D2951" s="15" t="s">
        <v>172</v>
      </c>
      <c r="E2951" s="15" t="s">
        <v>173</v>
      </c>
      <c r="F2951" s="15" t="s">
        <v>60</v>
      </c>
      <c r="G2951" s="15" t="s">
        <v>25</v>
      </c>
      <c r="H2951" s="15" t="s">
        <v>68</v>
      </c>
      <c r="I2951" s="15" t="s">
        <v>69</v>
      </c>
      <c r="J2951" s="15" t="s">
        <v>266</v>
      </c>
      <c r="K2951" s="15">
        <v>45</v>
      </c>
      <c r="L2951" s="16">
        <v>25</v>
      </c>
      <c r="M2951" s="17">
        <v>1125</v>
      </c>
      <c r="N2951" s="15" t="s">
        <v>367</v>
      </c>
      <c r="O2951" s="15" t="s">
        <v>19</v>
      </c>
      <c r="Q2951"/>
    </row>
    <row r="2952" spans="1:17" ht="15.6" x14ac:dyDescent="0.3">
      <c r="A2952" s="11">
        <v>10416</v>
      </c>
      <c r="B2952" s="10">
        <v>38671</v>
      </c>
      <c r="C2952" s="10" t="s">
        <v>329</v>
      </c>
      <c r="D2952" s="11" t="s">
        <v>172</v>
      </c>
      <c r="E2952" s="11" t="s">
        <v>173</v>
      </c>
      <c r="F2952" s="11" t="s">
        <v>60</v>
      </c>
      <c r="G2952" s="11" t="s">
        <v>25</v>
      </c>
      <c r="H2952" s="11" t="s">
        <v>17</v>
      </c>
      <c r="I2952" s="11" t="s">
        <v>20</v>
      </c>
      <c r="J2952" s="11" t="s">
        <v>242</v>
      </c>
      <c r="K2952" s="11">
        <v>26</v>
      </c>
      <c r="L2952" s="12">
        <v>48</v>
      </c>
      <c r="M2952" s="13">
        <v>1248</v>
      </c>
      <c r="N2952" s="11" t="s">
        <v>367</v>
      </c>
      <c r="O2952" s="11" t="s">
        <v>19</v>
      </c>
      <c r="Q2952"/>
    </row>
    <row r="2953" spans="1:17" ht="15.6" x14ac:dyDescent="0.3">
      <c r="A2953" s="15">
        <v>10416</v>
      </c>
      <c r="B2953" s="14">
        <v>38701</v>
      </c>
      <c r="C2953" s="14" t="s">
        <v>329</v>
      </c>
      <c r="D2953" s="15" t="s">
        <v>172</v>
      </c>
      <c r="E2953" s="15" t="s">
        <v>173</v>
      </c>
      <c r="F2953" s="15" t="s">
        <v>60</v>
      </c>
      <c r="G2953" s="15" t="s">
        <v>25</v>
      </c>
      <c r="H2953" s="15" t="s">
        <v>17</v>
      </c>
      <c r="I2953" s="15" t="s">
        <v>82</v>
      </c>
      <c r="J2953" s="15" t="s">
        <v>270</v>
      </c>
      <c r="K2953" s="15">
        <v>37</v>
      </c>
      <c r="L2953" s="16">
        <v>75</v>
      </c>
      <c r="M2953" s="17">
        <v>2775</v>
      </c>
      <c r="N2953" s="15" t="s">
        <v>367</v>
      </c>
      <c r="O2953" s="15" t="s">
        <v>19</v>
      </c>
      <c r="Q2953"/>
    </row>
    <row r="2954" spans="1:17" ht="15.6" x14ac:dyDescent="0.3">
      <c r="A2954" s="11">
        <v>10416</v>
      </c>
      <c r="B2954" s="10">
        <v>38701</v>
      </c>
      <c r="C2954" s="10" t="s">
        <v>329</v>
      </c>
      <c r="D2954" s="11" t="s">
        <v>172</v>
      </c>
      <c r="E2954" s="11" t="s">
        <v>173</v>
      </c>
      <c r="F2954" s="11" t="s">
        <v>60</v>
      </c>
      <c r="G2954" s="11" t="s">
        <v>25</v>
      </c>
      <c r="H2954" s="11" t="s">
        <v>61</v>
      </c>
      <c r="I2954" s="11" t="s">
        <v>62</v>
      </c>
      <c r="J2954" s="11" t="s">
        <v>261</v>
      </c>
      <c r="K2954" s="11">
        <v>23</v>
      </c>
      <c r="L2954" s="12">
        <v>15</v>
      </c>
      <c r="M2954" s="13">
        <v>345</v>
      </c>
      <c r="N2954" s="11" t="s">
        <v>367</v>
      </c>
      <c r="O2954" s="11" t="s">
        <v>19</v>
      </c>
      <c r="Q2954"/>
    </row>
    <row r="2955" spans="1:17" ht="15.6" x14ac:dyDescent="0.3">
      <c r="A2955" s="15">
        <v>10416</v>
      </c>
      <c r="B2955" s="14">
        <v>38701</v>
      </c>
      <c r="C2955" s="14" t="s">
        <v>329</v>
      </c>
      <c r="D2955" s="15" t="s">
        <v>172</v>
      </c>
      <c r="E2955" s="15" t="s">
        <v>173</v>
      </c>
      <c r="F2955" s="15" t="s">
        <v>60</v>
      </c>
      <c r="G2955" s="15" t="s">
        <v>25</v>
      </c>
      <c r="H2955" s="15" t="s">
        <v>61</v>
      </c>
      <c r="I2955" s="15" t="s">
        <v>62</v>
      </c>
      <c r="J2955" s="15" t="s">
        <v>261</v>
      </c>
      <c r="K2955" s="15">
        <v>22</v>
      </c>
      <c r="L2955" s="16">
        <v>15</v>
      </c>
      <c r="M2955" s="17">
        <v>330</v>
      </c>
      <c r="N2955" s="15" t="s">
        <v>367</v>
      </c>
      <c r="O2955" s="15" t="s">
        <v>19</v>
      </c>
      <c r="Q2955"/>
    </row>
    <row r="2956" spans="1:17" ht="15.6" x14ac:dyDescent="0.3">
      <c r="A2956" s="11">
        <v>10416</v>
      </c>
      <c r="B2956" s="10">
        <v>38703</v>
      </c>
      <c r="C2956" s="10" t="s">
        <v>329</v>
      </c>
      <c r="D2956" s="11" t="s">
        <v>172</v>
      </c>
      <c r="E2956" s="11" t="s">
        <v>173</v>
      </c>
      <c r="F2956" s="11" t="s">
        <v>60</v>
      </c>
      <c r="G2956" s="11" t="s">
        <v>25</v>
      </c>
      <c r="H2956" s="11" t="s">
        <v>61</v>
      </c>
      <c r="I2956" s="11" t="s">
        <v>64</v>
      </c>
      <c r="J2956" s="11" t="s">
        <v>263</v>
      </c>
      <c r="K2956" s="11">
        <v>41</v>
      </c>
      <c r="L2956" s="12">
        <v>35</v>
      </c>
      <c r="M2956" s="13">
        <v>1435</v>
      </c>
      <c r="N2956" s="11" t="s">
        <v>367</v>
      </c>
      <c r="O2956" s="11" t="s">
        <v>19</v>
      </c>
      <c r="Q2956"/>
    </row>
    <row r="2957" spans="1:17" ht="15.6" x14ac:dyDescent="0.3">
      <c r="A2957" s="15">
        <v>10416</v>
      </c>
      <c r="B2957" s="14">
        <v>38703</v>
      </c>
      <c r="C2957" s="14" t="s">
        <v>329</v>
      </c>
      <c r="D2957" s="15" t="s">
        <v>172</v>
      </c>
      <c r="E2957" s="15" t="s">
        <v>173</v>
      </c>
      <c r="F2957" s="15" t="s">
        <v>60</v>
      </c>
      <c r="G2957" s="15" t="s">
        <v>25</v>
      </c>
      <c r="H2957" s="15" t="s">
        <v>61</v>
      </c>
      <c r="I2957" s="15" t="s">
        <v>66</v>
      </c>
      <c r="J2957" s="15" t="s">
        <v>265</v>
      </c>
      <c r="K2957" s="15">
        <v>39</v>
      </c>
      <c r="L2957" s="16">
        <v>35</v>
      </c>
      <c r="M2957" s="17">
        <v>1365</v>
      </c>
      <c r="N2957" s="15" t="s">
        <v>367</v>
      </c>
      <c r="O2957" s="15" t="s">
        <v>19</v>
      </c>
      <c r="Q2957"/>
    </row>
    <row r="2958" spans="1:17" ht="15.6" x14ac:dyDescent="0.3">
      <c r="A2958" s="11">
        <v>10416</v>
      </c>
      <c r="B2958" s="10">
        <v>38703</v>
      </c>
      <c r="C2958" s="10" t="s">
        <v>329</v>
      </c>
      <c r="D2958" s="11" t="s">
        <v>172</v>
      </c>
      <c r="E2958" s="11" t="s">
        <v>173</v>
      </c>
      <c r="F2958" s="11" t="s">
        <v>60</v>
      </c>
      <c r="G2958" s="11" t="s">
        <v>25</v>
      </c>
      <c r="H2958" s="11" t="s">
        <v>61</v>
      </c>
      <c r="I2958" s="11" t="s">
        <v>62</v>
      </c>
      <c r="J2958" s="11" t="s">
        <v>261</v>
      </c>
      <c r="K2958" s="11">
        <v>43</v>
      </c>
      <c r="L2958" s="12">
        <v>15</v>
      </c>
      <c r="M2958" s="13">
        <v>645</v>
      </c>
      <c r="N2958" s="11" t="s">
        <v>367</v>
      </c>
      <c r="O2958" s="11" t="s">
        <v>19</v>
      </c>
      <c r="Q2958"/>
    </row>
    <row r="2959" spans="1:17" ht="15.6" x14ac:dyDescent="0.3">
      <c r="A2959" s="15">
        <v>10419</v>
      </c>
      <c r="B2959" s="14">
        <v>38704</v>
      </c>
      <c r="C2959" s="14" t="s">
        <v>294</v>
      </c>
      <c r="D2959" s="15" t="s">
        <v>101</v>
      </c>
      <c r="E2959" s="15" t="s">
        <v>102</v>
      </c>
      <c r="F2959" s="15" t="s">
        <v>103</v>
      </c>
      <c r="G2959" s="15" t="s">
        <v>25</v>
      </c>
      <c r="H2959" s="15" t="s">
        <v>32</v>
      </c>
      <c r="I2959" s="15" t="s">
        <v>46</v>
      </c>
      <c r="J2959" s="15" t="s">
        <v>254</v>
      </c>
      <c r="K2959" s="15">
        <v>12</v>
      </c>
      <c r="L2959" s="16">
        <v>90</v>
      </c>
      <c r="M2959" s="17">
        <v>1080</v>
      </c>
      <c r="N2959" s="15" t="s">
        <v>367</v>
      </c>
      <c r="O2959" s="15" t="s">
        <v>19</v>
      </c>
      <c r="Q2959"/>
    </row>
    <row r="2960" spans="1:17" ht="15.6" x14ac:dyDescent="0.3">
      <c r="A2960" s="11">
        <v>10419</v>
      </c>
      <c r="B2960" s="10">
        <v>38705</v>
      </c>
      <c r="C2960" s="10" t="s">
        <v>294</v>
      </c>
      <c r="D2960" s="11" t="s">
        <v>101</v>
      </c>
      <c r="E2960" s="11" t="s">
        <v>102</v>
      </c>
      <c r="F2960" s="11" t="s">
        <v>103</v>
      </c>
      <c r="G2960" s="11" t="s">
        <v>25</v>
      </c>
      <c r="H2960" s="11" t="s">
        <v>32</v>
      </c>
      <c r="I2960" s="11" t="s">
        <v>33</v>
      </c>
      <c r="J2960" s="11" t="s">
        <v>245</v>
      </c>
      <c r="K2960" s="11">
        <v>10</v>
      </c>
      <c r="L2960" s="12">
        <v>85</v>
      </c>
      <c r="M2960" s="13">
        <v>850</v>
      </c>
      <c r="N2960" s="11" t="s">
        <v>367</v>
      </c>
      <c r="O2960" s="11" t="s">
        <v>19</v>
      </c>
      <c r="Q2960"/>
    </row>
    <row r="2961" spans="1:17" ht="15.6" x14ac:dyDescent="0.3">
      <c r="A2961" s="15">
        <v>10419</v>
      </c>
      <c r="B2961" s="14">
        <v>38705</v>
      </c>
      <c r="C2961" s="14" t="s">
        <v>294</v>
      </c>
      <c r="D2961" s="15" t="s">
        <v>101</v>
      </c>
      <c r="E2961" s="15" t="s">
        <v>102</v>
      </c>
      <c r="F2961" s="15" t="s">
        <v>103</v>
      </c>
      <c r="G2961" s="15" t="s">
        <v>25</v>
      </c>
      <c r="H2961" s="15" t="s">
        <v>32</v>
      </c>
      <c r="I2961" s="15" t="s">
        <v>45</v>
      </c>
      <c r="J2961" s="15" t="s">
        <v>253</v>
      </c>
      <c r="K2961" s="15">
        <v>34</v>
      </c>
      <c r="L2961" s="16">
        <v>35</v>
      </c>
      <c r="M2961" s="17">
        <v>1190</v>
      </c>
      <c r="N2961" s="15" t="s">
        <v>367</v>
      </c>
      <c r="O2961" s="15" t="s">
        <v>19</v>
      </c>
      <c r="Q2961"/>
    </row>
    <row r="2962" spans="1:17" ht="15.6" x14ac:dyDescent="0.3">
      <c r="A2962" s="11">
        <v>10419</v>
      </c>
      <c r="B2962" s="10">
        <v>38705</v>
      </c>
      <c r="C2962" s="10" t="s">
        <v>294</v>
      </c>
      <c r="D2962" s="11" t="s">
        <v>101</v>
      </c>
      <c r="E2962" s="11" t="s">
        <v>102</v>
      </c>
      <c r="F2962" s="11" t="s">
        <v>103</v>
      </c>
      <c r="G2962" s="11" t="s">
        <v>25</v>
      </c>
      <c r="H2962" s="11" t="s">
        <v>32</v>
      </c>
      <c r="I2962" s="11" t="s">
        <v>33</v>
      </c>
      <c r="J2962" s="11" t="s">
        <v>245</v>
      </c>
      <c r="K2962" s="11">
        <v>32</v>
      </c>
      <c r="L2962" s="12">
        <v>85</v>
      </c>
      <c r="M2962" s="13">
        <v>2720</v>
      </c>
      <c r="N2962" s="11" t="s">
        <v>367</v>
      </c>
      <c r="O2962" s="11" t="s">
        <v>19</v>
      </c>
      <c r="Q2962"/>
    </row>
    <row r="2963" spans="1:17" ht="15.6" x14ac:dyDescent="0.3">
      <c r="A2963" s="15">
        <v>10419</v>
      </c>
      <c r="B2963" s="14">
        <v>38706</v>
      </c>
      <c r="C2963" s="14" t="s">
        <v>294</v>
      </c>
      <c r="D2963" s="15" t="s">
        <v>101</v>
      </c>
      <c r="E2963" s="15" t="s">
        <v>102</v>
      </c>
      <c r="F2963" s="15" t="s">
        <v>103</v>
      </c>
      <c r="G2963" s="15" t="s">
        <v>25</v>
      </c>
      <c r="H2963" s="15" t="s">
        <v>32</v>
      </c>
      <c r="I2963" s="15" t="s">
        <v>46</v>
      </c>
      <c r="J2963" s="15" t="s">
        <v>254</v>
      </c>
      <c r="K2963" s="15">
        <v>38</v>
      </c>
      <c r="L2963" s="16">
        <v>90</v>
      </c>
      <c r="M2963" s="17">
        <v>3420</v>
      </c>
      <c r="N2963" s="15" t="s">
        <v>367</v>
      </c>
      <c r="O2963" s="15" t="s">
        <v>19</v>
      </c>
      <c r="Q2963"/>
    </row>
    <row r="2964" spans="1:17" ht="15.6" x14ac:dyDescent="0.3">
      <c r="A2964" s="11">
        <v>10419</v>
      </c>
      <c r="B2964" s="10">
        <v>38706</v>
      </c>
      <c r="C2964" s="10" t="s">
        <v>294</v>
      </c>
      <c r="D2964" s="11" t="s">
        <v>101</v>
      </c>
      <c r="E2964" s="11" t="s">
        <v>102</v>
      </c>
      <c r="F2964" s="11" t="s">
        <v>103</v>
      </c>
      <c r="G2964" s="11" t="s">
        <v>25</v>
      </c>
      <c r="H2964" s="11" t="s">
        <v>32</v>
      </c>
      <c r="I2964" s="11" t="s">
        <v>45</v>
      </c>
      <c r="J2964" s="11" t="s">
        <v>253</v>
      </c>
      <c r="K2964" s="11">
        <v>37</v>
      </c>
      <c r="L2964" s="12">
        <v>35</v>
      </c>
      <c r="M2964" s="13">
        <v>1295</v>
      </c>
      <c r="N2964" s="11" t="s">
        <v>367</v>
      </c>
      <c r="O2964" s="11" t="s">
        <v>19</v>
      </c>
      <c r="Q2964"/>
    </row>
    <row r="2965" spans="1:17" ht="15.6" x14ac:dyDescent="0.3">
      <c r="A2965" s="15">
        <v>10419</v>
      </c>
      <c r="B2965" s="14">
        <v>38706</v>
      </c>
      <c r="C2965" s="14" t="s">
        <v>294</v>
      </c>
      <c r="D2965" s="15" t="s">
        <v>101</v>
      </c>
      <c r="E2965" s="15" t="s">
        <v>102</v>
      </c>
      <c r="F2965" s="15" t="s">
        <v>103</v>
      </c>
      <c r="G2965" s="15" t="s">
        <v>25</v>
      </c>
      <c r="H2965" s="15" t="s">
        <v>32</v>
      </c>
      <c r="I2965" s="15" t="s">
        <v>33</v>
      </c>
      <c r="J2965" s="15" t="s">
        <v>245</v>
      </c>
      <c r="K2965" s="15">
        <v>39</v>
      </c>
      <c r="L2965" s="16">
        <v>85</v>
      </c>
      <c r="M2965" s="17">
        <v>3315</v>
      </c>
      <c r="N2965" s="15" t="s">
        <v>367</v>
      </c>
      <c r="O2965" s="15" t="s">
        <v>19</v>
      </c>
      <c r="Q2965"/>
    </row>
    <row r="2966" spans="1:17" ht="15.6" x14ac:dyDescent="0.3">
      <c r="A2966" s="11">
        <v>10419</v>
      </c>
      <c r="B2966" s="10">
        <v>38707</v>
      </c>
      <c r="C2966" s="10" t="s">
        <v>294</v>
      </c>
      <c r="D2966" s="11" t="s">
        <v>101</v>
      </c>
      <c r="E2966" s="11" t="s">
        <v>102</v>
      </c>
      <c r="F2966" s="11" t="s">
        <v>103</v>
      </c>
      <c r="G2966" s="11" t="s">
        <v>25</v>
      </c>
      <c r="H2966" s="11" t="s">
        <v>32</v>
      </c>
      <c r="I2966" s="11" t="s">
        <v>34</v>
      </c>
      <c r="J2966" s="11" t="s">
        <v>246</v>
      </c>
      <c r="K2966" s="11">
        <v>34</v>
      </c>
      <c r="L2966" s="12">
        <v>80</v>
      </c>
      <c r="M2966" s="13">
        <v>2720</v>
      </c>
      <c r="N2966" s="11" t="s">
        <v>367</v>
      </c>
      <c r="O2966" s="11" t="s">
        <v>19</v>
      </c>
      <c r="Q2966"/>
    </row>
    <row r="2967" spans="1:17" ht="15.6" x14ac:dyDescent="0.3">
      <c r="A2967" s="15">
        <v>10419</v>
      </c>
      <c r="B2967" s="14">
        <v>38707</v>
      </c>
      <c r="C2967" s="14" t="s">
        <v>294</v>
      </c>
      <c r="D2967" s="15" t="s">
        <v>101</v>
      </c>
      <c r="E2967" s="15" t="s">
        <v>102</v>
      </c>
      <c r="F2967" s="15" t="s">
        <v>103</v>
      </c>
      <c r="G2967" s="15" t="s">
        <v>25</v>
      </c>
      <c r="H2967" s="15" t="s">
        <v>32</v>
      </c>
      <c r="I2967" s="15" t="s">
        <v>46</v>
      </c>
      <c r="J2967" s="15" t="s">
        <v>254</v>
      </c>
      <c r="K2967" s="15">
        <v>55</v>
      </c>
      <c r="L2967" s="16">
        <v>90</v>
      </c>
      <c r="M2967" s="17">
        <v>4950</v>
      </c>
      <c r="N2967" s="15" t="s">
        <v>368</v>
      </c>
      <c r="O2967" s="15" t="s">
        <v>19</v>
      </c>
      <c r="Q2967"/>
    </row>
    <row r="2968" spans="1:17" ht="15.6" x14ac:dyDescent="0.3">
      <c r="A2968" s="11">
        <v>10419</v>
      </c>
      <c r="B2968" s="10">
        <v>38708</v>
      </c>
      <c r="C2968" s="10" t="s">
        <v>294</v>
      </c>
      <c r="D2968" s="11" t="s">
        <v>101</v>
      </c>
      <c r="E2968" s="11" t="s">
        <v>102</v>
      </c>
      <c r="F2968" s="11" t="s">
        <v>103</v>
      </c>
      <c r="G2968" s="11" t="s">
        <v>25</v>
      </c>
      <c r="H2968" s="11" t="s">
        <v>32</v>
      </c>
      <c r="I2968" s="11" t="s">
        <v>46</v>
      </c>
      <c r="J2968" s="11" t="s">
        <v>254</v>
      </c>
      <c r="K2968" s="11">
        <v>35</v>
      </c>
      <c r="L2968" s="12">
        <v>90</v>
      </c>
      <c r="M2968" s="13">
        <v>3150</v>
      </c>
      <c r="N2968" s="11" t="s">
        <v>367</v>
      </c>
      <c r="O2968" s="11" t="s">
        <v>19</v>
      </c>
      <c r="Q2968"/>
    </row>
    <row r="2969" spans="1:17" ht="15.6" x14ac:dyDescent="0.3">
      <c r="A2969" s="15">
        <v>10419</v>
      </c>
      <c r="B2969" s="14">
        <v>38709</v>
      </c>
      <c r="C2969" s="14" t="s">
        <v>294</v>
      </c>
      <c r="D2969" s="15" t="s">
        <v>101</v>
      </c>
      <c r="E2969" s="15" t="s">
        <v>102</v>
      </c>
      <c r="F2969" s="15" t="s">
        <v>103</v>
      </c>
      <c r="G2969" s="15" t="s">
        <v>25</v>
      </c>
      <c r="H2969" s="15" t="s">
        <v>32</v>
      </c>
      <c r="I2969" s="15" t="s">
        <v>46</v>
      </c>
      <c r="J2969" s="15" t="s">
        <v>254</v>
      </c>
      <c r="K2969" s="15">
        <v>43</v>
      </c>
      <c r="L2969" s="16">
        <v>90</v>
      </c>
      <c r="M2969" s="17">
        <v>3870</v>
      </c>
      <c r="N2969" s="15" t="s">
        <v>367</v>
      </c>
      <c r="O2969" s="15" t="s">
        <v>19</v>
      </c>
      <c r="Q2969"/>
    </row>
    <row r="2970" spans="1:17" ht="15.6" x14ac:dyDescent="0.3">
      <c r="A2970" s="11">
        <v>10419</v>
      </c>
      <c r="B2970" s="10">
        <v>38710</v>
      </c>
      <c r="C2970" s="10" t="s">
        <v>294</v>
      </c>
      <c r="D2970" s="11" t="s">
        <v>101</v>
      </c>
      <c r="E2970" s="11" t="s">
        <v>102</v>
      </c>
      <c r="F2970" s="11" t="s">
        <v>103</v>
      </c>
      <c r="G2970" s="11" t="s">
        <v>25</v>
      </c>
      <c r="H2970" s="11" t="s">
        <v>32</v>
      </c>
      <c r="I2970" s="11" t="s">
        <v>44</v>
      </c>
      <c r="J2970" s="11" t="s">
        <v>252</v>
      </c>
      <c r="K2970" s="11">
        <v>15</v>
      </c>
      <c r="L2970" s="12">
        <v>55</v>
      </c>
      <c r="M2970" s="13">
        <v>825</v>
      </c>
      <c r="N2970" s="11" t="s">
        <v>367</v>
      </c>
      <c r="O2970" s="11" t="s">
        <v>19</v>
      </c>
      <c r="Q2970"/>
    </row>
    <row r="2971" spans="1:17" ht="15.6" x14ac:dyDescent="0.3">
      <c r="A2971" s="15">
        <v>10419</v>
      </c>
      <c r="B2971" s="14">
        <v>38711</v>
      </c>
      <c r="C2971" s="14" t="s">
        <v>294</v>
      </c>
      <c r="D2971" s="15" t="s">
        <v>101</v>
      </c>
      <c r="E2971" s="15" t="s">
        <v>102</v>
      </c>
      <c r="F2971" s="15" t="s">
        <v>103</v>
      </c>
      <c r="G2971" s="15" t="s">
        <v>25</v>
      </c>
      <c r="H2971" s="15" t="s">
        <v>32</v>
      </c>
      <c r="I2971" s="15" t="s">
        <v>34</v>
      </c>
      <c r="J2971" s="15" t="s">
        <v>246</v>
      </c>
      <c r="K2971" s="15">
        <v>55</v>
      </c>
      <c r="L2971" s="16">
        <v>80</v>
      </c>
      <c r="M2971" s="17">
        <v>4400</v>
      </c>
      <c r="N2971" s="15" t="s">
        <v>368</v>
      </c>
      <c r="O2971" s="15" t="s">
        <v>19</v>
      </c>
      <c r="Q2971"/>
    </row>
    <row r="2972" spans="1:17" ht="15.6" x14ac:dyDescent="0.3">
      <c r="A2972" s="11">
        <v>10419</v>
      </c>
      <c r="B2972" s="10">
        <v>38711</v>
      </c>
      <c r="C2972" s="10" t="s">
        <v>294</v>
      </c>
      <c r="D2972" s="11" t="s">
        <v>101</v>
      </c>
      <c r="E2972" s="11" t="s">
        <v>102</v>
      </c>
      <c r="F2972" s="11" t="s">
        <v>103</v>
      </c>
      <c r="G2972" s="11" t="s">
        <v>25</v>
      </c>
      <c r="H2972" s="11" t="s">
        <v>32</v>
      </c>
      <c r="I2972" s="11" t="s">
        <v>44</v>
      </c>
      <c r="J2972" s="11" t="s">
        <v>252</v>
      </c>
      <c r="K2972" s="11">
        <v>70</v>
      </c>
      <c r="L2972" s="12">
        <v>55</v>
      </c>
      <c r="M2972" s="13">
        <v>3850</v>
      </c>
      <c r="N2972" s="11" t="s">
        <v>368</v>
      </c>
      <c r="O2972" s="11" t="s">
        <v>19</v>
      </c>
      <c r="Q2972"/>
    </row>
    <row r="2973" spans="1:17" x14ac:dyDescent="0.3">
      <c r="Q2973"/>
    </row>
    <row r="2974" spans="1:17" x14ac:dyDescent="0.3">
      <c r="Q2974"/>
    </row>
    <row r="2975" spans="1:17" x14ac:dyDescent="0.3">
      <c r="Q2975"/>
    </row>
    <row r="2976" spans="1:17" x14ac:dyDescent="0.3">
      <c r="Q2976"/>
    </row>
    <row r="2977" spans="17:17" x14ac:dyDescent="0.3">
      <c r="Q2977"/>
    </row>
    <row r="2978" spans="17:17" x14ac:dyDescent="0.3">
      <c r="Q2978"/>
    </row>
    <row r="2979" spans="17:17" x14ac:dyDescent="0.3">
      <c r="Q2979"/>
    </row>
    <row r="2980" spans="17:17" x14ac:dyDescent="0.3">
      <c r="Q2980"/>
    </row>
    <row r="2981" spans="17:17" x14ac:dyDescent="0.3">
      <c r="Q2981"/>
    </row>
    <row r="2982" spans="17:17" x14ac:dyDescent="0.3">
      <c r="Q2982"/>
    </row>
    <row r="2983" spans="17:17" x14ac:dyDescent="0.3">
      <c r="Q2983"/>
    </row>
    <row r="2984" spans="17:17" x14ac:dyDescent="0.3">
      <c r="Q2984"/>
    </row>
    <row r="2985" spans="17:17" x14ac:dyDescent="0.3">
      <c r="Q2985"/>
    </row>
    <row r="2986" spans="17:17" x14ac:dyDescent="0.3">
      <c r="Q2986"/>
    </row>
    <row r="2987" spans="17:17" x14ac:dyDescent="0.3">
      <c r="Q2987"/>
    </row>
    <row r="2988" spans="17:17" x14ac:dyDescent="0.3">
      <c r="Q2988"/>
    </row>
    <row r="2989" spans="17:17" x14ac:dyDescent="0.3">
      <c r="Q2989"/>
    </row>
    <row r="2990" spans="17:17" x14ac:dyDescent="0.3">
      <c r="Q2990"/>
    </row>
    <row r="2991" spans="17:17" x14ac:dyDescent="0.3">
      <c r="Q2991"/>
    </row>
    <row r="2992" spans="17:17" x14ac:dyDescent="0.3">
      <c r="Q2992"/>
    </row>
    <row r="2993" spans="17:17" x14ac:dyDescent="0.3">
      <c r="Q2993"/>
    </row>
    <row r="2994" spans="17:17" x14ac:dyDescent="0.3">
      <c r="Q2994"/>
    </row>
  </sheetData>
  <mergeCells count="2">
    <mergeCell ref="AA1:AI1"/>
    <mergeCell ref="S1:Y1"/>
  </mergeCells>
  <pageMargins left="0.7" right="0.7" top="0.75" bottom="0.75" header="0.3" footer="0.3"/>
  <ignoredErrors>
    <ignoredError sqref="AB9:AH9" formula="1"/>
  </ignoredErrors>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9C181-D7CF-46A2-9C8E-2E78652F288C}">
  <sheetPr>
    <tabColor rgb="FF00B0F0"/>
  </sheetPr>
  <dimension ref="A1:M2824"/>
  <sheetViews>
    <sheetView workbookViewId="0">
      <selection activeCell="M48" sqref="M48"/>
    </sheetView>
  </sheetViews>
  <sheetFormatPr defaultRowHeight="15.6" x14ac:dyDescent="0.3"/>
  <cols>
    <col min="1" max="1" width="19.21875" style="5" bestFit="1" customWidth="1"/>
    <col min="2" max="2" width="22.88671875" style="5" bestFit="1" customWidth="1"/>
    <col min="3" max="3" width="22.44140625" style="5" bestFit="1" customWidth="1"/>
    <col min="4" max="4" width="16" style="3" bestFit="1" customWidth="1"/>
    <col min="5" max="6" width="8.88671875" style="5"/>
    <col min="7" max="8" width="20.5546875" style="5" customWidth="1"/>
    <col min="9" max="9" width="38.33203125" style="5" bestFit="1" customWidth="1"/>
    <col min="10" max="12" width="20.5546875" style="5" customWidth="1"/>
    <col min="13" max="13" width="22.44140625" style="5" bestFit="1" customWidth="1"/>
    <col min="14" max="14" width="17.33203125" style="5" bestFit="1" customWidth="1"/>
    <col min="15" max="16384" width="8.88671875" style="5"/>
  </cols>
  <sheetData>
    <row r="1" spans="1:13" x14ac:dyDescent="0.3">
      <c r="A1" s="1" t="s">
        <v>9</v>
      </c>
      <c r="B1" s="1" t="s">
        <v>8</v>
      </c>
      <c r="C1" s="1" t="s">
        <v>240</v>
      </c>
      <c r="D1" s="1" t="s">
        <v>7</v>
      </c>
      <c r="G1" s="270" t="s">
        <v>373</v>
      </c>
      <c r="H1" s="271"/>
      <c r="I1" s="271"/>
      <c r="K1" s="270" t="s">
        <v>373</v>
      </c>
      <c r="L1" s="271"/>
      <c r="M1" s="271"/>
    </row>
    <row r="2" spans="1:13" ht="16.2" thickBot="1" x14ac:dyDescent="0.35">
      <c r="A2" s="3" t="s">
        <v>34</v>
      </c>
      <c r="B2" s="3" t="s">
        <v>32</v>
      </c>
      <c r="C2" s="3" t="s">
        <v>246</v>
      </c>
      <c r="D2" s="7">
        <v>80</v>
      </c>
      <c r="G2" s="22" t="s">
        <v>374</v>
      </c>
      <c r="H2" s="22" t="s">
        <v>7</v>
      </c>
      <c r="I2" s="22" t="s">
        <v>385</v>
      </c>
      <c r="K2" s="22" t="s">
        <v>374</v>
      </c>
      <c r="L2" s="22" t="s">
        <v>8</v>
      </c>
      <c r="M2" s="22" t="s">
        <v>240</v>
      </c>
    </row>
    <row r="3" spans="1:13" x14ac:dyDescent="0.3">
      <c r="A3" s="3" t="s">
        <v>44</v>
      </c>
      <c r="B3" s="3" t="s">
        <v>32</v>
      </c>
      <c r="C3" s="3" t="s">
        <v>252</v>
      </c>
      <c r="D3" s="7">
        <v>55</v>
      </c>
      <c r="G3" s="23" t="s">
        <v>375</v>
      </c>
      <c r="H3" s="25">
        <f>COUNT(Products_Table[Price_Each])</f>
        <v>33</v>
      </c>
      <c r="I3" s="37" t="s">
        <v>386</v>
      </c>
      <c r="K3" s="32" t="s">
        <v>375</v>
      </c>
      <c r="L3" s="33">
        <f>COUNTA(Products_Table[Product_Category])</f>
        <v>33</v>
      </c>
      <c r="M3" s="33">
        <f>COUNTA(Products_Table[Product_Name])</f>
        <v>33</v>
      </c>
    </row>
    <row r="4" spans="1:13" ht="16.2" thickBot="1" x14ac:dyDescent="0.35">
      <c r="A4" s="3" t="s">
        <v>33</v>
      </c>
      <c r="B4" s="3" t="s">
        <v>32</v>
      </c>
      <c r="C4" s="3" t="s">
        <v>245</v>
      </c>
      <c r="D4" s="7">
        <v>85</v>
      </c>
      <c r="G4" s="23" t="s">
        <v>376</v>
      </c>
      <c r="H4" s="25">
        <f>AVERAGE(Products_Table[Price_Each])</f>
        <v>66.909090909090907</v>
      </c>
      <c r="I4" s="37" t="s">
        <v>386</v>
      </c>
      <c r="K4" s="34" t="s">
        <v>391</v>
      </c>
      <c r="L4" s="35">
        <f>COUNTA(_xlfn.UNIQUE(Products_Table[Product_Category]))</f>
        <v>7</v>
      </c>
      <c r="M4" s="35">
        <f>COUNTA(_xlfn.UNIQUE(Products_Table[Product_Name]))</f>
        <v>33</v>
      </c>
    </row>
    <row r="5" spans="1:13" x14ac:dyDescent="0.3">
      <c r="A5" s="3" t="s">
        <v>45</v>
      </c>
      <c r="B5" s="3" t="s">
        <v>32</v>
      </c>
      <c r="C5" s="3" t="s">
        <v>253</v>
      </c>
      <c r="D5" s="7">
        <v>35</v>
      </c>
      <c r="G5" s="23" t="s">
        <v>377</v>
      </c>
      <c r="H5" s="26">
        <f>_xlfn.STDEV.S(Products_Table[Price_Each])</f>
        <v>57.545831536895243</v>
      </c>
      <c r="I5" s="38" t="s">
        <v>398</v>
      </c>
      <c r="J5" s="29"/>
      <c r="K5" s="23" t="s">
        <v>393</v>
      </c>
      <c r="L5" s="25" t="str" cm="1">
        <f t="array" ref="L5">INDEX(Products_Table[Product_Category],_xlfn.MODE.MULT(MATCH(Products_Table[Product_Category],Products_Table[Product_Category],0)))</f>
        <v>Dairy Products</v>
      </c>
      <c r="M5" s="25" t="s">
        <v>386</v>
      </c>
    </row>
    <row r="6" spans="1:13" ht="16.2" thickBot="1" x14ac:dyDescent="0.35">
      <c r="A6" s="3" t="s">
        <v>46</v>
      </c>
      <c r="B6" s="3" t="s">
        <v>32</v>
      </c>
      <c r="C6" s="3" t="s">
        <v>254</v>
      </c>
      <c r="D6" s="7">
        <v>90</v>
      </c>
      <c r="G6" s="23" t="s">
        <v>378</v>
      </c>
      <c r="H6" s="26">
        <f>_xlfn.VAR.S(Products_Table[Price_Each])</f>
        <v>3311.522727272727</v>
      </c>
      <c r="I6" s="38" t="s">
        <v>386</v>
      </c>
      <c r="K6" s="24" t="s">
        <v>392</v>
      </c>
      <c r="L6" s="31">
        <f>COUNTIF(Products_Table[Product_Category],L5)/$L$3</f>
        <v>0.18181818181818182</v>
      </c>
      <c r="M6" s="31" t="s">
        <v>386</v>
      </c>
    </row>
    <row r="7" spans="1:13" x14ac:dyDescent="0.3">
      <c r="A7" s="3" t="s">
        <v>20</v>
      </c>
      <c r="B7" s="3" t="s">
        <v>17</v>
      </c>
      <c r="C7" s="3" t="s">
        <v>242</v>
      </c>
      <c r="D7" s="7">
        <v>48</v>
      </c>
      <c r="G7" s="23" t="s">
        <v>379</v>
      </c>
      <c r="H7" s="26">
        <f>MIN(Products_Table[Price_Each])</f>
        <v>15</v>
      </c>
      <c r="I7" s="38" t="s">
        <v>386</v>
      </c>
      <c r="K7" s="23" t="s">
        <v>394</v>
      </c>
      <c r="L7" s="26" t="str" cm="1">
        <f t="array" ref="L7">_xlfn.LET(_xlpm.names,Products_Table[Product_Category],_xlpm.u,_xlfn.UNIQUE(_xlpm.names),_xlpm.freq,COUNTIF(_xlpm.names,_xlpm.u),_xlpm.sorted,_xlfn.SORTBY(_xlpm.u,_xlpm.freq,-1),INDEX(_xlpm.sorted,2))</f>
        <v>Beverages</v>
      </c>
      <c r="M7" s="26" t="s">
        <v>386</v>
      </c>
    </row>
    <row r="8" spans="1:13" ht="16.2" thickBot="1" x14ac:dyDescent="0.35">
      <c r="A8" s="3" t="s">
        <v>18</v>
      </c>
      <c r="B8" s="3" t="s">
        <v>17</v>
      </c>
      <c r="C8" s="3" t="s">
        <v>241</v>
      </c>
      <c r="D8" s="7">
        <v>30</v>
      </c>
      <c r="G8" s="30">
        <v>0.25</v>
      </c>
      <c r="H8" s="26">
        <f>_xlfn.QUARTILE.INC(Products_Table[Price_Each],1)</f>
        <v>30</v>
      </c>
      <c r="I8" s="38" t="s">
        <v>386</v>
      </c>
      <c r="K8" s="24" t="s">
        <v>392</v>
      </c>
      <c r="L8" s="31">
        <f>COUNTIF(Products_Table[Product_Category],L7)/L$3</f>
        <v>0.15151515151515152</v>
      </c>
      <c r="M8" s="31" t="s">
        <v>386</v>
      </c>
    </row>
    <row r="9" spans="1:13" x14ac:dyDescent="0.3">
      <c r="A9" s="3" t="s">
        <v>82</v>
      </c>
      <c r="B9" s="3" t="s">
        <v>17</v>
      </c>
      <c r="C9" s="3" t="s">
        <v>270</v>
      </c>
      <c r="D9" s="7">
        <v>75</v>
      </c>
      <c r="G9" s="23" t="s">
        <v>380</v>
      </c>
      <c r="H9" s="26">
        <f>MEDIAN(Products_Table[Price_Each])</f>
        <v>45</v>
      </c>
      <c r="I9" s="38" t="s">
        <v>386</v>
      </c>
      <c r="K9" s="23" t="s">
        <v>395</v>
      </c>
      <c r="L9" s="26" t="str" cm="1">
        <f t="array" ref="L9">_xlfn.LET(_xlpm.names,Products_Table[Product_Category],_xlpm.u,_xlfn.UNIQUE(_xlpm.names),_xlpm.freq,COUNTIF(_xlpm.names,_xlpm.u),_xlpm.sorted,_xlfn.SORTBY(_xlpm.u,_xlpm.freq,-1),INDEX(_xlpm.sorted,3))</f>
        <v>Instant Foods</v>
      </c>
      <c r="M9" s="26" t="s">
        <v>386</v>
      </c>
    </row>
    <row r="10" spans="1:13" ht="16.2" thickBot="1" x14ac:dyDescent="0.35">
      <c r="A10" s="3" t="s">
        <v>26</v>
      </c>
      <c r="B10" s="3" t="s">
        <v>17</v>
      </c>
      <c r="C10" s="3" t="s">
        <v>244</v>
      </c>
      <c r="D10" s="7">
        <v>60</v>
      </c>
      <c r="G10" s="30">
        <v>0.75</v>
      </c>
      <c r="H10" s="26">
        <f>_xlfn.QUARTILE.INC(Products_Table[Price_Each],3)</f>
        <v>80</v>
      </c>
      <c r="I10" s="38" t="s">
        <v>386</v>
      </c>
      <c r="K10" s="24" t="s">
        <v>392</v>
      </c>
      <c r="L10" s="31">
        <f>COUNTIF(Products_Table[Product_Category],L9)/L$3</f>
        <v>0.15151515151515152</v>
      </c>
      <c r="M10" s="31" t="s">
        <v>386</v>
      </c>
    </row>
    <row r="11" spans="1:13" x14ac:dyDescent="0.3">
      <c r="A11" s="3" t="s">
        <v>52</v>
      </c>
      <c r="B11" s="3" t="s">
        <v>17</v>
      </c>
      <c r="C11" s="3" t="s">
        <v>256</v>
      </c>
      <c r="D11" s="7">
        <v>45</v>
      </c>
      <c r="G11" s="23" t="s">
        <v>381</v>
      </c>
      <c r="H11" s="26">
        <f>MAX(Products_Table[Price_Each])</f>
        <v>250</v>
      </c>
      <c r="I11" s="38" t="s">
        <v>386</v>
      </c>
    </row>
    <row r="12" spans="1:13" x14ac:dyDescent="0.3">
      <c r="A12" s="3" t="s">
        <v>21</v>
      </c>
      <c r="B12" s="3" t="s">
        <v>17</v>
      </c>
      <c r="C12" s="3" t="s">
        <v>243</v>
      </c>
      <c r="D12" s="7">
        <v>110</v>
      </c>
      <c r="G12" s="23" t="s">
        <v>384</v>
      </c>
      <c r="H12" s="26">
        <f>H11-H7</f>
        <v>235</v>
      </c>
      <c r="I12" s="38" t="s">
        <v>386</v>
      </c>
    </row>
    <row r="13" spans="1:13" x14ac:dyDescent="0.3">
      <c r="A13" s="3" t="s">
        <v>48</v>
      </c>
      <c r="B13" s="3" t="s">
        <v>47</v>
      </c>
      <c r="C13" s="3" t="s">
        <v>255</v>
      </c>
      <c r="D13" s="7">
        <v>70</v>
      </c>
      <c r="G13" s="23" t="s">
        <v>382</v>
      </c>
      <c r="H13" s="26">
        <f>SKEW(Products_Table[Price_Each])</f>
        <v>1.9486315917433212</v>
      </c>
      <c r="I13" s="38" t="s">
        <v>388</v>
      </c>
    </row>
    <row r="14" spans="1:13" ht="16.2" thickBot="1" x14ac:dyDescent="0.35">
      <c r="A14" s="3" t="s">
        <v>119</v>
      </c>
      <c r="B14" s="3" t="s">
        <v>47</v>
      </c>
      <c r="C14" s="3" t="s">
        <v>272</v>
      </c>
      <c r="D14" s="7">
        <v>60</v>
      </c>
      <c r="G14" s="24" t="s">
        <v>383</v>
      </c>
      <c r="H14" s="27">
        <f>KURT(Products_Table[Price_Each])</f>
        <v>3.4132835940165784</v>
      </c>
      <c r="I14" s="39" t="s">
        <v>390</v>
      </c>
    </row>
    <row r="15" spans="1:13" x14ac:dyDescent="0.3">
      <c r="A15" s="3" t="s">
        <v>53</v>
      </c>
      <c r="B15" s="3" t="s">
        <v>47</v>
      </c>
      <c r="C15" s="3" t="s">
        <v>257</v>
      </c>
      <c r="D15" s="7">
        <v>90</v>
      </c>
    </row>
    <row r="16" spans="1:13" x14ac:dyDescent="0.3">
      <c r="A16" s="3" t="s">
        <v>57</v>
      </c>
      <c r="B16" s="3" t="s">
        <v>54</v>
      </c>
      <c r="C16" s="3" t="s">
        <v>260</v>
      </c>
      <c r="D16" s="7">
        <v>220</v>
      </c>
    </row>
    <row r="17" spans="1:4" x14ac:dyDescent="0.3">
      <c r="A17" s="3" t="s">
        <v>56</v>
      </c>
      <c r="B17" s="3" t="s">
        <v>54</v>
      </c>
      <c r="C17" s="3" t="s">
        <v>259</v>
      </c>
      <c r="D17" s="7">
        <v>250</v>
      </c>
    </row>
    <row r="18" spans="1:4" x14ac:dyDescent="0.3">
      <c r="A18" s="3" t="s">
        <v>55</v>
      </c>
      <c r="B18" s="3" t="s">
        <v>54</v>
      </c>
      <c r="C18" s="3" t="s">
        <v>258</v>
      </c>
      <c r="D18" s="7">
        <v>180</v>
      </c>
    </row>
    <row r="19" spans="1:4" x14ac:dyDescent="0.3">
      <c r="A19" s="3" t="s">
        <v>166</v>
      </c>
      <c r="B19" s="3" t="s">
        <v>54</v>
      </c>
      <c r="C19" s="3" t="s">
        <v>273</v>
      </c>
      <c r="D19" s="7">
        <v>160</v>
      </c>
    </row>
    <row r="20" spans="1:4" x14ac:dyDescent="0.3">
      <c r="A20" s="3" t="s">
        <v>69</v>
      </c>
      <c r="B20" s="3" t="s">
        <v>68</v>
      </c>
      <c r="C20" s="3" t="s">
        <v>266</v>
      </c>
      <c r="D20" s="7">
        <v>25</v>
      </c>
    </row>
    <row r="21" spans="1:4" x14ac:dyDescent="0.3">
      <c r="A21" s="3" t="s">
        <v>76</v>
      </c>
      <c r="B21" s="3" t="s">
        <v>68</v>
      </c>
      <c r="C21" s="3" t="s">
        <v>269</v>
      </c>
      <c r="D21" s="7">
        <v>30</v>
      </c>
    </row>
    <row r="22" spans="1:4" x14ac:dyDescent="0.3">
      <c r="A22" s="3" t="s">
        <v>108</v>
      </c>
      <c r="B22" s="3" t="s">
        <v>68</v>
      </c>
      <c r="C22" s="3" t="s">
        <v>271</v>
      </c>
      <c r="D22" s="7">
        <v>45</v>
      </c>
    </row>
    <row r="23" spans="1:4" x14ac:dyDescent="0.3">
      <c r="A23" s="3" t="s">
        <v>70</v>
      </c>
      <c r="B23" s="3" t="s">
        <v>68</v>
      </c>
      <c r="C23" s="3" t="s">
        <v>267</v>
      </c>
      <c r="D23" s="7">
        <v>50</v>
      </c>
    </row>
    <row r="24" spans="1:4" x14ac:dyDescent="0.3">
      <c r="A24" s="3" t="s">
        <v>75</v>
      </c>
      <c r="B24" s="3" t="s">
        <v>68</v>
      </c>
      <c r="C24" s="3" t="s">
        <v>268</v>
      </c>
      <c r="D24" s="7">
        <v>35</v>
      </c>
    </row>
    <row r="25" spans="1:4" x14ac:dyDescent="0.3">
      <c r="A25" s="3" t="s">
        <v>39</v>
      </c>
      <c r="B25" s="3" t="s">
        <v>35</v>
      </c>
      <c r="C25" s="3" t="s">
        <v>250</v>
      </c>
      <c r="D25" s="7">
        <v>20</v>
      </c>
    </row>
    <row r="26" spans="1:4" x14ac:dyDescent="0.3">
      <c r="A26" s="3" t="s">
        <v>40</v>
      </c>
      <c r="B26" s="3" t="s">
        <v>35</v>
      </c>
      <c r="C26" s="3" t="s">
        <v>251</v>
      </c>
      <c r="D26" s="7">
        <v>25</v>
      </c>
    </row>
    <row r="27" spans="1:4" x14ac:dyDescent="0.3">
      <c r="A27" s="3" t="s">
        <v>37</v>
      </c>
      <c r="B27" s="3" t="s">
        <v>35</v>
      </c>
      <c r="C27" s="3" t="s">
        <v>248</v>
      </c>
      <c r="D27" s="7">
        <v>30</v>
      </c>
    </row>
    <row r="28" spans="1:4" x14ac:dyDescent="0.3">
      <c r="A28" s="3" t="s">
        <v>38</v>
      </c>
      <c r="B28" s="3" t="s">
        <v>35</v>
      </c>
      <c r="C28" s="3" t="s">
        <v>249</v>
      </c>
      <c r="D28" s="7">
        <v>20</v>
      </c>
    </row>
    <row r="29" spans="1:4" x14ac:dyDescent="0.3">
      <c r="A29" s="3" t="s">
        <v>36</v>
      </c>
      <c r="B29" s="3" t="s">
        <v>35</v>
      </c>
      <c r="C29" s="3" t="s">
        <v>247</v>
      </c>
      <c r="D29" s="7">
        <v>30</v>
      </c>
    </row>
    <row r="30" spans="1:4" x14ac:dyDescent="0.3">
      <c r="A30" s="3" t="s">
        <v>62</v>
      </c>
      <c r="B30" s="3" t="s">
        <v>61</v>
      </c>
      <c r="C30" s="3" t="s">
        <v>261</v>
      </c>
      <c r="D30" s="7">
        <v>15</v>
      </c>
    </row>
    <row r="31" spans="1:4" x14ac:dyDescent="0.3">
      <c r="A31" s="3" t="s">
        <v>66</v>
      </c>
      <c r="B31" s="3" t="s">
        <v>61</v>
      </c>
      <c r="C31" s="3" t="s">
        <v>265</v>
      </c>
      <c r="D31" s="7">
        <v>35</v>
      </c>
    </row>
    <row r="32" spans="1:4" x14ac:dyDescent="0.3">
      <c r="A32" s="3" t="s">
        <v>65</v>
      </c>
      <c r="B32" s="3" t="s">
        <v>61</v>
      </c>
      <c r="C32" s="3" t="s">
        <v>264</v>
      </c>
      <c r="D32" s="7">
        <v>30</v>
      </c>
    </row>
    <row r="33" spans="1:4" x14ac:dyDescent="0.3">
      <c r="A33" s="3" t="s">
        <v>64</v>
      </c>
      <c r="B33" s="3" t="s">
        <v>61</v>
      </c>
      <c r="C33" s="3" t="s">
        <v>263</v>
      </c>
      <c r="D33" s="7">
        <v>35</v>
      </c>
    </row>
    <row r="34" spans="1:4" x14ac:dyDescent="0.3">
      <c r="A34" s="3" t="s">
        <v>63</v>
      </c>
      <c r="B34" s="3" t="s">
        <v>61</v>
      </c>
      <c r="C34" s="3" t="s">
        <v>262</v>
      </c>
      <c r="D34" s="7">
        <v>40</v>
      </c>
    </row>
    <row r="35" spans="1:4" x14ac:dyDescent="0.3">
      <c r="A35"/>
      <c r="B35"/>
      <c r="C35" s="6"/>
    </row>
    <row r="36" spans="1:4" x14ac:dyDescent="0.3">
      <c r="A36"/>
      <c r="B36"/>
      <c r="C36" s="6"/>
    </row>
    <row r="37" spans="1:4" x14ac:dyDescent="0.3">
      <c r="A37"/>
      <c r="B37"/>
      <c r="C37" s="6"/>
    </row>
    <row r="38" spans="1:4" x14ac:dyDescent="0.3">
      <c r="A38"/>
      <c r="B38"/>
      <c r="C38" s="6"/>
    </row>
    <row r="39" spans="1:4" x14ac:dyDescent="0.3">
      <c r="A39"/>
      <c r="B39"/>
      <c r="C39" s="6"/>
    </row>
    <row r="40" spans="1:4" x14ac:dyDescent="0.3">
      <c r="A40"/>
      <c r="B40"/>
      <c r="C40" s="6"/>
    </row>
    <row r="41" spans="1:4" x14ac:dyDescent="0.3">
      <c r="A41"/>
      <c r="B41"/>
      <c r="C41" s="6"/>
    </row>
    <row r="42" spans="1:4" x14ac:dyDescent="0.3">
      <c r="A42"/>
      <c r="B42"/>
      <c r="C42" s="6"/>
    </row>
    <row r="43" spans="1:4" x14ac:dyDescent="0.3">
      <c r="A43"/>
      <c r="B43"/>
      <c r="C43" s="6"/>
    </row>
    <row r="44" spans="1:4" x14ac:dyDescent="0.3">
      <c r="A44"/>
      <c r="B44"/>
      <c r="C44" s="6"/>
    </row>
    <row r="45" spans="1:4" x14ac:dyDescent="0.3">
      <c r="A45"/>
      <c r="B45"/>
      <c r="C45" s="6"/>
    </row>
    <row r="46" spans="1:4" x14ac:dyDescent="0.3">
      <c r="A46"/>
      <c r="B46"/>
      <c r="C46" s="6"/>
    </row>
    <row r="47" spans="1:4" x14ac:dyDescent="0.3">
      <c r="A47"/>
      <c r="B47"/>
      <c r="C47" s="6"/>
    </row>
    <row r="48" spans="1:4" x14ac:dyDescent="0.3">
      <c r="A48"/>
      <c r="B48"/>
      <c r="C48" s="6"/>
    </row>
    <row r="49" spans="1:3" x14ac:dyDescent="0.3">
      <c r="A49"/>
      <c r="B49"/>
      <c r="C49" s="6"/>
    </row>
    <row r="50" spans="1:3" x14ac:dyDescent="0.3">
      <c r="A50"/>
      <c r="B50"/>
      <c r="C50" s="6"/>
    </row>
    <row r="51" spans="1:3" x14ac:dyDescent="0.3">
      <c r="A51"/>
      <c r="B51"/>
      <c r="C51" s="6"/>
    </row>
    <row r="52" spans="1:3" x14ac:dyDescent="0.3">
      <c r="A52"/>
      <c r="B52"/>
      <c r="C52" s="6"/>
    </row>
    <row r="53" spans="1:3" x14ac:dyDescent="0.3">
      <c r="A53"/>
      <c r="B53"/>
      <c r="C53" s="6"/>
    </row>
    <row r="54" spans="1:3" x14ac:dyDescent="0.3">
      <c r="A54"/>
      <c r="B54"/>
      <c r="C54" s="6"/>
    </row>
    <row r="55" spans="1:3" x14ac:dyDescent="0.3">
      <c r="A55"/>
      <c r="B55"/>
      <c r="C55" s="6"/>
    </row>
    <row r="56" spans="1:3" x14ac:dyDescent="0.3">
      <c r="A56"/>
      <c r="B56"/>
      <c r="C56" s="6"/>
    </row>
    <row r="57" spans="1:3" x14ac:dyDescent="0.3">
      <c r="A57"/>
      <c r="B57"/>
      <c r="C57" s="6"/>
    </row>
    <row r="58" spans="1:3" x14ac:dyDescent="0.3">
      <c r="A58"/>
      <c r="B58"/>
      <c r="C58" s="6"/>
    </row>
    <row r="59" spans="1:3" x14ac:dyDescent="0.3">
      <c r="A59"/>
      <c r="B59"/>
      <c r="C59" s="6"/>
    </row>
    <row r="60" spans="1:3" x14ac:dyDescent="0.3">
      <c r="A60"/>
      <c r="B60"/>
      <c r="C60" s="6"/>
    </row>
    <row r="61" spans="1:3" x14ac:dyDescent="0.3">
      <c r="A61"/>
      <c r="B61"/>
      <c r="C61" s="6"/>
    </row>
    <row r="62" spans="1:3" x14ac:dyDescent="0.3">
      <c r="A62"/>
      <c r="B62"/>
      <c r="C62" s="6"/>
    </row>
    <row r="63" spans="1:3" x14ac:dyDescent="0.3">
      <c r="A63"/>
      <c r="B63"/>
      <c r="C63" s="6"/>
    </row>
    <row r="64" spans="1:3" x14ac:dyDescent="0.3">
      <c r="A64"/>
      <c r="B64"/>
      <c r="C64" s="6"/>
    </row>
    <row r="65" spans="1:3" x14ac:dyDescent="0.3">
      <c r="A65"/>
      <c r="B65"/>
      <c r="C65" s="6"/>
    </row>
    <row r="66" spans="1:3" x14ac:dyDescent="0.3">
      <c r="A66"/>
      <c r="B66"/>
      <c r="C66" s="6"/>
    </row>
    <row r="67" spans="1:3" x14ac:dyDescent="0.3">
      <c r="A67"/>
      <c r="B67"/>
      <c r="C67" s="6"/>
    </row>
    <row r="68" spans="1:3" x14ac:dyDescent="0.3">
      <c r="A68"/>
      <c r="B68"/>
      <c r="C68" s="6"/>
    </row>
    <row r="69" spans="1:3" x14ac:dyDescent="0.3">
      <c r="A69"/>
      <c r="B69"/>
      <c r="C69" s="6"/>
    </row>
    <row r="70" spans="1:3" x14ac:dyDescent="0.3">
      <c r="A70"/>
      <c r="B70"/>
      <c r="C70" s="6"/>
    </row>
    <row r="71" spans="1:3" x14ac:dyDescent="0.3">
      <c r="A71"/>
      <c r="B71"/>
      <c r="C71" s="6"/>
    </row>
    <row r="72" spans="1:3" x14ac:dyDescent="0.3">
      <c r="A72"/>
      <c r="B72"/>
      <c r="C72" s="6"/>
    </row>
    <row r="73" spans="1:3" x14ac:dyDescent="0.3">
      <c r="A73"/>
      <c r="B73"/>
      <c r="C73" s="6"/>
    </row>
    <row r="74" spans="1:3" x14ac:dyDescent="0.3">
      <c r="A74"/>
      <c r="B74"/>
      <c r="C74" s="6"/>
    </row>
    <row r="75" spans="1:3" x14ac:dyDescent="0.3">
      <c r="A75"/>
      <c r="B75"/>
      <c r="C75" s="6"/>
    </row>
    <row r="76" spans="1:3" x14ac:dyDescent="0.3">
      <c r="A76"/>
      <c r="B76"/>
      <c r="C76" s="6"/>
    </row>
    <row r="77" spans="1:3" x14ac:dyDescent="0.3">
      <c r="A77"/>
      <c r="B77"/>
      <c r="C77" s="6"/>
    </row>
    <row r="78" spans="1:3" x14ac:dyDescent="0.3">
      <c r="A78"/>
      <c r="B78"/>
      <c r="C78" s="6"/>
    </row>
    <row r="79" spans="1:3" x14ac:dyDescent="0.3">
      <c r="A79"/>
      <c r="B79"/>
      <c r="C79" s="6"/>
    </row>
    <row r="80" spans="1:3" x14ac:dyDescent="0.3">
      <c r="A80"/>
      <c r="B80"/>
      <c r="C80" s="6"/>
    </row>
    <row r="81" spans="1:3" x14ac:dyDescent="0.3">
      <c r="A81"/>
      <c r="B81"/>
      <c r="C81" s="6"/>
    </row>
    <row r="82" spans="1:3" x14ac:dyDescent="0.3">
      <c r="A82"/>
      <c r="B82"/>
      <c r="C82" s="6"/>
    </row>
    <row r="83" spans="1:3" x14ac:dyDescent="0.3">
      <c r="A83"/>
      <c r="B83"/>
      <c r="C83" s="6"/>
    </row>
    <row r="84" spans="1:3" x14ac:dyDescent="0.3">
      <c r="A84"/>
      <c r="B84"/>
      <c r="C84" s="6"/>
    </row>
    <row r="85" spans="1:3" x14ac:dyDescent="0.3">
      <c r="A85"/>
      <c r="B85"/>
      <c r="C85" s="6"/>
    </row>
    <row r="86" spans="1:3" x14ac:dyDescent="0.3">
      <c r="A86"/>
      <c r="B86"/>
      <c r="C86" s="6"/>
    </row>
    <row r="87" spans="1:3" x14ac:dyDescent="0.3">
      <c r="A87"/>
      <c r="B87"/>
      <c r="C87" s="6"/>
    </row>
    <row r="88" spans="1:3" x14ac:dyDescent="0.3">
      <c r="A88"/>
      <c r="B88"/>
      <c r="C88" s="6"/>
    </row>
    <row r="89" spans="1:3" x14ac:dyDescent="0.3">
      <c r="A89"/>
      <c r="B89"/>
      <c r="C89" s="6"/>
    </row>
    <row r="90" spans="1:3" x14ac:dyDescent="0.3">
      <c r="A90"/>
      <c r="B90"/>
      <c r="C90" s="6"/>
    </row>
    <row r="91" spans="1:3" x14ac:dyDescent="0.3">
      <c r="A91"/>
      <c r="B91"/>
      <c r="C91" s="6"/>
    </row>
    <row r="92" spans="1:3" x14ac:dyDescent="0.3">
      <c r="A92"/>
      <c r="B92"/>
      <c r="C92" s="6"/>
    </row>
    <row r="93" spans="1:3" x14ac:dyDescent="0.3">
      <c r="A93"/>
      <c r="B93"/>
      <c r="C93" s="6"/>
    </row>
    <row r="94" spans="1:3" x14ac:dyDescent="0.3">
      <c r="A94"/>
      <c r="B94"/>
      <c r="C94" s="6"/>
    </row>
    <row r="95" spans="1:3" x14ac:dyDescent="0.3">
      <c r="A95"/>
      <c r="B95"/>
      <c r="C95" s="6"/>
    </row>
    <row r="96" spans="1:3" x14ac:dyDescent="0.3">
      <c r="A96"/>
      <c r="B96"/>
      <c r="C96" s="6"/>
    </row>
    <row r="97" spans="1:3" x14ac:dyDescent="0.3">
      <c r="A97"/>
      <c r="B97"/>
      <c r="C97" s="6"/>
    </row>
    <row r="98" spans="1:3" x14ac:dyDescent="0.3">
      <c r="A98"/>
      <c r="B98"/>
      <c r="C98" s="6"/>
    </row>
    <row r="99" spans="1:3" x14ac:dyDescent="0.3">
      <c r="A99"/>
      <c r="B99"/>
      <c r="C99" s="6"/>
    </row>
    <row r="100" spans="1:3" x14ac:dyDescent="0.3">
      <c r="A100"/>
      <c r="B100"/>
      <c r="C100" s="6"/>
    </row>
    <row r="101" spans="1:3" x14ac:dyDescent="0.3">
      <c r="A101"/>
      <c r="B101"/>
      <c r="C101" s="6"/>
    </row>
    <row r="102" spans="1:3" x14ac:dyDescent="0.3">
      <c r="A102"/>
      <c r="B102"/>
      <c r="C102" s="6"/>
    </row>
    <row r="103" spans="1:3" x14ac:dyDescent="0.3">
      <c r="A103"/>
      <c r="B103"/>
      <c r="C103" s="6"/>
    </row>
    <row r="104" spans="1:3" x14ac:dyDescent="0.3">
      <c r="A104"/>
      <c r="B104"/>
      <c r="C104" s="6"/>
    </row>
    <row r="105" spans="1:3" x14ac:dyDescent="0.3">
      <c r="A105"/>
      <c r="B105"/>
      <c r="C105" s="6"/>
    </row>
    <row r="106" spans="1:3" x14ac:dyDescent="0.3">
      <c r="A106"/>
      <c r="B106"/>
      <c r="C106" s="6"/>
    </row>
    <row r="107" spans="1:3" x14ac:dyDescent="0.3">
      <c r="A107"/>
      <c r="B107"/>
      <c r="C107" s="6"/>
    </row>
    <row r="108" spans="1:3" x14ac:dyDescent="0.3">
      <c r="A108"/>
      <c r="B108"/>
      <c r="C108" s="6"/>
    </row>
    <row r="109" spans="1:3" x14ac:dyDescent="0.3">
      <c r="A109"/>
      <c r="B109"/>
      <c r="C109" s="6"/>
    </row>
    <row r="110" spans="1:3" x14ac:dyDescent="0.3">
      <c r="A110"/>
      <c r="B110"/>
      <c r="C110" s="6"/>
    </row>
    <row r="111" spans="1:3" x14ac:dyDescent="0.3">
      <c r="A111"/>
      <c r="B111"/>
      <c r="C111" s="6"/>
    </row>
    <row r="112" spans="1:3" x14ac:dyDescent="0.3">
      <c r="A112"/>
      <c r="B112"/>
      <c r="C112" s="6"/>
    </row>
    <row r="113" spans="1:3" x14ac:dyDescent="0.3">
      <c r="A113"/>
      <c r="B113"/>
      <c r="C113" s="6"/>
    </row>
    <row r="114" spans="1:3" x14ac:dyDescent="0.3">
      <c r="A114"/>
      <c r="B114"/>
      <c r="C114" s="6"/>
    </row>
    <row r="115" spans="1:3" x14ac:dyDescent="0.3">
      <c r="A115"/>
      <c r="B115"/>
      <c r="C115" s="6"/>
    </row>
    <row r="116" spans="1:3" x14ac:dyDescent="0.3">
      <c r="A116"/>
      <c r="B116"/>
      <c r="C116" s="6"/>
    </row>
    <row r="117" spans="1:3" x14ac:dyDescent="0.3">
      <c r="A117"/>
      <c r="B117"/>
      <c r="C117" s="6"/>
    </row>
    <row r="118" spans="1:3" x14ac:dyDescent="0.3">
      <c r="A118"/>
      <c r="B118"/>
      <c r="C118" s="6"/>
    </row>
    <row r="119" spans="1:3" x14ac:dyDescent="0.3">
      <c r="A119"/>
      <c r="B119"/>
      <c r="C119" s="6"/>
    </row>
    <row r="120" spans="1:3" x14ac:dyDescent="0.3">
      <c r="A120"/>
      <c r="B120"/>
      <c r="C120" s="6"/>
    </row>
    <row r="121" spans="1:3" x14ac:dyDescent="0.3">
      <c r="A121"/>
      <c r="B121"/>
      <c r="C121" s="6"/>
    </row>
    <row r="122" spans="1:3" x14ac:dyDescent="0.3">
      <c r="A122"/>
      <c r="B122"/>
      <c r="C122" s="6"/>
    </row>
    <row r="123" spans="1:3" x14ac:dyDescent="0.3">
      <c r="A123"/>
      <c r="B123"/>
      <c r="C123" s="6"/>
    </row>
    <row r="124" spans="1:3" x14ac:dyDescent="0.3">
      <c r="A124"/>
      <c r="B124"/>
      <c r="C124" s="6"/>
    </row>
    <row r="125" spans="1:3" x14ac:dyDescent="0.3">
      <c r="A125"/>
      <c r="B125"/>
      <c r="C125" s="6"/>
    </row>
    <row r="126" spans="1:3" x14ac:dyDescent="0.3">
      <c r="A126"/>
      <c r="B126"/>
      <c r="C126" s="6"/>
    </row>
    <row r="127" spans="1:3" x14ac:dyDescent="0.3">
      <c r="A127"/>
      <c r="B127"/>
      <c r="C127" s="6"/>
    </row>
    <row r="128" spans="1:3" x14ac:dyDescent="0.3">
      <c r="A128"/>
      <c r="B128"/>
      <c r="C128" s="6"/>
    </row>
    <row r="129" spans="1:3" x14ac:dyDescent="0.3">
      <c r="A129"/>
      <c r="B129"/>
      <c r="C129" s="6"/>
    </row>
    <row r="130" spans="1:3" x14ac:dyDescent="0.3">
      <c r="A130"/>
      <c r="B130"/>
      <c r="C130" s="6"/>
    </row>
    <row r="131" spans="1:3" x14ac:dyDescent="0.3">
      <c r="A131"/>
      <c r="B131"/>
      <c r="C131" s="6"/>
    </row>
    <row r="132" spans="1:3" x14ac:dyDescent="0.3">
      <c r="A132"/>
      <c r="B132"/>
      <c r="C132" s="6"/>
    </row>
    <row r="133" spans="1:3" x14ac:dyDescent="0.3">
      <c r="A133"/>
      <c r="B133"/>
      <c r="C133" s="6"/>
    </row>
    <row r="134" spans="1:3" x14ac:dyDescent="0.3">
      <c r="A134"/>
      <c r="B134"/>
      <c r="C134" s="6"/>
    </row>
    <row r="135" spans="1:3" x14ac:dyDescent="0.3">
      <c r="A135"/>
      <c r="B135"/>
      <c r="C135" s="6"/>
    </row>
    <row r="136" spans="1:3" x14ac:dyDescent="0.3">
      <c r="A136"/>
      <c r="B136"/>
      <c r="C136" s="6"/>
    </row>
    <row r="137" spans="1:3" x14ac:dyDescent="0.3">
      <c r="A137"/>
      <c r="B137"/>
      <c r="C137" s="6"/>
    </row>
    <row r="138" spans="1:3" x14ac:dyDescent="0.3">
      <c r="A138"/>
      <c r="B138"/>
      <c r="C138" s="6"/>
    </row>
    <row r="139" spans="1:3" x14ac:dyDescent="0.3">
      <c r="A139"/>
      <c r="B139"/>
      <c r="C139" s="6"/>
    </row>
    <row r="140" spans="1:3" x14ac:dyDescent="0.3">
      <c r="A140"/>
      <c r="B140"/>
      <c r="C140" s="6"/>
    </row>
    <row r="141" spans="1:3" x14ac:dyDescent="0.3">
      <c r="A141"/>
      <c r="B141"/>
      <c r="C141" s="6"/>
    </row>
    <row r="142" spans="1:3" x14ac:dyDescent="0.3">
      <c r="A142"/>
      <c r="B142"/>
      <c r="C142" s="6"/>
    </row>
    <row r="143" spans="1:3" x14ac:dyDescent="0.3">
      <c r="A143"/>
      <c r="B143"/>
      <c r="C143" s="6"/>
    </row>
    <row r="144" spans="1:3" x14ac:dyDescent="0.3">
      <c r="A144"/>
      <c r="B144"/>
      <c r="C144" s="6"/>
    </row>
    <row r="145" spans="1:3" x14ac:dyDescent="0.3">
      <c r="A145"/>
      <c r="B145"/>
      <c r="C145" s="6"/>
    </row>
    <row r="146" spans="1:3" x14ac:dyDescent="0.3">
      <c r="A146"/>
      <c r="B146"/>
      <c r="C146" s="6"/>
    </row>
    <row r="147" spans="1:3" x14ac:dyDescent="0.3">
      <c r="A147"/>
      <c r="B147"/>
      <c r="C147" s="6"/>
    </row>
    <row r="148" spans="1:3" x14ac:dyDescent="0.3">
      <c r="A148"/>
      <c r="B148"/>
      <c r="C148" s="6"/>
    </row>
    <row r="149" spans="1:3" x14ac:dyDescent="0.3">
      <c r="A149"/>
      <c r="B149"/>
      <c r="C149" s="6"/>
    </row>
    <row r="150" spans="1:3" x14ac:dyDescent="0.3">
      <c r="A150"/>
      <c r="B150"/>
      <c r="C150" s="6"/>
    </row>
    <row r="151" spans="1:3" x14ac:dyDescent="0.3">
      <c r="A151"/>
      <c r="B151"/>
      <c r="C151" s="6"/>
    </row>
    <row r="152" spans="1:3" x14ac:dyDescent="0.3">
      <c r="A152"/>
      <c r="B152"/>
      <c r="C152" s="6"/>
    </row>
    <row r="153" spans="1:3" x14ac:dyDescent="0.3">
      <c r="A153"/>
      <c r="B153"/>
      <c r="C153" s="6"/>
    </row>
    <row r="154" spans="1:3" x14ac:dyDescent="0.3">
      <c r="A154"/>
      <c r="B154"/>
      <c r="C154" s="6"/>
    </row>
    <row r="155" spans="1:3" x14ac:dyDescent="0.3">
      <c r="A155"/>
      <c r="B155"/>
      <c r="C155" s="6"/>
    </row>
    <row r="156" spans="1:3" x14ac:dyDescent="0.3">
      <c r="A156"/>
      <c r="B156"/>
      <c r="C156" s="6"/>
    </row>
    <row r="157" spans="1:3" x14ac:dyDescent="0.3">
      <c r="A157"/>
      <c r="B157"/>
      <c r="C157" s="6"/>
    </row>
    <row r="158" spans="1:3" x14ac:dyDescent="0.3">
      <c r="A158"/>
      <c r="B158"/>
      <c r="C158" s="6"/>
    </row>
    <row r="159" spans="1:3" x14ac:dyDescent="0.3">
      <c r="A159"/>
      <c r="B159"/>
      <c r="C159" s="6"/>
    </row>
    <row r="160" spans="1:3" x14ac:dyDescent="0.3">
      <c r="A160"/>
      <c r="B160"/>
      <c r="C160" s="6"/>
    </row>
    <row r="161" spans="1:3" x14ac:dyDescent="0.3">
      <c r="A161"/>
      <c r="B161"/>
      <c r="C161" s="6"/>
    </row>
    <row r="162" spans="1:3" x14ac:dyDescent="0.3">
      <c r="A162"/>
      <c r="B162"/>
      <c r="C162" s="6"/>
    </row>
    <row r="163" spans="1:3" x14ac:dyDescent="0.3">
      <c r="A163"/>
      <c r="B163"/>
      <c r="C163" s="6"/>
    </row>
    <row r="164" spans="1:3" x14ac:dyDescent="0.3">
      <c r="A164"/>
      <c r="B164"/>
      <c r="C164" s="6"/>
    </row>
    <row r="165" spans="1:3" x14ac:dyDescent="0.3">
      <c r="A165"/>
      <c r="B165"/>
      <c r="C165" s="6"/>
    </row>
    <row r="166" spans="1:3" x14ac:dyDescent="0.3">
      <c r="A166"/>
      <c r="B166"/>
      <c r="C166" s="6"/>
    </row>
    <row r="167" spans="1:3" x14ac:dyDescent="0.3">
      <c r="A167"/>
      <c r="B167"/>
      <c r="C167" s="6"/>
    </row>
    <row r="168" spans="1:3" x14ac:dyDescent="0.3">
      <c r="A168"/>
      <c r="B168"/>
      <c r="C168" s="6"/>
    </row>
    <row r="169" spans="1:3" x14ac:dyDescent="0.3">
      <c r="A169"/>
      <c r="B169"/>
      <c r="C169" s="6"/>
    </row>
    <row r="170" spans="1:3" x14ac:dyDescent="0.3">
      <c r="A170"/>
      <c r="B170"/>
      <c r="C170" s="6"/>
    </row>
    <row r="171" spans="1:3" x14ac:dyDescent="0.3">
      <c r="A171"/>
      <c r="B171"/>
      <c r="C171" s="6"/>
    </row>
    <row r="172" spans="1:3" x14ac:dyDescent="0.3">
      <c r="A172"/>
      <c r="B172"/>
      <c r="C172" s="6"/>
    </row>
    <row r="173" spans="1:3" x14ac:dyDescent="0.3">
      <c r="A173"/>
      <c r="B173"/>
      <c r="C173" s="6"/>
    </row>
    <row r="174" spans="1:3" x14ac:dyDescent="0.3">
      <c r="A174"/>
      <c r="B174"/>
      <c r="C174" s="6"/>
    </row>
    <row r="175" spans="1:3" x14ac:dyDescent="0.3">
      <c r="A175"/>
      <c r="B175"/>
      <c r="C175" s="6"/>
    </row>
    <row r="176" spans="1:3" x14ac:dyDescent="0.3">
      <c r="A176"/>
      <c r="B176"/>
      <c r="C176" s="6"/>
    </row>
    <row r="177" spans="1:3" x14ac:dyDescent="0.3">
      <c r="A177"/>
      <c r="B177"/>
      <c r="C177" s="6"/>
    </row>
    <row r="178" spans="1:3" x14ac:dyDescent="0.3">
      <c r="A178"/>
      <c r="B178"/>
      <c r="C178" s="6"/>
    </row>
    <row r="179" spans="1:3" x14ac:dyDescent="0.3">
      <c r="A179"/>
      <c r="B179"/>
      <c r="C179" s="6"/>
    </row>
    <row r="180" spans="1:3" x14ac:dyDescent="0.3">
      <c r="A180"/>
      <c r="B180"/>
      <c r="C180" s="6"/>
    </row>
    <row r="181" spans="1:3" x14ac:dyDescent="0.3">
      <c r="A181"/>
      <c r="B181"/>
      <c r="C181" s="6"/>
    </row>
    <row r="182" spans="1:3" x14ac:dyDescent="0.3">
      <c r="A182"/>
      <c r="B182"/>
      <c r="C182" s="6"/>
    </row>
    <row r="183" spans="1:3" x14ac:dyDescent="0.3">
      <c r="A183"/>
      <c r="B183"/>
      <c r="C183" s="6"/>
    </row>
    <row r="184" spans="1:3" x14ac:dyDescent="0.3">
      <c r="A184"/>
      <c r="B184"/>
      <c r="C184" s="6"/>
    </row>
    <row r="185" spans="1:3" x14ac:dyDescent="0.3">
      <c r="A185"/>
      <c r="B185"/>
      <c r="C185" s="6"/>
    </row>
    <row r="186" spans="1:3" x14ac:dyDescent="0.3">
      <c r="A186"/>
      <c r="B186"/>
      <c r="C186" s="6"/>
    </row>
    <row r="187" spans="1:3" x14ac:dyDescent="0.3">
      <c r="A187"/>
      <c r="B187"/>
      <c r="C187" s="6"/>
    </row>
    <row r="188" spans="1:3" x14ac:dyDescent="0.3">
      <c r="A188"/>
      <c r="B188"/>
      <c r="C188" s="6"/>
    </row>
    <row r="189" spans="1:3" x14ac:dyDescent="0.3">
      <c r="A189"/>
      <c r="B189"/>
      <c r="C189" s="6"/>
    </row>
    <row r="190" spans="1:3" x14ac:dyDescent="0.3">
      <c r="A190"/>
      <c r="B190"/>
      <c r="C190" s="6"/>
    </row>
    <row r="191" spans="1:3" x14ac:dyDescent="0.3">
      <c r="A191"/>
      <c r="B191"/>
      <c r="C191" s="6"/>
    </row>
    <row r="192" spans="1:3" x14ac:dyDescent="0.3">
      <c r="A192"/>
      <c r="B192"/>
      <c r="C192" s="6"/>
    </row>
    <row r="193" spans="1:3" x14ac:dyDescent="0.3">
      <c r="A193"/>
      <c r="B193"/>
      <c r="C193" s="6"/>
    </row>
    <row r="194" spans="1:3" x14ac:dyDescent="0.3">
      <c r="A194"/>
      <c r="B194"/>
      <c r="C194" s="6"/>
    </row>
    <row r="195" spans="1:3" x14ac:dyDescent="0.3">
      <c r="A195"/>
      <c r="B195"/>
      <c r="C195" s="6"/>
    </row>
    <row r="196" spans="1:3" x14ac:dyDescent="0.3">
      <c r="A196"/>
      <c r="B196"/>
      <c r="C196" s="6"/>
    </row>
    <row r="197" spans="1:3" x14ac:dyDescent="0.3">
      <c r="A197"/>
      <c r="B197"/>
      <c r="C197" s="6"/>
    </row>
    <row r="198" spans="1:3" x14ac:dyDescent="0.3">
      <c r="A198"/>
      <c r="B198"/>
      <c r="C198" s="6"/>
    </row>
    <row r="199" spans="1:3" x14ac:dyDescent="0.3">
      <c r="A199"/>
      <c r="B199"/>
      <c r="C199" s="6"/>
    </row>
    <row r="200" spans="1:3" x14ac:dyDescent="0.3">
      <c r="A200"/>
      <c r="B200"/>
      <c r="C200" s="6"/>
    </row>
    <row r="201" spans="1:3" x14ac:dyDescent="0.3">
      <c r="A201"/>
      <c r="B201"/>
      <c r="C201" s="6"/>
    </row>
    <row r="202" spans="1:3" x14ac:dyDescent="0.3">
      <c r="A202"/>
      <c r="B202"/>
      <c r="C202" s="6"/>
    </row>
    <row r="203" spans="1:3" x14ac:dyDescent="0.3">
      <c r="A203"/>
      <c r="B203"/>
      <c r="C203" s="6"/>
    </row>
    <row r="204" spans="1:3" x14ac:dyDescent="0.3">
      <c r="A204"/>
      <c r="B204"/>
      <c r="C204" s="6"/>
    </row>
    <row r="205" spans="1:3" x14ac:dyDescent="0.3">
      <c r="A205"/>
      <c r="B205"/>
      <c r="C205" s="6"/>
    </row>
    <row r="206" spans="1:3" x14ac:dyDescent="0.3">
      <c r="A206"/>
      <c r="B206"/>
      <c r="C206" s="6"/>
    </row>
    <row r="207" spans="1:3" x14ac:dyDescent="0.3">
      <c r="A207"/>
      <c r="B207"/>
      <c r="C207" s="6"/>
    </row>
    <row r="208" spans="1:3" x14ac:dyDescent="0.3">
      <c r="A208"/>
      <c r="B208"/>
      <c r="C208" s="6"/>
    </row>
    <row r="209" spans="1:3" x14ac:dyDescent="0.3">
      <c r="A209"/>
      <c r="B209"/>
      <c r="C209" s="6"/>
    </row>
    <row r="210" spans="1:3" x14ac:dyDescent="0.3">
      <c r="A210"/>
      <c r="B210"/>
      <c r="C210" s="6"/>
    </row>
    <row r="211" spans="1:3" x14ac:dyDescent="0.3">
      <c r="A211"/>
      <c r="B211"/>
      <c r="C211" s="6"/>
    </row>
    <row r="212" spans="1:3" x14ac:dyDescent="0.3">
      <c r="A212"/>
      <c r="B212"/>
      <c r="C212" s="6"/>
    </row>
    <row r="213" spans="1:3" x14ac:dyDescent="0.3">
      <c r="A213"/>
      <c r="B213"/>
      <c r="C213" s="6"/>
    </row>
    <row r="214" spans="1:3" x14ac:dyDescent="0.3">
      <c r="A214"/>
      <c r="B214"/>
      <c r="C214" s="6"/>
    </row>
    <row r="215" spans="1:3" x14ac:dyDescent="0.3">
      <c r="A215"/>
      <c r="B215"/>
      <c r="C215" s="6"/>
    </row>
    <row r="216" spans="1:3" x14ac:dyDescent="0.3">
      <c r="A216"/>
      <c r="B216"/>
      <c r="C216" s="6"/>
    </row>
    <row r="217" spans="1:3" x14ac:dyDescent="0.3">
      <c r="A217"/>
      <c r="B217"/>
      <c r="C217" s="6"/>
    </row>
    <row r="218" spans="1:3" x14ac:dyDescent="0.3">
      <c r="A218"/>
      <c r="B218"/>
      <c r="C218" s="6"/>
    </row>
    <row r="219" spans="1:3" x14ac:dyDescent="0.3">
      <c r="A219"/>
      <c r="B219"/>
      <c r="C219" s="6"/>
    </row>
    <row r="220" spans="1:3" x14ac:dyDescent="0.3">
      <c r="A220"/>
      <c r="B220"/>
      <c r="C220" s="6"/>
    </row>
    <row r="221" spans="1:3" x14ac:dyDescent="0.3">
      <c r="A221"/>
      <c r="B221"/>
      <c r="C221" s="6"/>
    </row>
    <row r="222" spans="1:3" x14ac:dyDescent="0.3">
      <c r="A222"/>
      <c r="B222"/>
      <c r="C222" s="6"/>
    </row>
    <row r="223" spans="1:3" x14ac:dyDescent="0.3">
      <c r="A223"/>
      <c r="B223"/>
      <c r="C223" s="6"/>
    </row>
    <row r="224" spans="1:3" x14ac:dyDescent="0.3">
      <c r="A224"/>
      <c r="B224"/>
      <c r="C224" s="6"/>
    </row>
    <row r="225" spans="1:3" x14ac:dyDescent="0.3">
      <c r="A225"/>
      <c r="B225"/>
      <c r="C225" s="6"/>
    </row>
    <row r="226" spans="1:3" x14ac:dyDescent="0.3">
      <c r="A226"/>
      <c r="B226"/>
      <c r="C226" s="6"/>
    </row>
    <row r="227" spans="1:3" x14ac:dyDescent="0.3">
      <c r="A227"/>
      <c r="B227"/>
      <c r="C227" s="6"/>
    </row>
    <row r="228" spans="1:3" x14ac:dyDescent="0.3">
      <c r="A228"/>
      <c r="B228"/>
      <c r="C228" s="6"/>
    </row>
    <row r="229" spans="1:3" x14ac:dyDescent="0.3">
      <c r="A229"/>
      <c r="B229"/>
      <c r="C229" s="6"/>
    </row>
    <row r="230" spans="1:3" x14ac:dyDescent="0.3">
      <c r="A230"/>
      <c r="B230"/>
      <c r="C230" s="6"/>
    </row>
    <row r="231" spans="1:3" x14ac:dyDescent="0.3">
      <c r="A231"/>
      <c r="B231"/>
      <c r="C231" s="6"/>
    </row>
    <row r="232" spans="1:3" x14ac:dyDescent="0.3">
      <c r="A232"/>
      <c r="B232"/>
      <c r="C232" s="6"/>
    </row>
    <row r="233" spans="1:3" x14ac:dyDescent="0.3">
      <c r="A233"/>
      <c r="B233"/>
      <c r="C233" s="6"/>
    </row>
    <row r="234" spans="1:3" x14ac:dyDescent="0.3">
      <c r="A234"/>
      <c r="B234"/>
      <c r="C234" s="6"/>
    </row>
    <row r="235" spans="1:3" x14ac:dyDescent="0.3">
      <c r="A235"/>
      <c r="B235"/>
      <c r="C235" s="6"/>
    </row>
    <row r="236" spans="1:3" x14ac:dyDescent="0.3">
      <c r="A236"/>
      <c r="B236"/>
      <c r="C236" s="6"/>
    </row>
    <row r="237" spans="1:3" x14ac:dyDescent="0.3">
      <c r="A237"/>
      <c r="B237"/>
      <c r="C237" s="6"/>
    </row>
    <row r="238" spans="1:3" x14ac:dyDescent="0.3">
      <c r="A238"/>
      <c r="B238"/>
      <c r="C238" s="6"/>
    </row>
    <row r="239" spans="1:3" x14ac:dyDescent="0.3">
      <c r="A239"/>
      <c r="B239"/>
      <c r="C239" s="6"/>
    </row>
    <row r="240" spans="1:3" x14ac:dyDescent="0.3">
      <c r="A240"/>
      <c r="B240"/>
      <c r="C240" s="6"/>
    </row>
    <row r="241" spans="1:3" x14ac:dyDescent="0.3">
      <c r="A241"/>
      <c r="B241"/>
      <c r="C241" s="6"/>
    </row>
    <row r="242" spans="1:3" x14ac:dyDescent="0.3">
      <c r="A242"/>
      <c r="B242"/>
      <c r="C242" s="6"/>
    </row>
    <row r="243" spans="1:3" x14ac:dyDescent="0.3">
      <c r="A243"/>
      <c r="B243"/>
      <c r="C243" s="6"/>
    </row>
    <row r="244" spans="1:3" x14ac:dyDescent="0.3">
      <c r="A244"/>
      <c r="B244"/>
      <c r="C244" s="6"/>
    </row>
    <row r="245" spans="1:3" x14ac:dyDescent="0.3">
      <c r="A245"/>
      <c r="B245"/>
      <c r="C245" s="6"/>
    </row>
    <row r="246" spans="1:3" x14ac:dyDescent="0.3">
      <c r="A246"/>
      <c r="B246"/>
      <c r="C246" s="6"/>
    </row>
    <row r="247" spans="1:3" x14ac:dyDescent="0.3">
      <c r="A247"/>
      <c r="B247"/>
      <c r="C247" s="6"/>
    </row>
    <row r="248" spans="1:3" x14ac:dyDescent="0.3">
      <c r="A248"/>
      <c r="B248"/>
      <c r="C248" s="6"/>
    </row>
    <row r="249" spans="1:3" x14ac:dyDescent="0.3">
      <c r="A249"/>
      <c r="B249"/>
      <c r="C249" s="6"/>
    </row>
    <row r="250" spans="1:3" x14ac:dyDescent="0.3">
      <c r="A250"/>
      <c r="B250"/>
      <c r="C250" s="6"/>
    </row>
    <row r="251" spans="1:3" x14ac:dyDescent="0.3">
      <c r="A251"/>
      <c r="B251"/>
      <c r="C251" s="6"/>
    </row>
    <row r="252" spans="1:3" x14ac:dyDescent="0.3">
      <c r="A252"/>
      <c r="B252"/>
      <c r="C252" s="6"/>
    </row>
    <row r="253" spans="1:3" x14ac:dyDescent="0.3">
      <c r="A253"/>
      <c r="B253"/>
      <c r="C253" s="6"/>
    </row>
    <row r="254" spans="1:3" x14ac:dyDescent="0.3">
      <c r="A254"/>
      <c r="B254"/>
      <c r="C254" s="6"/>
    </row>
    <row r="255" spans="1:3" x14ac:dyDescent="0.3">
      <c r="A255"/>
      <c r="B255"/>
      <c r="C255" s="6"/>
    </row>
    <row r="256" spans="1:3" x14ac:dyDescent="0.3">
      <c r="A256"/>
      <c r="B256"/>
      <c r="C256" s="6"/>
    </row>
    <row r="257" spans="1:3" x14ac:dyDescent="0.3">
      <c r="A257"/>
      <c r="B257"/>
      <c r="C257" s="6"/>
    </row>
    <row r="258" spans="1:3" x14ac:dyDescent="0.3">
      <c r="A258"/>
      <c r="B258"/>
      <c r="C258" s="6"/>
    </row>
    <row r="259" spans="1:3" x14ac:dyDescent="0.3">
      <c r="A259"/>
      <c r="B259"/>
      <c r="C259" s="6"/>
    </row>
    <row r="260" spans="1:3" x14ac:dyDescent="0.3">
      <c r="A260"/>
      <c r="B260"/>
      <c r="C260" s="6"/>
    </row>
    <row r="261" spans="1:3" x14ac:dyDescent="0.3">
      <c r="A261"/>
      <c r="B261"/>
      <c r="C261" s="6"/>
    </row>
    <row r="262" spans="1:3" x14ac:dyDescent="0.3">
      <c r="A262"/>
      <c r="B262"/>
      <c r="C262" s="6"/>
    </row>
    <row r="263" spans="1:3" x14ac:dyDescent="0.3">
      <c r="A263"/>
      <c r="B263"/>
      <c r="C263" s="6"/>
    </row>
    <row r="264" spans="1:3" x14ac:dyDescent="0.3">
      <c r="A264"/>
      <c r="B264"/>
      <c r="C264" s="6"/>
    </row>
    <row r="265" spans="1:3" x14ac:dyDescent="0.3">
      <c r="A265"/>
      <c r="B265"/>
      <c r="C265" s="6"/>
    </row>
    <row r="266" spans="1:3" x14ac:dyDescent="0.3">
      <c r="A266"/>
      <c r="B266"/>
      <c r="C266" s="6"/>
    </row>
    <row r="267" spans="1:3" x14ac:dyDescent="0.3">
      <c r="A267"/>
      <c r="B267"/>
      <c r="C267" s="6"/>
    </row>
    <row r="268" spans="1:3" x14ac:dyDescent="0.3">
      <c r="A268"/>
      <c r="B268"/>
      <c r="C268" s="6"/>
    </row>
    <row r="269" spans="1:3" x14ac:dyDescent="0.3">
      <c r="A269"/>
      <c r="B269"/>
      <c r="C269" s="6"/>
    </row>
    <row r="270" spans="1:3" x14ac:dyDescent="0.3">
      <c r="A270"/>
      <c r="B270"/>
      <c r="C270" s="6"/>
    </row>
    <row r="271" spans="1:3" x14ac:dyDescent="0.3">
      <c r="A271"/>
      <c r="B271"/>
      <c r="C271" s="6"/>
    </row>
    <row r="272" spans="1:3" x14ac:dyDescent="0.3">
      <c r="A272"/>
      <c r="B272"/>
      <c r="C272" s="6"/>
    </row>
    <row r="273" spans="1:3" x14ac:dyDescent="0.3">
      <c r="A273"/>
      <c r="B273"/>
      <c r="C273" s="6"/>
    </row>
    <row r="274" spans="1:3" x14ac:dyDescent="0.3">
      <c r="A274"/>
      <c r="B274"/>
      <c r="C274" s="6"/>
    </row>
    <row r="275" spans="1:3" x14ac:dyDescent="0.3">
      <c r="A275"/>
      <c r="B275"/>
      <c r="C275" s="6"/>
    </row>
    <row r="276" spans="1:3" x14ac:dyDescent="0.3">
      <c r="A276"/>
      <c r="B276"/>
      <c r="C276" s="6"/>
    </row>
    <row r="277" spans="1:3" x14ac:dyDescent="0.3">
      <c r="A277"/>
      <c r="B277"/>
      <c r="C277" s="6"/>
    </row>
    <row r="278" spans="1:3" x14ac:dyDescent="0.3">
      <c r="A278"/>
      <c r="B278"/>
      <c r="C278" s="6"/>
    </row>
    <row r="279" spans="1:3" x14ac:dyDescent="0.3">
      <c r="A279"/>
      <c r="B279"/>
      <c r="C279" s="6"/>
    </row>
    <row r="280" spans="1:3" x14ac:dyDescent="0.3">
      <c r="A280"/>
      <c r="B280"/>
      <c r="C280" s="6"/>
    </row>
    <row r="281" spans="1:3" x14ac:dyDescent="0.3">
      <c r="A281"/>
      <c r="B281"/>
      <c r="C281" s="6"/>
    </row>
    <row r="282" spans="1:3" x14ac:dyDescent="0.3">
      <c r="A282"/>
      <c r="B282"/>
      <c r="C282" s="6"/>
    </row>
    <row r="283" spans="1:3" x14ac:dyDescent="0.3">
      <c r="A283"/>
      <c r="B283"/>
      <c r="C283" s="6"/>
    </row>
    <row r="284" spans="1:3" x14ac:dyDescent="0.3">
      <c r="A284"/>
      <c r="B284"/>
      <c r="C284" s="6"/>
    </row>
    <row r="285" spans="1:3" x14ac:dyDescent="0.3">
      <c r="A285"/>
      <c r="B285"/>
      <c r="C285" s="6"/>
    </row>
    <row r="286" spans="1:3" x14ac:dyDescent="0.3">
      <c r="A286"/>
      <c r="B286"/>
      <c r="C286" s="6"/>
    </row>
    <row r="287" spans="1:3" x14ac:dyDescent="0.3">
      <c r="A287"/>
      <c r="B287"/>
      <c r="C287" s="6"/>
    </row>
    <row r="288" spans="1:3" x14ac:dyDescent="0.3">
      <c r="A288"/>
      <c r="B288"/>
      <c r="C288" s="6"/>
    </row>
    <row r="289" spans="1:3" x14ac:dyDescent="0.3">
      <c r="A289"/>
      <c r="B289"/>
      <c r="C289" s="6"/>
    </row>
    <row r="290" spans="1:3" x14ac:dyDescent="0.3">
      <c r="A290"/>
      <c r="B290"/>
      <c r="C290" s="6"/>
    </row>
    <row r="291" spans="1:3" x14ac:dyDescent="0.3">
      <c r="A291"/>
      <c r="B291"/>
      <c r="C291" s="6"/>
    </row>
    <row r="292" spans="1:3" x14ac:dyDescent="0.3">
      <c r="A292"/>
      <c r="B292"/>
      <c r="C292" s="6"/>
    </row>
    <row r="293" spans="1:3" x14ac:dyDescent="0.3">
      <c r="A293"/>
      <c r="B293"/>
      <c r="C293" s="6"/>
    </row>
    <row r="294" spans="1:3" x14ac:dyDescent="0.3">
      <c r="A294"/>
      <c r="B294"/>
      <c r="C294" s="6"/>
    </row>
    <row r="295" spans="1:3" x14ac:dyDescent="0.3">
      <c r="A295"/>
      <c r="B295"/>
      <c r="C295" s="6"/>
    </row>
    <row r="296" spans="1:3" x14ac:dyDescent="0.3">
      <c r="A296"/>
      <c r="B296"/>
      <c r="C296" s="6"/>
    </row>
    <row r="297" spans="1:3" x14ac:dyDescent="0.3">
      <c r="A297"/>
      <c r="B297"/>
      <c r="C297" s="6"/>
    </row>
    <row r="298" spans="1:3" x14ac:dyDescent="0.3">
      <c r="A298"/>
      <c r="B298"/>
      <c r="C298" s="6"/>
    </row>
    <row r="299" spans="1:3" x14ac:dyDescent="0.3">
      <c r="A299"/>
      <c r="B299"/>
      <c r="C299" s="6"/>
    </row>
    <row r="300" spans="1:3" x14ac:dyDescent="0.3">
      <c r="A300"/>
      <c r="B300"/>
      <c r="C300" s="6"/>
    </row>
    <row r="301" spans="1:3" x14ac:dyDescent="0.3">
      <c r="A301"/>
      <c r="B301"/>
      <c r="C301" s="6"/>
    </row>
    <row r="302" spans="1:3" x14ac:dyDescent="0.3">
      <c r="A302"/>
      <c r="B302"/>
      <c r="C302" s="6"/>
    </row>
    <row r="303" spans="1:3" x14ac:dyDescent="0.3">
      <c r="A303"/>
      <c r="B303"/>
      <c r="C303" s="6"/>
    </row>
    <row r="304" spans="1:3" x14ac:dyDescent="0.3">
      <c r="A304"/>
      <c r="B304"/>
      <c r="C304" s="6"/>
    </row>
    <row r="305" spans="1:3" x14ac:dyDescent="0.3">
      <c r="A305"/>
      <c r="B305"/>
      <c r="C305" s="6"/>
    </row>
    <row r="306" spans="1:3" x14ac:dyDescent="0.3">
      <c r="A306"/>
      <c r="B306"/>
      <c r="C306" s="6"/>
    </row>
    <row r="307" spans="1:3" x14ac:dyDescent="0.3">
      <c r="A307"/>
      <c r="B307"/>
      <c r="C307" s="6"/>
    </row>
    <row r="308" spans="1:3" x14ac:dyDescent="0.3">
      <c r="A308"/>
      <c r="B308"/>
      <c r="C308" s="6"/>
    </row>
    <row r="309" spans="1:3" x14ac:dyDescent="0.3">
      <c r="A309"/>
      <c r="B309"/>
      <c r="C309" s="6"/>
    </row>
    <row r="310" spans="1:3" x14ac:dyDescent="0.3">
      <c r="A310"/>
      <c r="B310"/>
      <c r="C310" s="6"/>
    </row>
    <row r="311" spans="1:3" x14ac:dyDescent="0.3">
      <c r="A311"/>
      <c r="B311"/>
      <c r="C311" s="6"/>
    </row>
    <row r="312" spans="1:3" x14ac:dyDescent="0.3">
      <c r="A312"/>
      <c r="B312"/>
      <c r="C312" s="6"/>
    </row>
    <row r="313" spans="1:3" x14ac:dyDescent="0.3">
      <c r="A313"/>
      <c r="B313"/>
      <c r="C313" s="6"/>
    </row>
    <row r="314" spans="1:3" x14ac:dyDescent="0.3">
      <c r="A314"/>
      <c r="B314"/>
      <c r="C314" s="6"/>
    </row>
    <row r="315" spans="1:3" x14ac:dyDescent="0.3">
      <c r="A315"/>
      <c r="B315"/>
      <c r="C315" s="6"/>
    </row>
    <row r="316" spans="1:3" x14ac:dyDescent="0.3">
      <c r="A316"/>
      <c r="B316"/>
      <c r="C316" s="6"/>
    </row>
    <row r="317" spans="1:3" x14ac:dyDescent="0.3">
      <c r="A317"/>
      <c r="B317"/>
      <c r="C317" s="6"/>
    </row>
    <row r="318" spans="1:3" x14ac:dyDescent="0.3">
      <c r="A318"/>
      <c r="B318"/>
      <c r="C318" s="6"/>
    </row>
    <row r="319" spans="1:3" x14ac:dyDescent="0.3">
      <c r="A319"/>
      <c r="B319"/>
      <c r="C319" s="6"/>
    </row>
    <row r="320" spans="1:3" x14ac:dyDescent="0.3">
      <c r="A320"/>
      <c r="B320"/>
      <c r="C320" s="6"/>
    </row>
    <row r="321" spans="1:3" x14ac:dyDescent="0.3">
      <c r="A321"/>
      <c r="B321"/>
      <c r="C321" s="6"/>
    </row>
    <row r="322" spans="1:3" x14ac:dyDescent="0.3">
      <c r="A322"/>
      <c r="B322"/>
      <c r="C322" s="6"/>
    </row>
    <row r="323" spans="1:3" x14ac:dyDescent="0.3">
      <c r="A323"/>
      <c r="B323"/>
      <c r="C323" s="6"/>
    </row>
    <row r="324" spans="1:3" x14ac:dyDescent="0.3">
      <c r="A324"/>
      <c r="B324"/>
      <c r="C324" s="6"/>
    </row>
    <row r="325" spans="1:3" x14ac:dyDescent="0.3">
      <c r="A325"/>
      <c r="B325"/>
      <c r="C325" s="6"/>
    </row>
    <row r="326" spans="1:3" x14ac:dyDescent="0.3">
      <c r="A326"/>
      <c r="B326"/>
      <c r="C326" s="6"/>
    </row>
    <row r="327" spans="1:3" x14ac:dyDescent="0.3">
      <c r="A327"/>
      <c r="B327"/>
      <c r="C327" s="6"/>
    </row>
    <row r="328" spans="1:3" x14ac:dyDescent="0.3">
      <c r="A328"/>
      <c r="B328"/>
      <c r="C328" s="6"/>
    </row>
    <row r="329" spans="1:3" x14ac:dyDescent="0.3">
      <c r="A329"/>
      <c r="B329"/>
      <c r="C329" s="6"/>
    </row>
    <row r="330" spans="1:3" x14ac:dyDescent="0.3">
      <c r="A330"/>
      <c r="B330"/>
      <c r="C330" s="6"/>
    </row>
    <row r="331" spans="1:3" x14ac:dyDescent="0.3">
      <c r="A331"/>
      <c r="B331"/>
      <c r="C331" s="6"/>
    </row>
    <row r="332" spans="1:3" x14ac:dyDescent="0.3">
      <c r="A332"/>
      <c r="B332"/>
      <c r="C332" s="6"/>
    </row>
    <row r="333" spans="1:3" x14ac:dyDescent="0.3">
      <c r="A333"/>
      <c r="B333"/>
      <c r="C333" s="6"/>
    </row>
    <row r="334" spans="1:3" x14ac:dyDescent="0.3">
      <c r="A334"/>
      <c r="B334"/>
      <c r="C334" s="6"/>
    </row>
    <row r="335" spans="1:3" x14ac:dyDescent="0.3">
      <c r="A335"/>
      <c r="B335"/>
      <c r="C335" s="6"/>
    </row>
    <row r="336" spans="1:3" x14ac:dyDescent="0.3">
      <c r="A336"/>
      <c r="B336"/>
      <c r="C336" s="6"/>
    </row>
    <row r="337" spans="1:3" x14ac:dyDescent="0.3">
      <c r="A337"/>
      <c r="B337"/>
      <c r="C337" s="6"/>
    </row>
    <row r="338" spans="1:3" x14ac:dyDescent="0.3">
      <c r="A338"/>
      <c r="B338"/>
      <c r="C338" s="6"/>
    </row>
    <row r="339" spans="1:3" x14ac:dyDescent="0.3">
      <c r="A339"/>
      <c r="B339"/>
      <c r="C339" s="6"/>
    </row>
    <row r="340" spans="1:3" x14ac:dyDescent="0.3">
      <c r="A340"/>
      <c r="B340"/>
      <c r="C340" s="6"/>
    </row>
    <row r="341" spans="1:3" x14ac:dyDescent="0.3">
      <c r="A341"/>
      <c r="B341"/>
      <c r="C341" s="6"/>
    </row>
    <row r="342" spans="1:3" x14ac:dyDescent="0.3">
      <c r="A342"/>
      <c r="B342"/>
      <c r="C342" s="6"/>
    </row>
    <row r="343" spans="1:3" x14ac:dyDescent="0.3">
      <c r="A343"/>
      <c r="B343"/>
      <c r="C343" s="6"/>
    </row>
    <row r="344" spans="1:3" x14ac:dyDescent="0.3">
      <c r="A344"/>
      <c r="B344"/>
      <c r="C344" s="6"/>
    </row>
    <row r="345" spans="1:3" x14ac:dyDescent="0.3">
      <c r="A345"/>
      <c r="B345"/>
      <c r="C345" s="6"/>
    </row>
    <row r="346" spans="1:3" x14ac:dyDescent="0.3">
      <c r="A346"/>
      <c r="B346"/>
      <c r="C346" s="6"/>
    </row>
    <row r="347" spans="1:3" x14ac:dyDescent="0.3">
      <c r="A347"/>
      <c r="B347"/>
      <c r="C347" s="6"/>
    </row>
    <row r="348" spans="1:3" x14ac:dyDescent="0.3">
      <c r="A348"/>
      <c r="B348"/>
      <c r="C348" s="6"/>
    </row>
    <row r="349" spans="1:3" x14ac:dyDescent="0.3">
      <c r="A349"/>
      <c r="B349"/>
      <c r="C349" s="6"/>
    </row>
    <row r="350" spans="1:3" x14ac:dyDescent="0.3">
      <c r="A350"/>
      <c r="B350"/>
      <c r="C350" s="6"/>
    </row>
    <row r="351" spans="1:3" x14ac:dyDescent="0.3">
      <c r="A351"/>
      <c r="B351"/>
      <c r="C351" s="6"/>
    </row>
    <row r="352" spans="1:3" x14ac:dyDescent="0.3">
      <c r="A352"/>
      <c r="B352"/>
      <c r="C352" s="6"/>
    </row>
    <row r="353" spans="1:3" x14ac:dyDescent="0.3">
      <c r="A353"/>
      <c r="B353"/>
      <c r="C353" s="6"/>
    </row>
    <row r="354" spans="1:3" x14ac:dyDescent="0.3">
      <c r="A354"/>
      <c r="B354"/>
      <c r="C354" s="6"/>
    </row>
    <row r="355" spans="1:3" x14ac:dyDescent="0.3">
      <c r="A355"/>
      <c r="B355"/>
      <c r="C355" s="6"/>
    </row>
    <row r="356" spans="1:3" x14ac:dyDescent="0.3">
      <c r="A356"/>
      <c r="B356"/>
      <c r="C356" s="6"/>
    </row>
    <row r="357" spans="1:3" x14ac:dyDescent="0.3">
      <c r="A357"/>
      <c r="B357"/>
      <c r="C357" s="6"/>
    </row>
    <row r="358" spans="1:3" x14ac:dyDescent="0.3">
      <c r="A358"/>
      <c r="B358"/>
      <c r="C358" s="6"/>
    </row>
    <row r="359" spans="1:3" x14ac:dyDescent="0.3">
      <c r="A359"/>
      <c r="B359"/>
      <c r="C359" s="6"/>
    </row>
    <row r="360" spans="1:3" x14ac:dyDescent="0.3">
      <c r="A360"/>
      <c r="B360"/>
      <c r="C360" s="6"/>
    </row>
    <row r="361" spans="1:3" x14ac:dyDescent="0.3">
      <c r="A361"/>
      <c r="B361"/>
      <c r="C361" s="6"/>
    </row>
    <row r="362" spans="1:3" x14ac:dyDescent="0.3">
      <c r="A362"/>
      <c r="B362"/>
      <c r="C362" s="6"/>
    </row>
    <row r="363" spans="1:3" x14ac:dyDescent="0.3">
      <c r="A363"/>
      <c r="B363"/>
      <c r="C363" s="6"/>
    </row>
    <row r="364" spans="1:3" x14ac:dyDescent="0.3">
      <c r="A364"/>
      <c r="B364"/>
      <c r="C364" s="6"/>
    </row>
    <row r="365" spans="1:3" x14ac:dyDescent="0.3">
      <c r="A365"/>
      <c r="B365"/>
      <c r="C365" s="6"/>
    </row>
    <row r="366" spans="1:3" x14ac:dyDescent="0.3">
      <c r="A366"/>
      <c r="B366"/>
      <c r="C366" s="6"/>
    </row>
    <row r="367" spans="1:3" x14ac:dyDescent="0.3">
      <c r="A367"/>
      <c r="B367"/>
      <c r="C367" s="6"/>
    </row>
    <row r="368" spans="1:3" x14ac:dyDescent="0.3">
      <c r="A368"/>
      <c r="B368"/>
      <c r="C368" s="6"/>
    </row>
    <row r="369" spans="1:3" x14ac:dyDescent="0.3">
      <c r="A369"/>
      <c r="B369"/>
      <c r="C369" s="6"/>
    </row>
    <row r="370" spans="1:3" x14ac:dyDescent="0.3">
      <c r="A370"/>
      <c r="B370"/>
      <c r="C370" s="6"/>
    </row>
    <row r="371" spans="1:3" x14ac:dyDescent="0.3">
      <c r="A371"/>
      <c r="B371"/>
      <c r="C371" s="6"/>
    </row>
    <row r="372" spans="1:3" x14ac:dyDescent="0.3">
      <c r="A372"/>
      <c r="B372"/>
      <c r="C372" s="6"/>
    </row>
    <row r="373" spans="1:3" x14ac:dyDescent="0.3">
      <c r="A373"/>
      <c r="B373"/>
      <c r="C373" s="6"/>
    </row>
    <row r="374" spans="1:3" x14ac:dyDescent="0.3">
      <c r="A374"/>
      <c r="B374"/>
      <c r="C374" s="6"/>
    </row>
    <row r="375" spans="1:3" x14ac:dyDescent="0.3">
      <c r="A375"/>
      <c r="B375"/>
      <c r="C375" s="6"/>
    </row>
    <row r="376" spans="1:3" x14ac:dyDescent="0.3">
      <c r="A376"/>
      <c r="B376"/>
      <c r="C376" s="6"/>
    </row>
    <row r="377" spans="1:3" x14ac:dyDescent="0.3">
      <c r="A377"/>
      <c r="B377"/>
      <c r="C377" s="6"/>
    </row>
    <row r="378" spans="1:3" x14ac:dyDescent="0.3">
      <c r="A378"/>
      <c r="B378"/>
      <c r="C378" s="6"/>
    </row>
    <row r="379" spans="1:3" x14ac:dyDescent="0.3">
      <c r="A379"/>
      <c r="B379"/>
      <c r="C379" s="6"/>
    </row>
    <row r="380" spans="1:3" x14ac:dyDescent="0.3">
      <c r="A380"/>
      <c r="B380"/>
      <c r="C380" s="6"/>
    </row>
    <row r="381" spans="1:3" x14ac:dyDescent="0.3">
      <c r="A381"/>
      <c r="B381"/>
      <c r="C381" s="6"/>
    </row>
    <row r="382" spans="1:3" x14ac:dyDescent="0.3">
      <c r="A382"/>
      <c r="B382"/>
      <c r="C382" s="6"/>
    </row>
    <row r="383" spans="1:3" x14ac:dyDescent="0.3">
      <c r="A383"/>
      <c r="B383"/>
      <c r="C383" s="6"/>
    </row>
    <row r="384" spans="1:3" x14ac:dyDescent="0.3">
      <c r="A384"/>
      <c r="B384"/>
      <c r="C384" s="6"/>
    </row>
    <row r="385" spans="1:3" x14ac:dyDescent="0.3">
      <c r="A385"/>
      <c r="B385"/>
      <c r="C385" s="6"/>
    </row>
    <row r="386" spans="1:3" x14ac:dyDescent="0.3">
      <c r="A386"/>
      <c r="B386"/>
      <c r="C386" s="6"/>
    </row>
    <row r="387" spans="1:3" x14ac:dyDescent="0.3">
      <c r="A387"/>
      <c r="B387"/>
      <c r="C387" s="6"/>
    </row>
    <row r="388" spans="1:3" x14ac:dyDescent="0.3">
      <c r="A388"/>
      <c r="B388"/>
      <c r="C388" s="6"/>
    </row>
    <row r="389" spans="1:3" x14ac:dyDescent="0.3">
      <c r="A389"/>
      <c r="B389"/>
      <c r="C389" s="6"/>
    </row>
    <row r="390" spans="1:3" x14ac:dyDescent="0.3">
      <c r="A390"/>
      <c r="B390"/>
      <c r="C390" s="6"/>
    </row>
    <row r="391" spans="1:3" x14ac:dyDescent="0.3">
      <c r="A391"/>
      <c r="B391"/>
      <c r="C391" s="6"/>
    </row>
    <row r="392" spans="1:3" x14ac:dyDescent="0.3">
      <c r="A392"/>
      <c r="B392"/>
      <c r="C392" s="6"/>
    </row>
    <row r="393" spans="1:3" x14ac:dyDescent="0.3">
      <c r="A393"/>
      <c r="B393"/>
      <c r="C393" s="6"/>
    </row>
    <row r="394" spans="1:3" x14ac:dyDescent="0.3">
      <c r="A394"/>
      <c r="B394"/>
      <c r="C394" s="6"/>
    </row>
    <row r="395" spans="1:3" x14ac:dyDescent="0.3">
      <c r="A395"/>
      <c r="B395"/>
      <c r="C395" s="6"/>
    </row>
    <row r="396" spans="1:3" x14ac:dyDescent="0.3">
      <c r="A396"/>
      <c r="B396"/>
      <c r="C396" s="6"/>
    </row>
    <row r="397" spans="1:3" x14ac:dyDescent="0.3">
      <c r="A397"/>
      <c r="B397"/>
      <c r="C397" s="6"/>
    </row>
    <row r="398" spans="1:3" x14ac:dyDescent="0.3">
      <c r="A398"/>
      <c r="B398"/>
      <c r="C398" s="6"/>
    </row>
    <row r="399" spans="1:3" x14ac:dyDescent="0.3">
      <c r="A399"/>
      <c r="B399"/>
      <c r="C399" s="6"/>
    </row>
    <row r="400" spans="1:3" x14ac:dyDescent="0.3">
      <c r="A400"/>
      <c r="B400"/>
      <c r="C400" s="6"/>
    </row>
    <row r="401" spans="1:3" x14ac:dyDescent="0.3">
      <c r="A401"/>
      <c r="B401"/>
      <c r="C401" s="6"/>
    </row>
    <row r="402" spans="1:3" x14ac:dyDescent="0.3">
      <c r="A402"/>
      <c r="B402"/>
      <c r="C402" s="6"/>
    </row>
    <row r="403" spans="1:3" x14ac:dyDescent="0.3">
      <c r="A403"/>
      <c r="B403"/>
      <c r="C403" s="6"/>
    </row>
    <row r="404" spans="1:3" x14ac:dyDescent="0.3">
      <c r="A404"/>
      <c r="B404"/>
      <c r="C404" s="6"/>
    </row>
    <row r="405" spans="1:3" x14ac:dyDescent="0.3">
      <c r="A405"/>
      <c r="B405"/>
      <c r="C405" s="6"/>
    </row>
    <row r="406" spans="1:3" x14ac:dyDescent="0.3">
      <c r="A406"/>
      <c r="B406"/>
      <c r="C406" s="6"/>
    </row>
    <row r="407" spans="1:3" x14ac:dyDescent="0.3">
      <c r="A407"/>
      <c r="B407"/>
      <c r="C407" s="6"/>
    </row>
    <row r="408" spans="1:3" x14ac:dyDescent="0.3">
      <c r="A408"/>
      <c r="B408"/>
      <c r="C408" s="6"/>
    </row>
    <row r="409" spans="1:3" x14ac:dyDescent="0.3">
      <c r="A409"/>
      <c r="B409"/>
      <c r="C409" s="6"/>
    </row>
    <row r="410" spans="1:3" x14ac:dyDescent="0.3">
      <c r="A410"/>
      <c r="B410"/>
      <c r="C410" s="6"/>
    </row>
    <row r="411" spans="1:3" x14ac:dyDescent="0.3">
      <c r="A411"/>
      <c r="B411"/>
      <c r="C411" s="6"/>
    </row>
    <row r="412" spans="1:3" x14ac:dyDescent="0.3">
      <c r="A412"/>
      <c r="B412"/>
      <c r="C412" s="6"/>
    </row>
    <row r="413" spans="1:3" x14ac:dyDescent="0.3">
      <c r="A413"/>
      <c r="B413"/>
      <c r="C413" s="6"/>
    </row>
    <row r="414" spans="1:3" x14ac:dyDescent="0.3">
      <c r="A414"/>
      <c r="B414"/>
      <c r="C414" s="6"/>
    </row>
    <row r="415" spans="1:3" x14ac:dyDescent="0.3">
      <c r="A415"/>
      <c r="B415"/>
      <c r="C415" s="6"/>
    </row>
    <row r="416" spans="1:3" x14ac:dyDescent="0.3">
      <c r="A416"/>
      <c r="B416"/>
      <c r="C416" s="6"/>
    </row>
    <row r="417" spans="1:3" x14ac:dyDescent="0.3">
      <c r="A417"/>
      <c r="B417"/>
      <c r="C417" s="6"/>
    </row>
    <row r="418" spans="1:3" x14ac:dyDescent="0.3">
      <c r="A418"/>
      <c r="B418"/>
      <c r="C418" s="6"/>
    </row>
    <row r="419" spans="1:3" x14ac:dyDescent="0.3">
      <c r="A419"/>
      <c r="B419"/>
      <c r="C419" s="6"/>
    </row>
    <row r="420" spans="1:3" x14ac:dyDescent="0.3">
      <c r="A420"/>
      <c r="B420"/>
      <c r="C420" s="6"/>
    </row>
    <row r="421" spans="1:3" x14ac:dyDescent="0.3">
      <c r="A421"/>
      <c r="B421"/>
      <c r="C421" s="6"/>
    </row>
    <row r="422" spans="1:3" x14ac:dyDescent="0.3">
      <c r="A422"/>
      <c r="B422"/>
      <c r="C422" s="6"/>
    </row>
    <row r="423" spans="1:3" x14ac:dyDescent="0.3">
      <c r="A423"/>
      <c r="B423"/>
      <c r="C423" s="6"/>
    </row>
    <row r="424" spans="1:3" x14ac:dyDescent="0.3">
      <c r="A424"/>
      <c r="B424"/>
      <c r="C424" s="6"/>
    </row>
    <row r="425" spans="1:3" x14ac:dyDescent="0.3">
      <c r="A425"/>
      <c r="B425"/>
      <c r="C425" s="6"/>
    </row>
    <row r="426" spans="1:3" x14ac:dyDescent="0.3">
      <c r="A426"/>
      <c r="B426"/>
      <c r="C426" s="6"/>
    </row>
    <row r="427" spans="1:3" x14ac:dyDescent="0.3">
      <c r="A427"/>
      <c r="B427"/>
      <c r="C427" s="6"/>
    </row>
    <row r="428" spans="1:3" x14ac:dyDescent="0.3">
      <c r="A428"/>
      <c r="B428"/>
      <c r="C428" s="6"/>
    </row>
    <row r="429" spans="1:3" x14ac:dyDescent="0.3">
      <c r="A429"/>
      <c r="B429"/>
      <c r="C429" s="6"/>
    </row>
    <row r="430" spans="1:3" x14ac:dyDescent="0.3">
      <c r="A430"/>
      <c r="B430"/>
      <c r="C430" s="6"/>
    </row>
    <row r="431" spans="1:3" x14ac:dyDescent="0.3">
      <c r="A431"/>
      <c r="B431"/>
      <c r="C431" s="6"/>
    </row>
    <row r="432" spans="1:3" x14ac:dyDescent="0.3">
      <c r="A432"/>
      <c r="B432"/>
      <c r="C432" s="6"/>
    </row>
    <row r="433" spans="1:3" x14ac:dyDescent="0.3">
      <c r="A433"/>
      <c r="B433"/>
      <c r="C433" s="6"/>
    </row>
    <row r="434" spans="1:3" x14ac:dyDescent="0.3">
      <c r="A434"/>
      <c r="B434"/>
      <c r="C434" s="6"/>
    </row>
    <row r="435" spans="1:3" x14ac:dyDescent="0.3">
      <c r="A435"/>
      <c r="B435"/>
      <c r="C435" s="6"/>
    </row>
    <row r="436" spans="1:3" x14ac:dyDescent="0.3">
      <c r="A436"/>
      <c r="B436"/>
      <c r="C436" s="6"/>
    </row>
    <row r="437" spans="1:3" x14ac:dyDescent="0.3">
      <c r="A437"/>
      <c r="B437"/>
      <c r="C437" s="6"/>
    </row>
    <row r="438" spans="1:3" x14ac:dyDescent="0.3">
      <c r="A438"/>
      <c r="B438"/>
      <c r="C438" s="6"/>
    </row>
    <row r="439" spans="1:3" x14ac:dyDescent="0.3">
      <c r="A439"/>
      <c r="B439"/>
      <c r="C439" s="6"/>
    </row>
    <row r="440" spans="1:3" x14ac:dyDescent="0.3">
      <c r="A440"/>
      <c r="B440"/>
      <c r="C440" s="6"/>
    </row>
    <row r="441" spans="1:3" x14ac:dyDescent="0.3">
      <c r="A441"/>
      <c r="B441"/>
      <c r="C441" s="6"/>
    </row>
    <row r="442" spans="1:3" x14ac:dyDescent="0.3">
      <c r="A442"/>
      <c r="B442"/>
      <c r="C442" s="6"/>
    </row>
    <row r="443" spans="1:3" x14ac:dyDescent="0.3">
      <c r="A443"/>
      <c r="B443"/>
      <c r="C443" s="6"/>
    </row>
    <row r="444" spans="1:3" x14ac:dyDescent="0.3">
      <c r="A444"/>
      <c r="B444"/>
      <c r="C444" s="6"/>
    </row>
    <row r="445" spans="1:3" x14ac:dyDescent="0.3">
      <c r="A445"/>
      <c r="B445"/>
      <c r="C445" s="6"/>
    </row>
    <row r="446" spans="1:3" x14ac:dyDescent="0.3">
      <c r="A446"/>
      <c r="B446"/>
      <c r="C446" s="6"/>
    </row>
    <row r="447" spans="1:3" x14ac:dyDescent="0.3">
      <c r="A447"/>
      <c r="B447"/>
      <c r="C447" s="6"/>
    </row>
    <row r="448" spans="1:3" x14ac:dyDescent="0.3">
      <c r="A448"/>
      <c r="B448"/>
      <c r="C448" s="6"/>
    </row>
    <row r="449" spans="1:3" x14ac:dyDescent="0.3">
      <c r="A449"/>
      <c r="B449"/>
      <c r="C449" s="6"/>
    </row>
    <row r="450" spans="1:3" x14ac:dyDescent="0.3">
      <c r="A450"/>
      <c r="B450"/>
      <c r="C450" s="6"/>
    </row>
    <row r="451" spans="1:3" x14ac:dyDescent="0.3">
      <c r="A451"/>
      <c r="B451"/>
      <c r="C451" s="6"/>
    </row>
    <row r="452" spans="1:3" x14ac:dyDescent="0.3">
      <c r="A452"/>
      <c r="B452"/>
      <c r="C452" s="6"/>
    </row>
    <row r="453" spans="1:3" x14ac:dyDescent="0.3">
      <c r="A453"/>
      <c r="B453"/>
      <c r="C453" s="6"/>
    </row>
    <row r="454" spans="1:3" x14ac:dyDescent="0.3">
      <c r="A454"/>
      <c r="B454"/>
      <c r="C454" s="6"/>
    </row>
    <row r="455" spans="1:3" x14ac:dyDescent="0.3">
      <c r="A455"/>
      <c r="B455"/>
      <c r="C455" s="6"/>
    </row>
    <row r="456" spans="1:3" x14ac:dyDescent="0.3">
      <c r="A456"/>
      <c r="B456"/>
      <c r="C456" s="6"/>
    </row>
    <row r="457" spans="1:3" x14ac:dyDescent="0.3">
      <c r="A457"/>
      <c r="B457"/>
      <c r="C457" s="6"/>
    </row>
    <row r="458" spans="1:3" x14ac:dyDescent="0.3">
      <c r="A458"/>
      <c r="B458"/>
      <c r="C458" s="6"/>
    </row>
    <row r="459" spans="1:3" x14ac:dyDescent="0.3">
      <c r="A459"/>
      <c r="B459"/>
      <c r="C459" s="6"/>
    </row>
    <row r="460" spans="1:3" x14ac:dyDescent="0.3">
      <c r="A460"/>
      <c r="B460"/>
      <c r="C460" s="6"/>
    </row>
    <row r="461" spans="1:3" x14ac:dyDescent="0.3">
      <c r="A461"/>
      <c r="B461"/>
      <c r="C461" s="6"/>
    </row>
    <row r="462" spans="1:3" x14ac:dyDescent="0.3">
      <c r="A462"/>
      <c r="B462"/>
      <c r="C462" s="6"/>
    </row>
    <row r="463" spans="1:3" x14ac:dyDescent="0.3">
      <c r="A463"/>
      <c r="B463"/>
      <c r="C463" s="6"/>
    </row>
    <row r="464" spans="1:3" x14ac:dyDescent="0.3">
      <c r="A464"/>
      <c r="B464"/>
      <c r="C464" s="6"/>
    </row>
    <row r="465" spans="1:3" x14ac:dyDescent="0.3">
      <c r="A465"/>
      <c r="B465"/>
      <c r="C465" s="6"/>
    </row>
    <row r="466" spans="1:3" x14ac:dyDescent="0.3">
      <c r="A466"/>
      <c r="B466"/>
      <c r="C466" s="6"/>
    </row>
    <row r="467" spans="1:3" x14ac:dyDescent="0.3">
      <c r="A467"/>
      <c r="B467"/>
      <c r="C467" s="6"/>
    </row>
    <row r="468" spans="1:3" x14ac:dyDescent="0.3">
      <c r="A468"/>
      <c r="B468"/>
      <c r="C468" s="6"/>
    </row>
    <row r="469" spans="1:3" x14ac:dyDescent="0.3">
      <c r="A469"/>
      <c r="B469"/>
      <c r="C469" s="6"/>
    </row>
    <row r="470" spans="1:3" x14ac:dyDescent="0.3">
      <c r="A470"/>
      <c r="B470"/>
      <c r="C470" s="6"/>
    </row>
    <row r="471" spans="1:3" x14ac:dyDescent="0.3">
      <c r="A471"/>
      <c r="B471"/>
      <c r="C471" s="6"/>
    </row>
    <row r="472" spans="1:3" x14ac:dyDescent="0.3">
      <c r="A472"/>
      <c r="B472"/>
      <c r="C472" s="6"/>
    </row>
    <row r="473" spans="1:3" x14ac:dyDescent="0.3">
      <c r="A473"/>
      <c r="B473"/>
      <c r="C473" s="6"/>
    </row>
    <row r="474" spans="1:3" x14ac:dyDescent="0.3">
      <c r="A474"/>
      <c r="B474"/>
      <c r="C474" s="6"/>
    </row>
    <row r="475" spans="1:3" x14ac:dyDescent="0.3">
      <c r="A475"/>
      <c r="B475"/>
      <c r="C475" s="6"/>
    </row>
    <row r="476" spans="1:3" x14ac:dyDescent="0.3">
      <c r="A476"/>
      <c r="B476"/>
      <c r="C476" s="6"/>
    </row>
    <row r="477" spans="1:3" x14ac:dyDescent="0.3">
      <c r="A477"/>
      <c r="B477"/>
      <c r="C477" s="6"/>
    </row>
    <row r="478" spans="1:3" x14ac:dyDescent="0.3">
      <c r="A478"/>
      <c r="B478"/>
      <c r="C478" s="6"/>
    </row>
    <row r="479" spans="1:3" x14ac:dyDescent="0.3">
      <c r="A479"/>
      <c r="B479"/>
      <c r="C479" s="6"/>
    </row>
    <row r="480" spans="1:3" x14ac:dyDescent="0.3">
      <c r="A480"/>
      <c r="B480"/>
      <c r="C480" s="6"/>
    </row>
    <row r="481" spans="1:3" x14ac:dyDescent="0.3">
      <c r="A481"/>
      <c r="B481"/>
      <c r="C481" s="6"/>
    </row>
    <row r="482" spans="1:3" x14ac:dyDescent="0.3">
      <c r="A482"/>
      <c r="B482"/>
      <c r="C482" s="6"/>
    </row>
    <row r="483" spans="1:3" x14ac:dyDescent="0.3">
      <c r="A483"/>
      <c r="B483"/>
      <c r="C483" s="6"/>
    </row>
    <row r="484" spans="1:3" x14ac:dyDescent="0.3">
      <c r="A484"/>
      <c r="B484"/>
      <c r="C484" s="6"/>
    </row>
    <row r="485" spans="1:3" x14ac:dyDescent="0.3">
      <c r="A485"/>
      <c r="B485"/>
      <c r="C485" s="6"/>
    </row>
    <row r="486" spans="1:3" x14ac:dyDescent="0.3">
      <c r="A486"/>
      <c r="B486"/>
      <c r="C486" s="6"/>
    </row>
    <row r="487" spans="1:3" x14ac:dyDescent="0.3">
      <c r="A487"/>
      <c r="B487"/>
      <c r="C487" s="6"/>
    </row>
    <row r="488" spans="1:3" x14ac:dyDescent="0.3">
      <c r="A488"/>
      <c r="B488"/>
      <c r="C488" s="6"/>
    </row>
    <row r="489" spans="1:3" x14ac:dyDescent="0.3">
      <c r="A489"/>
      <c r="B489"/>
      <c r="C489" s="6"/>
    </row>
    <row r="490" spans="1:3" x14ac:dyDescent="0.3">
      <c r="A490"/>
      <c r="B490"/>
      <c r="C490" s="6"/>
    </row>
    <row r="491" spans="1:3" x14ac:dyDescent="0.3">
      <c r="A491"/>
      <c r="B491"/>
      <c r="C491" s="6"/>
    </row>
    <row r="492" spans="1:3" x14ac:dyDescent="0.3">
      <c r="A492"/>
      <c r="B492"/>
      <c r="C492" s="6"/>
    </row>
    <row r="493" spans="1:3" x14ac:dyDescent="0.3">
      <c r="A493"/>
      <c r="B493"/>
      <c r="C493" s="6"/>
    </row>
    <row r="494" spans="1:3" x14ac:dyDescent="0.3">
      <c r="A494"/>
      <c r="B494"/>
      <c r="C494" s="6"/>
    </row>
    <row r="495" spans="1:3" x14ac:dyDescent="0.3">
      <c r="A495"/>
      <c r="B495"/>
      <c r="C495" s="6"/>
    </row>
    <row r="496" spans="1:3" x14ac:dyDescent="0.3">
      <c r="A496"/>
      <c r="B496"/>
      <c r="C496" s="6"/>
    </row>
    <row r="497" spans="1:3" x14ac:dyDescent="0.3">
      <c r="A497"/>
      <c r="B497"/>
      <c r="C497" s="6"/>
    </row>
    <row r="498" spans="1:3" x14ac:dyDescent="0.3">
      <c r="A498"/>
      <c r="B498"/>
      <c r="C498" s="6"/>
    </row>
    <row r="499" spans="1:3" x14ac:dyDescent="0.3">
      <c r="A499"/>
      <c r="B499"/>
      <c r="C499" s="6"/>
    </row>
    <row r="500" spans="1:3" x14ac:dyDescent="0.3">
      <c r="A500"/>
      <c r="B500"/>
      <c r="C500" s="6"/>
    </row>
    <row r="501" spans="1:3" x14ac:dyDescent="0.3">
      <c r="A501"/>
      <c r="B501"/>
      <c r="C501" s="6"/>
    </row>
    <row r="502" spans="1:3" x14ac:dyDescent="0.3">
      <c r="A502"/>
      <c r="B502"/>
      <c r="C502" s="6"/>
    </row>
    <row r="503" spans="1:3" x14ac:dyDescent="0.3">
      <c r="A503"/>
      <c r="B503"/>
      <c r="C503" s="6"/>
    </row>
    <row r="504" spans="1:3" x14ac:dyDescent="0.3">
      <c r="A504"/>
      <c r="B504"/>
      <c r="C504" s="6"/>
    </row>
    <row r="505" spans="1:3" x14ac:dyDescent="0.3">
      <c r="A505"/>
      <c r="B505"/>
      <c r="C505" s="6"/>
    </row>
    <row r="506" spans="1:3" x14ac:dyDescent="0.3">
      <c r="A506"/>
      <c r="B506"/>
      <c r="C506" s="6"/>
    </row>
    <row r="507" spans="1:3" x14ac:dyDescent="0.3">
      <c r="A507"/>
      <c r="B507"/>
      <c r="C507" s="6"/>
    </row>
    <row r="508" spans="1:3" x14ac:dyDescent="0.3">
      <c r="A508"/>
      <c r="B508"/>
      <c r="C508" s="6"/>
    </row>
    <row r="509" spans="1:3" x14ac:dyDescent="0.3">
      <c r="A509"/>
      <c r="B509"/>
      <c r="C509" s="6"/>
    </row>
    <row r="510" spans="1:3" x14ac:dyDescent="0.3">
      <c r="A510"/>
      <c r="B510"/>
      <c r="C510" s="6"/>
    </row>
    <row r="511" spans="1:3" x14ac:dyDescent="0.3">
      <c r="A511"/>
      <c r="B511"/>
      <c r="C511" s="6"/>
    </row>
    <row r="512" spans="1:3" x14ac:dyDescent="0.3">
      <c r="A512"/>
      <c r="B512"/>
      <c r="C512" s="6"/>
    </row>
    <row r="513" spans="1:3" x14ac:dyDescent="0.3">
      <c r="A513"/>
      <c r="B513"/>
      <c r="C513" s="6"/>
    </row>
    <row r="514" spans="1:3" x14ac:dyDescent="0.3">
      <c r="A514"/>
      <c r="B514"/>
      <c r="C514" s="6"/>
    </row>
    <row r="515" spans="1:3" x14ac:dyDescent="0.3">
      <c r="A515"/>
      <c r="B515"/>
      <c r="C515" s="6"/>
    </row>
    <row r="516" spans="1:3" x14ac:dyDescent="0.3">
      <c r="A516"/>
      <c r="B516"/>
      <c r="C516" s="6"/>
    </row>
    <row r="517" spans="1:3" x14ac:dyDescent="0.3">
      <c r="A517"/>
      <c r="B517"/>
      <c r="C517" s="6"/>
    </row>
    <row r="518" spans="1:3" x14ac:dyDescent="0.3">
      <c r="A518"/>
      <c r="B518"/>
      <c r="C518" s="6"/>
    </row>
    <row r="519" spans="1:3" x14ac:dyDescent="0.3">
      <c r="A519"/>
      <c r="B519"/>
      <c r="C519" s="6"/>
    </row>
    <row r="520" spans="1:3" x14ac:dyDescent="0.3">
      <c r="A520"/>
      <c r="B520"/>
      <c r="C520" s="6"/>
    </row>
    <row r="521" spans="1:3" x14ac:dyDescent="0.3">
      <c r="A521"/>
      <c r="B521"/>
      <c r="C521" s="6"/>
    </row>
    <row r="522" spans="1:3" x14ac:dyDescent="0.3">
      <c r="A522"/>
      <c r="B522"/>
      <c r="C522" s="6"/>
    </row>
    <row r="523" spans="1:3" x14ac:dyDescent="0.3">
      <c r="A523"/>
      <c r="B523"/>
      <c r="C523" s="6"/>
    </row>
    <row r="524" spans="1:3" x14ac:dyDescent="0.3">
      <c r="A524"/>
      <c r="B524"/>
      <c r="C524" s="6"/>
    </row>
    <row r="525" spans="1:3" x14ac:dyDescent="0.3">
      <c r="A525"/>
      <c r="B525"/>
      <c r="C525" s="6"/>
    </row>
    <row r="526" spans="1:3" x14ac:dyDescent="0.3">
      <c r="A526"/>
      <c r="B526"/>
      <c r="C526" s="6"/>
    </row>
    <row r="527" spans="1:3" x14ac:dyDescent="0.3">
      <c r="A527"/>
      <c r="B527"/>
      <c r="C527" s="6"/>
    </row>
    <row r="528" spans="1:3" x14ac:dyDescent="0.3">
      <c r="A528"/>
      <c r="B528"/>
      <c r="C528" s="6"/>
    </row>
    <row r="529" spans="1:3" x14ac:dyDescent="0.3">
      <c r="A529"/>
      <c r="B529"/>
      <c r="C529" s="6"/>
    </row>
    <row r="530" spans="1:3" x14ac:dyDescent="0.3">
      <c r="A530"/>
      <c r="B530"/>
      <c r="C530" s="6"/>
    </row>
    <row r="531" spans="1:3" x14ac:dyDescent="0.3">
      <c r="A531"/>
      <c r="B531"/>
      <c r="C531" s="6"/>
    </row>
    <row r="532" spans="1:3" x14ac:dyDescent="0.3">
      <c r="A532"/>
      <c r="B532"/>
      <c r="C532" s="6"/>
    </row>
    <row r="533" spans="1:3" x14ac:dyDescent="0.3">
      <c r="A533"/>
      <c r="B533"/>
      <c r="C533" s="6"/>
    </row>
    <row r="534" spans="1:3" x14ac:dyDescent="0.3">
      <c r="A534"/>
      <c r="B534"/>
      <c r="C534" s="6"/>
    </row>
    <row r="535" spans="1:3" x14ac:dyDescent="0.3">
      <c r="A535"/>
      <c r="B535"/>
      <c r="C535" s="6"/>
    </row>
    <row r="536" spans="1:3" x14ac:dyDescent="0.3">
      <c r="A536"/>
      <c r="B536"/>
      <c r="C536" s="6"/>
    </row>
    <row r="537" spans="1:3" x14ac:dyDescent="0.3">
      <c r="A537"/>
      <c r="B537"/>
      <c r="C537" s="6"/>
    </row>
    <row r="538" spans="1:3" x14ac:dyDescent="0.3">
      <c r="A538"/>
      <c r="B538"/>
      <c r="C538" s="6"/>
    </row>
    <row r="539" spans="1:3" x14ac:dyDescent="0.3">
      <c r="A539"/>
      <c r="B539"/>
      <c r="C539" s="6"/>
    </row>
    <row r="540" spans="1:3" x14ac:dyDescent="0.3">
      <c r="A540"/>
      <c r="B540"/>
      <c r="C540" s="6"/>
    </row>
    <row r="541" spans="1:3" x14ac:dyDescent="0.3">
      <c r="A541"/>
      <c r="B541"/>
      <c r="C541" s="6"/>
    </row>
    <row r="542" spans="1:3" x14ac:dyDescent="0.3">
      <c r="A542"/>
      <c r="B542"/>
      <c r="C542" s="6"/>
    </row>
    <row r="543" spans="1:3" x14ac:dyDescent="0.3">
      <c r="A543"/>
      <c r="B543"/>
      <c r="C543" s="6"/>
    </row>
    <row r="544" spans="1:3" x14ac:dyDescent="0.3">
      <c r="A544"/>
      <c r="B544"/>
      <c r="C544" s="6"/>
    </row>
    <row r="545" spans="1:3" x14ac:dyDescent="0.3">
      <c r="A545"/>
      <c r="B545"/>
      <c r="C545" s="6"/>
    </row>
    <row r="546" spans="1:3" x14ac:dyDescent="0.3">
      <c r="A546"/>
      <c r="B546"/>
      <c r="C546" s="6"/>
    </row>
    <row r="547" spans="1:3" x14ac:dyDescent="0.3">
      <c r="A547"/>
      <c r="B547"/>
      <c r="C547" s="6"/>
    </row>
    <row r="548" spans="1:3" x14ac:dyDescent="0.3">
      <c r="A548"/>
      <c r="B548"/>
      <c r="C548" s="6"/>
    </row>
    <row r="549" spans="1:3" x14ac:dyDescent="0.3">
      <c r="A549"/>
      <c r="B549"/>
      <c r="C549" s="6"/>
    </row>
    <row r="550" spans="1:3" x14ac:dyDescent="0.3">
      <c r="A550"/>
      <c r="B550"/>
      <c r="C550" s="6"/>
    </row>
    <row r="551" spans="1:3" x14ac:dyDescent="0.3">
      <c r="A551"/>
      <c r="B551"/>
      <c r="C551" s="6"/>
    </row>
    <row r="552" spans="1:3" x14ac:dyDescent="0.3">
      <c r="A552"/>
      <c r="B552"/>
      <c r="C552" s="6"/>
    </row>
    <row r="553" spans="1:3" x14ac:dyDescent="0.3">
      <c r="A553"/>
      <c r="B553"/>
      <c r="C553" s="6"/>
    </row>
    <row r="554" spans="1:3" x14ac:dyDescent="0.3">
      <c r="A554"/>
      <c r="B554"/>
      <c r="C554" s="6"/>
    </row>
    <row r="555" spans="1:3" x14ac:dyDescent="0.3">
      <c r="A555"/>
      <c r="B555"/>
      <c r="C555" s="6"/>
    </row>
    <row r="556" spans="1:3" x14ac:dyDescent="0.3">
      <c r="A556"/>
      <c r="B556"/>
      <c r="C556" s="6"/>
    </row>
    <row r="557" spans="1:3" x14ac:dyDescent="0.3">
      <c r="A557"/>
      <c r="B557"/>
      <c r="C557" s="6"/>
    </row>
    <row r="558" spans="1:3" x14ac:dyDescent="0.3">
      <c r="A558"/>
      <c r="B558"/>
      <c r="C558" s="6"/>
    </row>
    <row r="559" spans="1:3" x14ac:dyDescent="0.3">
      <c r="A559"/>
      <c r="B559"/>
      <c r="C559" s="6"/>
    </row>
    <row r="560" spans="1:3" x14ac:dyDescent="0.3">
      <c r="A560"/>
      <c r="B560"/>
      <c r="C560" s="6"/>
    </row>
    <row r="561" spans="1:3" x14ac:dyDescent="0.3">
      <c r="A561"/>
      <c r="B561"/>
      <c r="C561" s="6"/>
    </row>
    <row r="562" spans="1:3" x14ac:dyDescent="0.3">
      <c r="A562"/>
      <c r="B562"/>
      <c r="C562" s="6"/>
    </row>
    <row r="563" spans="1:3" x14ac:dyDescent="0.3">
      <c r="A563"/>
      <c r="B563"/>
      <c r="C563" s="6"/>
    </row>
    <row r="564" spans="1:3" x14ac:dyDescent="0.3">
      <c r="A564"/>
      <c r="B564"/>
      <c r="C564" s="6"/>
    </row>
    <row r="565" spans="1:3" x14ac:dyDescent="0.3">
      <c r="A565"/>
      <c r="B565"/>
      <c r="C565" s="6"/>
    </row>
    <row r="566" spans="1:3" x14ac:dyDescent="0.3">
      <c r="A566"/>
      <c r="B566"/>
      <c r="C566" s="6"/>
    </row>
    <row r="567" spans="1:3" x14ac:dyDescent="0.3">
      <c r="A567"/>
      <c r="B567"/>
      <c r="C567" s="6"/>
    </row>
    <row r="568" spans="1:3" x14ac:dyDescent="0.3">
      <c r="A568"/>
      <c r="B568"/>
      <c r="C568" s="6"/>
    </row>
    <row r="569" spans="1:3" x14ac:dyDescent="0.3">
      <c r="A569"/>
      <c r="B569"/>
      <c r="C569" s="6"/>
    </row>
    <row r="570" spans="1:3" x14ac:dyDescent="0.3">
      <c r="A570"/>
      <c r="B570"/>
      <c r="C570" s="6"/>
    </row>
    <row r="571" spans="1:3" x14ac:dyDescent="0.3">
      <c r="A571"/>
      <c r="B571"/>
      <c r="C571" s="6"/>
    </row>
    <row r="572" spans="1:3" x14ac:dyDescent="0.3">
      <c r="A572"/>
      <c r="B572"/>
      <c r="C572" s="6"/>
    </row>
    <row r="573" spans="1:3" x14ac:dyDescent="0.3">
      <c r="A573"/>
      <c r="B573"/>
      <c r="C573" s="6"/>
    </row>
    <row r="574" spans="1:3" x14ac:dyDescent="0.3">
      <c r="A574"/>
      <c r="B574"/>
      <c r="C574" s="6"/>
    </row>
    <row r="575" spans="1:3" x14ac:dyDescent="0.3">
      <c r="A575"/>
      <c r="B575"/>
      <c r="C575" s="6"/>
    </row>
    <row r="576" spans="1:3" x14ac:dyDescent="0.3">
      <c r="A576"/>
      <c r="B576"/>
      <c r="C576" s="6"/>
    </row>
    <row r="577" spans="1:3" x14ac:dyDescent="0.3">
      <c r="A577"/>
      <c r="B577"/>
      <c r="C577" s="6"/>
    </row>
    <row r="578" spans="1:3" x14ac:dyDescent="0.3">
      <c r="A578"/>
      <c r="B578"/>
      <c r="C578" s="6"/>
    </row>
    <row r="579" spans="1:3" x14ac:dyDescent="0.3">
      <c r="A579"/>
      <c r="B579"/>
      <c r="C579" s="6"/>
    </row>
    <row r="580" spans="1:3" x14ac:dyDescent="0.3">
      <c r="A580"/>
      <c r="B580"/>
      <c r="C580" s="6"/>
    </row>
    <row r="581" spans="1:3" x14ac:dyDescent="0.3">
      <c r="A581"/>
      <c r="B581"/>
      <c r="C581" s="6"/>
    </row>
    <row r="582" spans="1:3" x14ac:dyDescent="0.3">
      <c r="A582"/>
      <c r="B582"/>
      <c r="C582" s="6"/>
    </row>
    <row r="583" spans="1:3" x14ac:dyDescent="0.3">
      <c r="A583"/>
      <c r="B583"/>
      <c r="C583" s="6"/>
    </row>
    <row r="584" spans="1:3" x14ac:dyDescent="0.3">
      <c r="A584"/>
      <c r="B584"/>
      <c r="C584" s="6"/>
    </row>
    <row r="585" spans="1:3" x14ac:dyDescent="0.3">
      <c r="A585"/>
      <c r="B585"/>
      <c r="C585" s="6"/>
    </row>
    <row r="586" spans="1:3" x14ac:dyDescent="0.3">
      <c r="A586"/>
      <c r="B586"/>
      <c r="C586" s="6"/>
    </row>
    <row r="587" spans="1:3" x14ac:dyDescent="0.3">
      <c r="A587"/>
      <c r="B587"/>
      <c r="C587" s="6"/>
    </row>
    <row r="588" spans="1:3" x14ac:dyDescent="0.3">
      <c r="A588"/>
      <c r="B588"/>
      <c r="C588" s="6"/>
    </row>
    <row r="589" spans="1:3" x14ac:dyDescent="0.3">
      <c r="A589"/>
      <c r="B589"/>
      <c r="C589" s="6"/>
    </row>
    <row r="590" spans="1:3" x14ac:dyDescent="0.3">
      <c r="A590"/>
      <c r="B590"/>
      <c r="C590" s="6"/>
    </row>
    <row r="591" spans="1:3" x14ac:dyDescent="0.3">
      <c r="A591"/>
      <c r="B591"/>
      <c r="C591" s="6"/>
    </row>
    <row r="592" spans="1:3" x14ac:dyDescent="0.3">
      <c r="A592"/>
      <c r="B592"/>
      <c r="C592" s="6"/>
    </row>
    <row r="593" spans="1:3" x14ac:dyDescent="0.3">
      <c r="A593"/>
      <c r="B593"/>
      <c r="C593" s="6"/>
    </row>
    <row r="594" spans="1:3" x14ac:dyDescent="0.3">
      <c r="A594"/>
      <c r="B594"/>
      <c r="C594" s="6"/>
    </row>
    <row r="595" spans="1:3" x14ac:dyDescent="0.3">
      <c r="A595"/>
      <c r="B595"/>
      <c r="C595" s="6"/>
    </row>
    <row r="596" spans="1:3" x14ac:dyDescent="0.3">
      <c r="A596"/>
      <c r="B596"/>
      <c r="C596" s="6"/>
    </row>
    <row r="597" spans="1:3" x14ac:dyDescent="0.3">
      <c r="A597"/>
      <c r="B597"/>
      <c r="C597" s="6"/>
    </row>
    <row r="598" spans="1:3" x14ac:dyDescent="0.3">
      <c r="A598"/>
      <c r="B598"/>
      <c r="C598" s="6"/>
    </row>
    <row r="599" spans="1:3" x14ac:dyDescent="0.3">
      <c r="A599"/>
      <c r="B599"/>
      <c r="C599" s="6"/>
    </row>
    <row r="600" spans="1:3" x14ac:dyDescent="0.3">
      <c r="A600"/>
      <c r="B600"/>
      <c r="C600" s="6"/>
    </row>
    <row r="601" spans="1:3" x14ac:dyDescent="0.3">
      <c r="A601"/>
      <c r="B601"/>
      <c r="C601" s="6"/>
    </row>
    <row r="602" spans="1:3" x14ac:dyDescent="0.3">
      <c r="A602"/>
      <c r="B602"/>
      <c r="C602" s="6"/>
    </row>
    <row r="603" spans="1:3" x14ac:dyDescent="0.3">
      <c r="A603"/>
      <c r="B603"/>
      <c r="C603" s="6"/>
    </row>
    <row r="604" spans="1:3" x14ac:dyDescent="0.3">
      <c r="A604"/>
      <c r="B604"/>
      <c r="C604" s="6"/>
    </row>
    <row r="605" spans="1:3" x14ac:dyDescent="0.3">
      <c r="A605"/>
      <c r="B605"/>
      <c r="C605" s="6"/>
    </row>
    <row r="606" spans="1:3" x14ac:dyDescent="0.3">
      <c r="A606"/>
      <c r="B606"/>
      <c r="C606" s="6"/>
    </row>
    <row r="607" spans="1:3" x14ac:dyDescent="0.3">
      <c r="A607"/>
      <c r="B607"/>
      <c r="C607" s="6"/>
    </row>
    <row r="608" spans="1:3" x14ac:dyDescent="0.3">
      <c r="A608"/>
      <c r="B608"/>
      <c r="C608" s="6"/>
    </row>
    <row r="609" spans="1:3" x14ac:dyDescent="0.3">
      <c r="A609"/>
      <c r="B609"/>
      <c r="C609" s="6"/>
    </row>
    <row r="610" spans="1:3" x14ac:dyDescent="0.3">
      <c r="A610"/>
      <c r="B610"/>
      <c r="C610" s="6"/>
    </row>
    <row r="611" spans="1:3" x14ac:dyDescent="0.3">
      <c r="A611"/>
      <c r="B611"/>
      <c r="C611" s="6"/>
    </row>
    <row r="612" spans="1:3" x14ac:dyDescent="0.3">
      <c r="A612"/>
      <c r="B612"/>
      <c r="C612" s="6"/>
    </row>
    <row r="613" spans="1:3" x14ac:dyDescent="0.3">
      <c r="A613"/>
      <c r="B613"/>
      <c r="C613" s="6"/>
    </row>
    <row r="614" spans="1:3" x14ac:dyDescent="0.3">
      <c r="A614"/>
      <c r="B614"/>
      <c r="C614" s="6"/>
    </row>
    <row r="615" spans="1:3" x14ac:dyDescent="0.3">
      <c r="A615"/>
      <c r="B615"/>
      <c r="C615" s="6"/>
    </row>
    <row r="616" spans="1:3" x14ac:dyDescent="0.3">
      <c r="A616"/>
      <c r="B616"/>
      <c r="C616" s="6"/>
    </row>
    <row r="617" spans="1:3" x14ac:dyDescent="0.3">
      <c r="A617"/>
      <c r="B617"/>
      <c r="C617" s="6"/>
    </row>
    <row r="618" spans="1:3" x14ac:dyDescent="0.3">
      <c r="A618"/>
      <c r="B618"/>
      <c r="C618" s="6"/>
    </row>
    <row r="619" spans="1:3" x14ac:dyDescent="0.3">
      <c r="A619"/>
      <c r="B619"/>
      <c r="C619" s="6"/>
    </row>
    <row r="620" spans="1:3" x14ac:dyDescent="0.3">
      <c r="A620"/>
      <c r="B620"/>
      <c r="C620" s="6"/>
    </row>
    <row r="621" spans="1:3" x14ac:dyDescent="0.3">
      <c r="A621"/>
      <c r="B621"/>
      <c r="C621" s="6"/>
    </row>
    <row r="622" spans="1:3" x14ac:dyDescent="0.3">
      <c r="A622"/>
      <c r="B622"/>
      <c r="C622" s="6"/>
    </row>
    <row r="623" spans="1:3" x14ac:dyDescent="0.3">
      <c r="A623"/>
      <c r="B623"/>
      <c r="C623" s="6"/>
    </row>
    <row r="624" spans="1:3" x14ac:dyDescent="0.3">
      <c r="A624"/>
      <c r="B624"/>
      <c r="C624" s="6"/>
    </row>
    <row r="625" spans="1:3" x14ac:dyDescent="0.3">
      <c r="A625"/>
      <c r="B625"/>
      <c r="C625" s="6"/>
    </row>
    <row r="626" spans="1:3" x14ac:dyDescent="0.3">
      <c r="A626"/>
      <c r="B626"/>
      <c r="C626" s="6"/>
    </row>
    <row r="627" spans="1:3" x14ac:dyDescent="0.3">
      <c r="A627"/>
      <c r="B627"/>
      <c r="C627" s="6"/>
    </row>
    <row r="628" spans="1:3" x14ac:dyDescent="0.3">
      <c r="A628"/>
      <c r="B628"/>
      <c r="C628" s="6"/>
    </row>
    <row r="629" spans="1:3" x14ac:dyDescent="0.3">
      <c r="A629"/>
      <c r="B629"/>
      <c r="C629" s="6"/>
    </row>
    <row r="630" spans="1:3" x14ac:dyDescent="0.3">
      <c r="A630"/>
      <c r="B630"/>
      <c r="C630" s="6"/>
    </row>
    <row r="631" spans="1:3" x14ac:dyDescent="0.3">
      <c r="A631"/>
      <c r="B631"/>
      <c r="C631" s="6"/>
    </row>
    <row r="632" spans="1:3" x14ac:dyDescent="0.3">
      <c r="A632"/>
      <c r="B632"/>
      <c r="C632" s="6"/>
    </row>
    <row r="633" spans="1:3" x14ac:dyDescent="0.3">
      <c r="A633"/>
      <c r="B633"/>
      <c r="C633" s="6"/>
    </row>
    <row r="634" spans="1:3" x14ac:dyDescent="0.3">
      <c r="A634"/>
      <c r="B634"/>
      <c r="C634" s="6"/>
    </row>
    <row r="635" spans="1:3" x14ac:dyDescent="0.3">
      <c r="A635"/>
      <c r="B635"/>
      <c r="C635" s="6"/>
    </row>
    <row r="636" spans="1:3" x14ac:dyDescent="0.3">
      <c r="A636"/>
      <c r="B636"/>
      <c r="C636" s="6"/>
    </row>
    <row r="637" spans="1:3" x14ac:dyDescent="0.3">
      <c r="A637"/>
      <c r="B637"/>
      <c r="C637" s="6"/>
    </row>
    <row r="638" spans="1:3" x14ac:dyDescent="0.3">
      <c r="A638"/>
      <c r="B638"/>
      <c r="C638" s="6"/>
    </row>
    <row r="639" spans="1:3" x14ac:dyDescent="0.3">
      <c r="A639"/>
      <c r="B639"/>
      <c r="C639" s="6"/>
    </row>
    <row r="640" spans="1:3" x14ac:dyDescent="0.3">
      <c r="A640"/>
      <c r="B640"/>
      <c r="C640" s="6"/>
    </row>
    <row r="641" spans="1:3" x14ac:dyDescent="0.3">
      <c r="A641"/>
      <c r="B641"/>
      <c r="C641" s="6"/>
    </row>
    <row r="642" spans="1:3" x14ac:dyDescent="0.3">
      <c r="A642"/>
      <c r="B642"/>
      <c r="C642" s="6"/>
    </row>
    <row r="643" spans="1:3" x14ac:dyDescent="0.3">
      <c r="A643"/>
      <c r="B643"/>
      <c r="C643" s="6"/>
    </row>
    <row r="644" spans="1:3" x14ac:dyDescent="0.3">
      <c r="A644"/>
      <c r="B644"/>
      <c r="C644" s="6"/>
    </row>
    <row r="645" spans="1:3" x14ac:dyDescent="0.3">
      <c r="A645"/>
      <c r="B645"/>
      <c r="C645" s="6"/>
    </row>
    <row r="646" spans="1:3" x14ac:dyDescent="0.3">
      <c r="A646"/>
      <c r="B646"/>
      <c r="C646" s="6"/>
    </row>
    <row r="647" spans="1:3" x14ac:dyDescent="0.3">
      <c r="A647"/>
      <c r="B647"/>
      <c r="C647" s="6"/>
    </row>
    <row r="648" spans="1:3" x14ac:dyDescent="0.3">
      <c r="A648"/>
      <c r="B648"/>
      <c r="C648" s="6"/>
    </row>
    <row r="649" spans="1:3" x14ac:dyDescent="0.3">
      <c r="A649"/>
      <c r="B649"/>
      <c r="C649" s="6"/>
    </row>
    <row r="650" spans="1:3" x14ac:dyDescent="0.3">
      <c r="A650"/>
      <c r="B650"/>
      <c r="C650" s="6"/>
    </row>
    <row r="651" spans="1:3" x14ac:dyDescent="0.3">
      <c r="A651"/>
      <c r="B651"/>
      <c r="C651" s="6"/>
    </row>
    <row r="652" spans="1:3" x14ac:dyDescent="0.3">
      <c r="A652"/>
      <c r="B652"/>
      <c r="C652" s="6"/>
    </row>
    <row r="653" spans="1:3" x14ac:dyDescent="0.3">
      <c r="A653"/>
      <c r="B653"/>
      <c r="C653" s="6"/>
    </row>
    <row r="654" spans="1:3" x14ac:dyDescent="0.3">
      <c r="A654"/>
      <c r="B654"/>
      <c r="C654" s="6"/>
    </row>
    <row r="655" spans="1:3" x14ac:dyDescent="0.3">
      <c r="A655"/>
      <c r="B655"/>
      <c r="C655" s="6"/>
    </row>
    <row r="656" spans="1:3" x14ac:dyDescent="0.3">
      <c r="A656"/>
      <c r="B656"/>
      <c r="C656" s="6"/>
    </row>
    <row r="657" spans="1:3" x14ac:dyDescent="0.3">
      <c r="A657"/>
      <c r="B657"/>
      <c r="C657" s="6"/>
    </row>
    <row r="658" spans="1:3" x14ac:dyDescent="0.3">
      <c r="A658"/>
      <c r="B658"/>
      <c r="C658" s="6"/>
    </row>
    <row r="659" spans="1:3" x14ac:dyDescent="0.3">
      <c r="A659"/>
      <c r="B659"/>
      <c r="C659" s="6"/>
    </row>
    <row r="660" spans="1:3" x14ac:dyDescent="0.3">
      <c r="A660"/>
      <c r="B660"/>
      <c r="C660" s="6"/>
    </row>
    <row r="661" spans="1:3" x14ac:dyDescent="0.3">
      <c r="A661"/>
      <c r="B661"/>
      <c r="C661" s="6"/>
    </row>
    <row r="662" spans="1:3" x14ac:dyDescent="0.3">
      <c r="A662"/>
      <c r="B662"/>
      <c r="C662" s="6"/>
    </row>
    <row r="663" spans="1:3" x14ac:dyDescent="0.3">
      <c r="A663"/>
      <c r="B663"/>
      <c r="C663" s="6"/>
    </row>
    <row r="664" spans="1:3" x14ac:dyDescent="0.3">
      <c r="A664"/>
      <c r="B664"/>
      <c r="C664" s="6"/>
    </row>
    <row r="665" spans="1:3" x14ac:dyDescent="0.3">
      <c r="A665"/>
      <c r="B665"/>
      <c r="C665" s="6"/>
    </row>
    <row r="666" spans="1:3" x14ac:dyDescent="0.3">
      <c r="A666"/>
      <c r="B666"/>
      <c r="C666" s="6"/>
    </row>
    <row r="667" spans="1:3" x14ac:dyDescent="0.3">
      <c r="A667"/>
      <c r="B667"/>
      <c r="C667" s="6"/>
    </row>
    <row r="668" spans="1:3" x14ac:dyDescent="0.3">
      <c r="A668"/>
      <c r="B668"/>
      <c r="C668" s="6"/>
    </row>
    <row r="669" spans="1:3" x14ac:dyDescent="0.3">
      <c r="A669"/>
      <c r="B669"/>
      <c r="C669" s="6"/>
    </row>
    <row r="670" spans="1:3" x14ac:dyDescent="0.3">
      <c r="A670"/>
      <c r="B670"/>
      <c r="C670" s="6"/>
    </row>
    <row r="671" spans="1:3" x14ac:dyDescent="0.3">
      <c r="A671"/>
      <c r="B671"/>
      <c r="C671" s="6"/>
    </row>
    <row r="672" spans="1:3" x14ac:dyDescent="0.3">
      <c r="A672"/>
      <c r="B672"/>
      <c r="C672" s="6"/>
    </row>
    <row r="673" spans="1:3" x14ac:dyDescent="0.3">
      <c r="A673"/>
      <c r="B673"/>
      <c r="C673" s="6"/>
    </row>
    <row r="674" spans="1:3" x14ac:dyDescent="0.3">
      <c r="A674"/>
      <c r="B674"/>
      <c r="C674" s="6"/>
    </row>
    <row r="675" spans="1:3" x14ac:dyDescent="0.3">
      <c r="A675"/>
      <c r="B675"/>
      <c r="C675" s="6"/>
    </row>
    <row r="676" spans="1:3" x14ac:dyDescent="0.3">
      <c r="A676"/>
      <c r="B676"/>
      <c r="C676" s="6"/>
    </row>
    <row r="677" spans="1:3" x14ac:dyDescent="0.3">
      <c r="A677"/>
      <c r="B677"/>
      <c r="C677" s="6"/>
    </row>
    <row r="678" spans="1:3" x14ac:dyDescent="0.3">
      <c r="A678"/>
      <c r="B678"/>
      <c r="C678" s="6"/>
    </row>
    <row r="679" spans="1:3" x14ac:dyDescent="0.3">
      <c r="A679"/>
      <c r="B679"/>
      <c r="C679" s="6"/>
    </row>
    <row r="680" spans="1:3" x14ac:dyDescent="0.3">
      <c r="A680"/>
      <c r="B680"/>
      <c r="C680" s="6"/>
    </row>
    <row r="681" spans="1:3" x14ac:dyDescent="0.3">
      <c r="A681"/>
      <c r="B681"/>
      <c r="C681" s="6"/>
    </row>
    <row r="682" spans="1:3" x14ac:dyDescent="0.3">
      <c r="A682"/>
      <c r="B682"/>
      <c r="C682" s="6"/>
    </row>
    <row r="683" spans="1:3" x14ac:dyDescent="0.3">
      <c r="A683"/>
      <c r="B683"/>
      <c r="C683" s="6"/>
    </row>
    <row r="684" spans="1:3" x14ac:dyDescent="0.3">
      <c r="A684"/>
      <c r="B684"/>
      <c r="C684" s="6"/>
    </row>
    <row r="685" spans="1:3" x14ac:dyDescent="0.3">
      <c r="A685"/>
      <c r="B685"/>
      <c r="C685" s="6"/>
    </row>
    <row r="686" spans="1:3" x14ac:dyDescent="0.3">
      <c r="A686"/>
      <c r="B686"/>
      <c r="C686" s="6"/>
    </row>
    <row r="687" spans="1:3" x14ac:dyDescent="0.3">
      <c r="A687"/>
      <c r="B687"/>
      <c r="C687" s="6"/>
    </row>
    <row r="688" spans="1:3" x14ac:dyDescent="0.3">
      <c r="A688"/>
      <c r="B688"/>
      <c r="C688" s="6"/>
    </row>
    <row r="689" spans="1:3" x14ac:dyDescent="0.3">
      <c r="A689"/>
      <c r="B689"/>
      <c r="C689" s="6"/>
    </row>
    <row r="690" spans="1:3" x14ac:dyDescent="0.3">
      <c r="A690"/>
      <c r="B690"/>
      <c r="C690" s="6"/>
    </row>
    <row r="691" spans="1:3" x14ac:dyDescent="0.3">
      <c r="A691"/>
      <c r="B691"/>
      <c r="C691" s="6"/>
    </row>
    <row r="692" spans="1:3" x14ac:dyDescent="0.3">
      <c r="A692"/>
      <c r="B692"/>
      <c r="C692" s="6"/>
    </row>
    <row r="693" spans="1:3" x14ac:dyDescent="0.3">
      <c r="A693"/>
      <c r="B693"/>
      <c r="C693" s="6"/>
    </row>
    <row r="694" spans="1:3" x14ac:dyDescent="0.3">
      <c r="A694"/>
      <c r="B694"/>
      <c r="C694" s="6"/>
    </row>
    <row r="695" spans="1:3" x14ac:dyDescent="0.3">
      <c r="A695"/>
      <c r="B695"/>
      <c r="C695" s="6"/>
    </row>
    <row r="696" spans="1:3" x14ac:dyDescent="0.3">
      <c r="A696"/>
      <c r="B696"/>
      <c r="C696" s="6"/>
    </row>
    <row r="697" spans="1:3" x14ac:dyDescent="0.3">
      <c r="A697"/>
      <c r="B697"/>
      <c r="C697" s="6"/>
    </row>
    <row r="698" spans="1:3" x14ac:dyDescent="0.3">
      <c r="A698"/>
      <c r="B698"/>
      <c r="C698" s="6"/>
    </row>
    <row r="699" spans="1:3" x14ac:dyDescent="0.3">
      <c r="A699"/>
      <c r="B699"/>
      <c r="C699" s="6"/>
    </row>
    <row r="700" spans="1:3" x14ac:dyDescent="0.3">
      <c r="A700"/>
      <c r="B700"/>
      <c r="C700" s="6"/>
    </row>
    <row r="701" spans="1:3" x14ac:dyDescent="0.3">
      <c r="A701"/>
      <c r="B701"/>
      <c r="C701" s="6"/>
    </row>
    <row r="702" spans="1:3" x14ac:dyDescent="0.3">
      <c r="A702"/>
      <c r="B702"/>
      <c r="C702" s="6"/>
    </row>
    <row r="703" spans="1:3" x14ac:dyDescent="0.3">
      <c r="A703"/>
      <c r="B703"/>
      <c r="C703" s="6"/>
    </row>
    <row r="704" spans="1:3" x14ac:dyDescent="0.3">
      <c r="A704"/>
      <c r="B704"/>
      <c r="C704" s="6"/>
    </row>
    <row r="705" spans="1:3" x14ac:dyDescent="0.3">
      <c r="A705"/>
      <c r="B705"/>
      <c r="C705" s="6"/>
    </row>
    <row r="706" spans="1:3" x14ac:dyDescent="0.3">
      <c r="A706"/>
      <c r="B706"/>
      <c r="C706" s="6"/>
    </row>
    <row r="707" spans="1:3" x14ac:dyDescent="0.3">
      <c r="A707"/>
      <c r="B707"/>
      <c r="C707" s="6"/>
    </row>
    <row r="708" spans="1:3" x14ac:dyDescent="0.3">
      <c r="A708"/>
      <c r="B708"/>
      <c r="C708" s="6"/>
    </row>
    <row r="709" spans="1:3" x14ac:dyDescent="0.3">
      <c r="A709"/>
      <c r="B709"/>
      <c r="C709" s="6"/>
    </row>
    <row r="710" spans="1:3" x14ac:dyDescent="0.3">
      <c r="A710"/>
      <c r="B710"/>
      <c r="C710" s="6"/>
    </row>
    <row r="711" spans="1:3" x14ac:dyDescent="0.3">
      <c r="A711"/>
      <c r="B711"/>
      <c r="C711" s="6"/>
    </row>
    <row r="712" spans="1:3" x14ac:dyDescent="0.3">
      <c r="A712"/>
      <c r="B712"/>
      <c r="C712" s="6"/>
    </row>
    <row r="713" spans="1:3" x14ac:dyDescent="0.3">
      <c r="A713"/>
      <c r="B713"/>
      <c r="C713" s="6"/>
    </row>
    <row r="714" spans="1:3" x14ac:dyDescent="0.3">
      <c r="A714"/>
      <c r="B714"/>
      <c r="C714" s="6"/>
    </row>
    <row r="715" spans="1:3" x14ac:dyDescent="0.3">
      <c r="A715"/>
      <c r="B715"/>
      <c r="C715" s="6"/>
    </row>
    <row r="716" spans="1:3" x14ac:dyDescent="0.3">
      <c r="A716"/>
      <c r="B716"/>
      <c r="C716" s="6"/>
    </row>
    <row r="717" spans="1:3" x14ac:dyDescent="0.3">
      <c r="A717"/>
      <c r="B717"/>
      <c r="C717" s="6"/>
    </row>
    <row r="718" spans="1:3" x14ac:dyDescent="0.3">
      <c r="A718"/>
      <c r="B718"/>
      <c r="C718" s="6"/>
    </row>
    <row r="719" spans="1:3" x14ac:dyDescent="0.3">
      <c r="A719"/>
      <c r="B719"/>
      <c r="C719" s="6"/>
    </row>
    <row r="720" spans="1:3" x14ac:dyDescent="0.3">
      <c r="A720"/>
      <c r="B720"/>
      <c r="C720" s="6"/>
    </row>
    <row r="721" spans="1:3" x14ac:dyDescent="0.3">
      <c r="A721"/>
      <c r="B721"/>
      <c r="C721" s="6"/>
    </row>
    <row r="722" spans="1:3" x14ac:dyDescent="0.3">
      <c r="A722"/>
      <c r="B722"/>
      <c r="C722" s="6"/>
    </row>
    <row r="723" spans="1:3" x14ac:dyDescent="0.3">
      <c r="A723"/>
      <c r="B723"/>
      <c r="C723" s="6"/>
    </row>
    <row r="724" spans="1:3" x14ac:dyDescent="0.3">
      <c r="A724"/>
      <c r="B724"/>
      <c r="C724" s="6"/>
    </row>
    <row r="725" spans="1:3" x14ac:dyDescent="0.3">
      <c r="A725"/>
      <c r="B725"/>
      <c r="C725" s="6"/>
    </row>
    <row r="726" spans="1:3" x14ac:dyDescent="0.3">
      <c r="A726"/>
      <c r="B726"/>
      <c r="C726" s="6"/>
    </row>
    <row r="727" spans="1:3" x14ac:dyDescent="0.3">
      <c r="A727"/>
      <c r="B727"/>
      <c r="C727" s="6"/>
    </row>
    <row r="728" spans="1:3" x14ac:dyDescent="0.3">
      <c r="A728"/>
      <c r="B728"/>
      <c r="C728" s="6"/>
    </row>
    <row r="729" spans="1:3" x14ac:dyDescent="0.3">
      <c r="A729"/>
      <c r="B729"/>
      <c r="C729" s="6"/>
    </row>
    <row r="730" spans="1:3" x14ac:dyDescent="0.3">
      <c r="A730"/>
      <c r="B730"/>
      <c r="C730" s="6"/>
    </row>
    <row r="731" spans="1:3" x14ac:dyDescent="0.3">
      <c r="A731"/>
      <c r="B731"/>
      <c r="C731" s="6"/>
    </row>
    <row r="732" spans="1:3" x14ac:dyDescent="0.3">
      <c r="A732"/>
      <c r="B732"/>
      <c r="C732" s="6"/>
    </row>
    <row r="733" spans="1:3" x14ac:dyDescent="0.3">
      <c r="A733"/>
      <c r="B733"/>
      <c r="C733" s="6"/>
    </row>
    <row r="734" spans="1:3" x14ac:dyDescent="0.3">
      <c r="A734"/>
      <c r="B734"/>
      <c r="C734" s="6"/>
    </row>
    <row r="735" spans="1:3" x14ac:dyDescent="0.3">
      <c r="A735"/>
      <c r="B735"/>
      <c r="C735" s="6"/>
    </row>
    <row r="736" spans="1:3" x14ac:dyDescent="0.3">
      <c r="A736"/>
      <c r="B736"/>
      <c r="C736" s="6"/>
    </row>
    <row r="737" spans="1:3" x14ac:dyDescent="0.3">
      <c r="A737"/>
      <c r="B737"/>
      <c r="C737" s="6"/>
    </row>
    <row r="738" spans="1:3" x14ac:dyDescent="0.3">
      <c r="A738"/>
      <c r="B738"/>
      <c r="C738" s="6"/>
    </row>
    <row r="739" spans="1:3" x14ac:dyDescent="0.3">
      <c r="A739"/>
      <c r="B739"/>
      <c r="C739" s="6"/>
    </row>
    <row r="740" spans="1:3" x14ac:dyDescent="0.3">
      <c r="A740"/>
      <c r="B740"/>
      <c r="C740" s="6"/>
    </row>
    <row r="741" spans="1:3" x14ac:dyDescent="0.3">
      <c r="A741"/>
      <c r="B741"/>
      <c r="C741" s="6"/>
    </row>
    <row r="742" spans="1:3" x14ac:dyDescent="0.3">
      <c r="A742"/>
      <c r="B742"/>
      <c r="C742" s="6"/>
    </row>
    <row r="743" spans="1:3" x14ac:dyDescent="0.3">
      <c r="A743"/>
      <c r="B743"/>
      <c r="C743" s="6"/>
    </row>
    <row r="744" spans="1:3" x14ac:dyDescent="0.3">
      <c r="A744"/>
      <c r="B744"/>
      <c r="C744" s="6"/>
    </row>
    <row r="745" spans="1:3" x14ac:dyDescent="0.3">
      <c r="A745"/>
      <c r="B745"/>
      <c r="C745" s="6"/>
    </row>
    <row r="746" spans="1:3" x14ac:dyDescent="0.3">
      <c r="A746"/>
      <c r="B746"/>
      <c r="C746" s="6"/>
    </row>
    <row r="747" spans="1:3" x14ac:dyDescent="0.3">
      <c r="A747"/>
      <c r="B747"/>
      <c r="C747" s="6"/>
    </row>
    <row r="748" spans="1:3" x14ac:dyDescent="0.3">
      <c r="A748"/>
      <c r="B748"/>
      <c r="C748" s="6"/>
    </row>
    <row r="749" spans="1:3" x14ac:dyDescent="0.3">
      <c r="A749"/>
      <c r="B749"/>
      <c r="C749" s="6"/>
    </row>
    <row r="750" spans="1:3" x14ac:dyDescent="0.3">
      <c r="A750"/>
      <c r="B750"/>
      <c r="C750" s="6"/>
    </row>
    <row r="751" spans="1:3" x14ac:dyDescent="0.3">
      <c r="A751"/>
      <c r="B751"/>
      <c r="C751" s="6"/>
    </row>
    <row r="752" spans="1:3" x14ac:dyDescent="0.3">
      <c r="A752"/>
      <c r="B752"/>
      <c r="C752" s="6"/>
    </row>
    <row r="753" spans="1:3" x14ac:dyDescent="0.3">
      <c r="A753"/>
      <c r="B753"/>
      <c r="C753" s="6"/>
    </row>
    <row r="754" spans="1:3" x14ac:dyDescent="0.3">
      <c r="A754"/>
      <c r="B754"/>
      <c r="C754" s="6"/>
    </row>
    <row r="755" spans="1:3" x14ac:dyDescent="0.3">
      <c r="A755"/>
      <c r="B755"/>
      <c r="C755" s="6"/>
    </row>
    <row r="756" spans="1:3" x14ac:dyDescent="0.3">
      <c r="A756"/>
      <c r="B756"/>
      <c r="C756" s="6"/>
    </row>
    <row r="757" spans="1:3" x14ac:dyDescent="0.3">
      <c r="A757"/>
      <c r="B757"/>
      <c r="C757" s="6"/>
    </row>
    <row r="758" spans="1:3" x14ac:dyDescent="0.3">
      <c r="A758"/>
      <c r="B758"/>
      <c r="C758" s="6"/>
    </row>
    <row r="759" spans="1:3" x14ac:dyDescent="0.3">
      <c r="A759"/>
      <c r="B759"/>
      <c r="C759" s="6"/>
    </row>
    <row r="760" spans="1:3" x14ac:dyDescent="0.3">
      <c r="A760"/>
      <c r="B760"/>
      <c r="C760" s="6"/>
    </row>
    <row r="761" spans="1:3" x14ac:dyDescent="0.3">
      <c r="A761"/>
      <c r="B761"/>
      <c r="C761" s="6"/>
    </row>
    <row r="762" spans="1:3" x14ac:dyDescent="0.3">
      <c r="A762"/>
      <c r="B762"/>
      <c r="C762" s="6"/>
    </row>
    <row r="763" spans="1:3" x14ac:dyDescent="0.3">
      <c r="A763"/>
      <c r="B763"/>
      <c r="C763" s="6"/>
    </row>
    <row r="764" spans="1:3" x14ac:dyDescent="0.3">
      <c r="A764"/>
      <c r="B764"/>
      <c r="C764" s="6"/>
    </row>
    <row r="765" spans="1:3" x14ac:dyDescent="0.3">
      <c r="A765"/>
      <c r="B765"/>
      <c r="C765" s="6"/>
    </row>
    <row r="766" spans="1:3" x14ac:dyDescent="0.3">
      <c r="A766"/>
      <c r="B766"/>
      <c r="C766" s="6"/>
    </row>
    <row r="767" spans="1:3" x14ac:dyDescent="0.3">
      <c r="A767"/>
      <c r="B767"/>
      <c r="C767" s="6"/>
    </row>
    <row r="768" spans="1:3" x14ac:dyDescent="0.3">
      <c r="A768"/>
      <c r="B768"/>
      <c r="C768" s="6"/>
    </row>
    <row r="769" spans="1:3" x14ac:dyDescent="0.3">
      <c r="A769"/>
      <c r="B769"/>
      <c r="C769" s="6"/>
    </row>
    <row r="770" spans="1:3" x14ac:dyDescent="0.3">
      <c r="A770"/>
      <c r="B770"/>
      <c r="C770" s="6"/>
    </row>
    <row r="771" spans="1:3" x14ac:dyDescent="0.3">
      <c r="A771"/>
      <c r="B771"/>
      <c r="C771" s="6"/>
    </row>
    <row r="772" spans="1:3" x14ac:dyDescent="0.3">
      <c r="A772"/>
      <c r="B772"/>
      <c r="C772" s="6"/>
    </row>
    <row r="773" spans="1:3" x14ac:dyDescent="0.3">
      <c r="A773"/>
      <c r="B773"/>
      <c r="C773" s="6"/>
    </row>
    <row r="774" spans="1:3" x14ac:dyDescent="0.3">
      <c r="A774"/>
      <c r="B774"/>
      <c r="C774" s="6"/>
    </row>
    <row r="775" spans="1:3" x14ac:dyDescent="0.3">
      <c r="A775"/>
      <c r="B775"/>
      <c r="C775" s="6"/>
    </row>
    <row r="776" spans="1:3" x14ac:dyDescent="0.3">
      <c r="A776"/>
      <c r="B776"/>
      <c r="C776" s="6"/>
    </row>
    <row r="777" spans="1:3" x14ac:dyDescent="0.3">
      <c r="A777"/>
      <c r="B777"/>
      <c r="C777" s="6"/>
    </row>
    <row r="778" spans="1:3" x14ac:dyDescent="0.3">
      <c r="A778"/>
      <c r="B778"/>
      <c r="C778" s="6"/>
    </row>
    <row r="779" spans="1:3" x14ac:dyDescent="0.3">
      <c r="A779"/>
      <c r="B779"/>
      <c r="C779" s="6"/>
    </row>
    <row r="780" spans="1:3" x14ac:dyDescent="0.3">
      <c r="A780"/>
      <c r="B780"/>
      <c r="C780" s="6"/>
    </row>
    <row r="781" spans="1:3" x14ac:dyDescent="0.3">
      <c r="A781"/>
      <c r="B781"/>
      <c r="C781" s="6"/>
    </row>
    <row r="782" spans="1:3" x14ac:dyDescent="0.3">
      <c r="A782"/>
      <c r="B782"/>
      <c r="C782" s="6"/>
    </row>
    <row r="783" spans="1:3" x14ac:dyDescent="0.3">
      <c r="A783"/>
      <c r="B783"/>
      <c r="C783" s="6"/>
    </row>
    <row r="784" spans="1:3" x14ac:dyDescent="0.3">
      <c r="A784"/>
      <c r="B784"/>
      <c r="C784" s="6"/>
    </row>
    <row r="785" spans="1:3" x14ac:dyDescent="0.3">
      <c r="A785"/>
      <c r="B785"/>
      <c r="C785" s="6"/>
    </row>
    <row r="786" spans="1:3" x14ac:dyDescent="0.3">
      <c r="A786"/>
      <c r="B786"/>
      <c r="C786" s="6"/>
    </row>
    <row r="787" spans="1:3" x14ac:dyDescent="0.3">
      <c r="A787"/>
      <c r="B787"/>
      <c r="C787" s="6"/>
    </row>
    <row r="788" spans="1:3" x14ac:dyDescent="0.3">
      <c r="A788"/>
      <c r="B788"/>
      <c r="C788" s="6"/>
    </row>
    <row r="789" spans="1:3" x14ac:dyDescent="0.3">
      <c r="A789"/>
      <c r="B789"/>
      <c r="C789" s="6"/>
    </row>
    <row r="790" spans="1:3" x14ac:dyDescent="0.3">
      <c r="A790"/>
      <c r="B790"/>
      <c r="C790" s="6"/>
    </row>
    <row r="791" spans="1:3" x14ac:dyDescent="0.3">
      <c r="A791"/>
      <c r="B791"/>
      <c r="C791" s="6"/>
    </row>
    <row r="792" spans="1:3" x14ac:dyDescent="0.3">
      <c r="A792"/>
      <c r="B792"/>
      <c r="C792" s="6"/>
    </row>
    <row r="793" spans="1:3" x14ac:dyDescent="0.3">
      <c r="A793"/>
      <c r="B793"/>
      <c r="C793" s="6"/>
    </row>
    <row r="794" spans="1:3" x14ac:dyDescent="0.3">
      <c r="A794"/>
      <c r="B794"/>
      <c r="C794" s="6"/>
    </row>
    <row r="795" spans="1:3" x14ac:dyDescent="0.3">
      <c r="A795"/>
      <c r="B795"/>
      <c r="C795" s="6"/>
    </row>
    <row r="796" spans="1:3" x14ac:dyDescent="0.3">
      <c r="A796"/>
      <c r="B796"/>
      <c r="C796" s="6"/>
    </row>
    <row r="797" spans="1:3" x14ac:dyDescent="0.3">
      <c r="A797"/>
      <c r="B797"/>
      <c r="C797" s="6"/>
    </row>
    <row r="798" spans="1:3" x14ac:dyDescent="0.3">
      <c r="A798"/>
      <c r="B798"/>
      <c r="C798" s="6"/>
    </row>
    <row r="799" spans="1:3" x14ac:dyDescent="0.3">
      <c r="A799"/>
      <c r="B799"/>
      <c r="C799" s="6"/>
    </row>
    <row r="800" spans="1:3" x14ac:dyDescent="0.3">
      <c r="A800"/>
      <c r="B800"/>
      <c r="C800" s="6"/>
    </row>
    <row r="801" spans="1:3" x14ac:dyDescent="0.3">
      <c r="A801"/>
      <c r="B801"/>
      <c r="C801" s="6"/>
    </row>
    <row r="802" spans="1:3" x14ac:dyDescent="0.3">
      <c r="A802"/>
      <c r="B802"/>
      <c r="C802" s="6"/>
    </row>
    <row r="803" spans="1:3" x14ac:dyDescent="0.3">
      <c r="A803"/>
      <c r="B803"/>
      <c r="C803" s="6"/>
    </row>
    <row r="804" spans="1:3" x14ac:dyDescent="0.3">
      <c r="A804"/>
      <c r="B804"/>
      <c r="C804" s="6"/>
    </row>
    <row r="805" spans="1:3" x14ac:dyDescent="0.3">
      <c r="A805"/>
      <c r="B805"/>
      <c r="C805" s="6"/>
    </row>
    <row r="806" spans="1:3" x14ac:dyDescent="0.3">
      <c r="A806"/>
      <c r="B806"/>
      <c r="C806" s="6"/>
    </row>
    <row r="807" spans="1:3" x14ac:dyDescent="0.3">
      <c r="A807"/>
      <c r="B807"/>
      <c r="C807" s="6"/>
    </row>
    <row r="808" spans="1:3" x14ac:dyDescent="0.3">
      <c r="A808"/>
      <c r="B808"/>
      <c r="C808" s="6"/>
    </row>
    <row r="809" spans="1:3" x14ac:dyDescent="0.3">
      <c r="A809"/>
      <c r="B809"/>
      <c r="C809" s="6"/>
    </row>
    <row r="810" spans="1:3" x14ac:dyDescent="0.3">
      <c r="A810"/>
      <c r="B810"/>
      <c r="C810" s="6"/>
    </row>
    <row r="811" spans="1:3" x14ac:dyDescent="0.3">
      <c r="A811"/>
      <c r="B811"/>
      <c r="C811" s="6"/>
    </row>
    <row r="812" spans="1:3" x14ac:dyDescent="0.3">
      <c r="A812"/>
      <c r="B812"/>
      <c r="C812" s="6"/>
    </row>
    <row r="813" spans="1:3" x14ac:dyDescent="0.3">
      <c r="A813"/>
      <c r="B813"/>
      <c r="C813" s="6"/>
    </row>
    <row r="814" spans="1:3" x14ac:dyDescent="0.3">
      <c r="A814"/>
      <c r="B814"/>
      <c r="C814" s="6"/>
    </row>
    <row r="815" spans="1:3" x14ac:dyDescent="0.3">
      <c r="A815"/>
      <c r="B815"/>
      <c r="C815" s="6"/>
    </row>
    <row r="816" spans="1:3" x14ac:dyDescent="0.3">
      <c r="A816"/>
      <c r="B816"/>
      <c r="C816" s="6"/>
    </row>
    <row r="817" spans="1:3" x14ac:dyDescent="0.3">
      <c r="A817"/>
      <c r="B817"/>
      <c r="C817" s="6"/>
    </row>
    <row r="818" spans="1:3" x14ac:dyDescent="0.3">
      <c r="A818"/>
      <c r="B818"/>
      <c r="C818" s="6"/>
    </row>
    <row r="819" spans="1:3" x14ac:dyDescent="0.3">
      <c r="A819"/>
      <c r="B819"/>
      <c r="C819" s="6"/>
    </row>
    <row r="820" spans="1:3" x14ac:dyDescent="0.3">
      <c r="A820"/>
      <c r="B820"/>
      <c r="C820" s="6"/>
    </row>
    <row r="821" spans="1:3" x14ac:dyDescent="0.3">
      <c r="A821"/>
      <c r="B821"/>
      <c r="C821" s="6"/>
    </row>
    <row r="822" spans="1:3" x14ac:dyDescent="0.3">
      <c r="A822"/>
      <c r="B822"/>
      <c r="C822" s="6"/>
    </row>
    <row r="823" spans="1:3" x14ac:dyDescent="0.3">
      <c r="A823"/>
      <c r="B823"/>
      <c r="C823" s="6"/>
    </row>
    <row r="824" spans="1:3" x14ac:dyDescent="0.3">
      <c r="A824"/>
      <c r="B824"/>
      <c r="C824" s="6"/>
    </row>
    <row r="825" spans="1:3" x14ac:dyDescent="0.3">
      <c r="A825"/>
      <c r="B825"/>
      <c r="C825" s="6"/>
    </row>
    <row r="826" spans="1:3" x14ac:dyDescent="0.3">
      <c r="A826"/>
      <c r="B826"/>
      <c r="C826" s="6"/>
    </row>
    <row r="827" spans="1:3" x14ac:dyDescent="0.3">
      <c r="A827"/>
      <c r="B827"/>
      <c r="C827" s="6"/>
    </row>
    <row r="828" spans="1:3" x14ac:dyDescent="0.3">
      <c r="A828"/>
      <c r="B828"/>
      <c r="C828" s="6"/>
    </row>
    <row r="829" spans="1:3" x14ac:dyDescent="0.3">
      <c r="A829"/>
      <c r="B829"/>
      <c r="C829" s="6"/>
    </row>
    <row r="830" spans="1:3" x14ac:dyDescent="0.3">
      <c r="A830"/>
      <c r="B830"/>
      <c r="C830" s="6"/>
    </row>
    <row r="831" spans="1:3" x14ac:dyDescent="0.3">
      <c r="A831"/>
      <c r="B831"/>
      <c r="C831" s="6"/>
    </row>
    <row r="832" spans="1:3" x14ac:dyDescent="0.3">
      <c r="A832"/>
      <c r="B832"/>
      <c r="C832" s="6"/>
    </row>
    <row r="833" spans="1:3" x14ac:dyDescent="0.3">
      <c r="A833"/>
      <c r="B833"/>
      <c r="C833" s="6"/>
    </row>
    <row r="834" spans="1:3" x14ac:dyDescent="0.3">
      <c r="A834"/>
      <c r="B834"/>
      <c r="C834" s="6"/>
    </row>
    <row r="835" spans="1:3" x14ac:dyDescent="0.3">
      <c r="A835"/>
      <c r="B835"/>
      <c r="C835" s="6"/>
    </row>
    <row r="836" spans="1:3" x14ac:dyDescent="0.3">
      <c r="A836"/>
      <c r="B836"/>
      <c r="C836" s="6"/>
    </row>
    <row r="837" spans="1:3" x14ac:dyDescent="0.3">
      <c r="A837"/>
      <c r="B837"/>
      <c r="C837" s="6"/>
    </row>
    <row r="838" spans="1:3" x14ac:dyDescent="0.3">
      <c r="A838"/>
      <c r="B838"/>
      <c r="C838" s="6"/>
    </row>
    <row r="839" spans="1:3" x14ac:dyDescent="0.3">
      <c r="A839"/>
      <c r="B839"/>
      <c r="C839" s="6"/>
    </row>
    <row r="840" spans="1:3" x14ac:dyDescent="0.3">
      <c r="A840"/>
      <c r="B840"/>
      <c r="C840" s="6"/>
    </row>
    <row r="841" spans="1:3" x14ac:dyDescent="0.3">
      <c r="A841"/>
      <c r="B841"/>
      <c r="C841" s="6"/>
    </row>
    <row r="842" spans="1:3" x14ac:dyDescent="0.3">
      <c r="A842"/>
      <c r="B842"/>
      <c r="C842" s="6"/>
    </row>
    <row r="843" spans="1:3" x14ac:dyDescent="0.3">
      <c r="A843"/>
      <c r="B843"/>
      <c r="C843" s="6"/>
    </row>
    <row r="844" spans="1:3" x14ac:dyDescent="0.3">
      <c r="A844"/>
      <c r="B844"/>
      <c r="C844" s="6"/>
    </row>
    <row r="845" spans="1:3" x14ac:dyDescent="0.3">
      <c r="A845"/>
      <c r="B845"/>
      <c r="C845" s="6"/>
    </row>
    <row r="846" spans="1:3" x14ac:dyDescent="0.3">
      <c r="A846"/>
      <c r="B846"/>
      <c r="C846" s="6"/>
    </row>
    <row r="847" spans="1:3" x14ac:dyDescent="0.3">
      <c r="A847"/>
      <c r="B847"/>
      <c r="C847" s="6"/>
    </row>
    <row r="848" spans="1:3" x14ac:dyDescent="0.3">
      <c r="A848"/>
      <c r="B848"/>
      <c r="C848" s="6"/>
    </row>
    <row r="849" spans="1:3" x14ac:dyDescent="0.3">
      <c r="A849"/>
      <c r="B849"/>
      <c r="C849" s="6"/>
    </row>
    <row r="850" spans="1:3" x14ac:dyDescent="0.3">
      <c r="A850"/>
      <c r="B850"/>
      <c r="C850" s="6"/>
    </row>
    <row r="851" spans="1:3" x14ac:dyDescent="0.3">
      <c r="A851"/>
      <c r="B851"/>
      <c r="C851" s="6"/>
    </row>
    <row r="852" spans="1:3" x14ac:dyDescent="0.3">
      <c r="A852"/>
      <c r="B852"/>
      <c r="C852" s="6"/>
    </row>
    <row r="853" spans="1:3" x14ac:dyDescent="0.3">
      <c r="A853"/>
      <c r="B853"/>
      <c r="C853" s="6"/>
    </row>
    <row r="854" spans="1:3" x14ac:dyDescent="0.3">
      <c r="A854"/>
      <c r="B854"/>
      <c r="C854" s="6"/>
    </row>
    <row r="855" spans="1:3" x14ac:dyDescent="0.3">
      <c r="A855"/>
      <c r="B855"/>
      <c r="C855" s="6"/>
    </row>
    <row r="856" spans="1:3" x14ac:dyDescent="0.3">
      <c r="A856"/>
      <c r="B856"/>
      <c r="C856" s="6"/>
    </row>
    <row r="857" spans="1:3" x14ac:dyDescent="0.3">
      <c r="A857"/>
      <c r="B857"/>
      <c r="C857" s="6"/>
    </row>
    <row r="858" spans="1:3" x14ac:dyDescent="0.3">
      <c r="A858"/>
      <c r="B858"/>
      <c r="C858" s="6"/>
    </row>
    <row r="859" spans="1:3" x14ac:dyDescent="0.3">
      <c r="A859"/>
      <c r="B859"/>
      <c r="C859" s="6"/>
    </row>
    <row r="860" spans="1:3" x14ac:dyDescent="0.3">
      <c r="A860"/>
      <c r="B860"/>
      <c r="C860" s="6"/>
    </row>
    <row r="861" spans="1:3" x14ac:dyDescent="0.3">
      <c r="A861"/>
      <c r="B861"/>
      <c r="C861" s="6"/>
    </row>
    <row r="862" spans="1:3" x14ac:dyDescent="0.3">
      <c r="A862"/>
      <c r="B862"/>
      <c r="C862" s="6"/>
    </row>
    <row r="863" spans="1:3" x14ac:dyDescent="0.3">
      <c r="A863"/>
      <c r="B863"/>
      <c r="C863" s="6"/>
    </row>
    <row r="864" spans="1:3" x14ac:dyDescent="0.3">
      <c r="A864"/>
      <c r="B864"/>
      <c r="C864" s="6"/>
    </row>
    <row r="865" spans="1:3" x14ac:dyDescent="0.3">
      <c r="A865"/>
      <c r="B865"/>
      <c r="C865" s="6"/>
    </row>
    <row r="866" spans="1:3" x14ac:dyDescent="0.3">
      <c r="A866"/>
      <c r="B866"/>
      <c r="C866" s="6"/>
    </row>
    <row r="867" spans="1:3" x14ac:dyDescent="0.3">
      <c r="A867"/>
      <c r="B867"/>
      <c r="C867" s="6"/>
    </row>
    <row r="868" spans="1:3" x14ac:dyDescent="0.3">
      <c r="A868"/>
      <c r="B868"/>
      <c r="C868" s="6"/>
    </row>
    <row r="869" spans="1:3" x14ac:dyDescent="0.3">
      <c r="A869"/>
      <c r="B869"/>
      <c r="C869" s="6"/>
    </row>
    <row r="870" spans="1:3" x14ac:dyDescent="0.3">
      <c r="A870"/>
      <c r="B870"/>
      <c r="C870" s="6"/>
    </row>
    <row r="871" spans="1:3" x14ac:dyDescent="0.3">
      <c r="A871"/>
      <c r="B871"/>
      <c r="C871" s="6"/>
    </row>
    <row r="872" spans="1:3" x14ac:dyDescent="0.3">
      <c r="A872"/>
      <c r="B872"/>
      <c r="C872" s="6"/>
    </row>
    <row r="873" spans="1:3" x14ac:dyDescent="0.3">
      <c r="A873"/>
      <c r="B873"/>
      <c r="C873" s="6"/>
    </row>
    <row r="874" spans="1:3" x14ac:dyDescent="0.3">
      <c r="A874"/>
      <c r="B874"/>
      <c r="C874" s="6"/>
    </row>
    <row r="875" spans="1:3" x14ac:dyDescent="0.3">
      <c r="A875"/>
      <c r="B875"/>
      <c r="C875" s="6"/>
    </row>
    <row r="876" spans="1:3" x14ac:dyDescent="0.3">
      <c r="A876"/>
      <c r="B876"/>
      <c r="C876" s="6"/>
    </row>
    <row r="877" spans="1:3" x14ac:dyDescent="0.3">
      <c r="A877"/>
      <c r="B877"/>
      <c r="C877" s="6"/>
    </row>
    <row r="878" spans="1:3" x14ac:dyDescent="0.3">
      <c r="A878"/>
      <c r="B878"/>
      <c r="C878" s="6"/>
    </row>
    <row r="879" spans="1:3" x14ac:dyDescent="0.3">
      <c r="A879"/>
      <c r="B879"/>
      <c r="C879" s="6"/>
    </row>
    <row r="880" spans="1:3" x14ac:dyDescent="0.3">
      <c r="A880"/>
      <c r="B880"/>
      <c r="C880" s="6"/>
    </row>
    <row r="881" spans="1:3" x14ac:dyDescent="0.3">
      <c r="A881"/>
      <c r="B881"/>
      <c r="C881" s="6"/>
    </row>
    <row r="882" spans="1:3" x14ac:dyDescent="0.3">
      <c r="A882"/>
      <c r="B882"/>
      <c r="C882" s="6"/>
    </row>
    <row r="883" spans="1:3" x14ac:dyDescent="0.3">
      <c r="A883"/>
      <c r="B883"/>
      <c r="C883" s="6"/>
    </row>
    <row r="884" spans="1:3" x14ac:dyDescent="0.3">
      <c r="A884"/>
      <c r="B884"/>
      <c r="C884" s="6"/>
    </row>
    <row r="885" spans="1:3" x14ac:dyDescent="0.3">
      <c r="A885"/>
      <c r="B885"/>
      <c r="C885" s="6"/>
    </row>
    <row r="886" spans="1:3" x14ac:dyDescent="0.3">
      <c r="A886"/>
      <c r="B886"/>
      <c r="C886" s="6"/>
    </row>
    <row r="887" spans="1:3" x14ac:dyDescent="0.3">
      <c r="A887"/>
      <c r="B887"/>
      <c r="C887" s="6"/>
    </row>
    <row r="888" spans="1:3" x14ac:dyDescent="0.3">
      <c r="A888"/>
      <c r="B888"/>
      <c r="C888" s="6"/>
    </row>
    <row r="889" spans="1:3" x14ac:dyDescent="0.3">
      <c r="A889"/>
      <c r="B889"/>
      <c r="C889" s="6"/>
    </row>
    <row r="890" spans="1:3" x14ac:dyDescent="0.3">
      <c r="A890"/>
      <c r="B890"/>
      <c r="C890" s="6"/>
    </row>
    <row r="891" spans="1:3" x14ac:dyDescent="0.3">
      <c r="A891"/>
      <c r="B891"/>
      <c r="C891" s="6"/>
    </row>
    <row r="892" spans="1:3" x14ac:dyDescent="0.3">
      <c r="A892"/>
      <c r="B892"/>
      <c r="C892" s="6"/>
    </row>
    <row r="893" spans="1:3" x14ac:dyDescent="0.3">
      <c r="A893"/>
      <c r="B893"/>
      <c r="C893" s="6"/>
    </row>
    <row r="894" spans="1:3" x14ac:dyDescent="0.3">
      <c r="A894"/>
      <c r="B894"/>
      <c r="C894" s="6"/>
    </row>
    <row r="895" spans="1:3" x14ac:dyDescent="0.3">
      <c r="A895"/>
      <c r="B895"/>
      <c r="C895" s="6"/>
    </row>
    <row r="896" spans="1:3" x14ac:dyDescent="0.3">
      <c r="A896"/>
      <c r="B896"/>
      <c r="C896" s="6"/>
    </row>
    <row r="897" spans="1:3" x14ac:dyDescent="0.3">
      <c r="A897"/>
      <c r="B897"/>
      <c r="C897" s="6"/>
    </row>
    <row r="898" spans="1:3" x14ac:dyDescent="0.3">
      <c r="A898"/>
      <c r="B898"/>
      <c r="C898" s="6"/>
    </row>
    <row r="899" spans="1:3" x14ac:dyDescent="0.3">
      <c r="A899"/>
      <c r="B899"/>
      <c r="C899" s="6"/>
    </row>
    <row r="900" spans="1:3" x14ac:dyDescent="0.3">
      <c r="A900"/>
      <c r="B900"/>
      <c r="C900" s="6"/>
    </row>
    <row r="901" spans="1:3" x14ac:dyDescent="0.3">
      <c r="A901"/>
      <c r="B901"/>
      <c r="C901" s="6"/>
    </row>
    <row r="902" spans="1:3" x14ac:dyDescent="0.3">
      <c r="A902"/>
      <c r="B902"/>
      <c r="C902" s="6"/>
    </row>
    <row r="903" spans="1:3" x14ac:dyDescent="0.3">
      <c r="A903"/>
      <c r="B903"/>
      <c r="C903" s="6"/>
    </row>
    <row r="904" spans="1:3" x14ac:dyDescent="0.3">
      <c r="A904"/>
      <c r="B904"/>
      <c r="C904" s="6"/>
    </row>
    <row r="905" spans="1:3" x14ac:dyDescent="0.3">
      <c r="A905"/>
      <c r="B905"/>
      <c r="C905" s="6"/>
    </row>
    <row r="906" spans="1:3" x14ac:dyDescent="0.3">
      <c r="A906"/>
      <c r="B906"/>
      <c r="C906" s="6"/>
    </row>
    <row r="907" spans="1:3" x14ac:dyDescent="0.3">
      <c r="A907"/>
      <c r="B907"/>
      <c r="C907" s="6"/>
    </row>
    <row r="908" spans="1:3" x14ac:dyDescent="0.3">
      <c r="A908"/>
      <c r="B908"/>
      <c r="C908" s="6"/>
    </row>
    <row r="909" spans="1:3" x14ac:dyDescent="0.3">
      <c r="A909"/>
      <c r="B909"/>
      <c r="C909" s="6"/>
    </row>
    <row r="910" spans="1:3" x14ac:dyDescent="0.3">
      <c r="A910"/>
      <c r="B910"/>
      <c r="C910" s="6"/>
    </row>
    <row r="911" spans="1:3" x14ac:dyDescent="0.3">
      <c r="A911"/>
      <c r="B911"/>
      <c r="C911" s="6"/>
    </row>
    <row r="912" spans="1:3" x14ac:dyDescent="0.3">
      <c r="A912"/>
      <c r="B912"/>
      <c r="C912" s="6"/>
    </row>
    <row r="913" spans="1:3" x14ac:dyDescent="0.3">
      <c r="A913"/>
      <c r="B913"/>
      <c r="C913" s="6"/>
    </row>
    <row r="914" spans="1:3" x14ac:dyDescent="0.3">
      <c r="A914"/>
      <c r="B914"/>
      <c r="C914" s="6"/>
    </row>
    <row r="915" spans="1:3" x14ac:dyDescent="0.3">
      <c r="A915"/>
      <c r="B915"/>
      <c r="C915" s="6"/>
    </row>
    <row r="916" spans="1:3" x14ac:dyDescent="0.3">
      <c r="A916"/>
      <c r="B916"/>
      <c r="C916" s="6"/>
    </row>
    <row r="917" spans="1:3" x14ac:dyDescent="0.3">
      <c r="A917"/>
      <c r="B917"/>
      <c r="C917" s="6"/>
    </row>
    <row r="918" spans="1:3" x14ac:dyDescent="0.3">
      <c r="A918"/>
      <c r="B918"/>
      <c r="C918" s="6"/>
    </row>
    <row r="919" spans="1:3" x14ac:dyDescent="0.3">
      <c r="A919"/>
      <c r="B919"/>
      <c r="C919" s="6"/>
    </row>
    <row r="920" spans="1:3" x14ac:dyDescent="0.3">
      <c r="A920"/>
      <c r="B920"/>
      <c r="C920" s="6"/>
    </row>
    <row r="921" spans="1:3" x14ac:dyDescent="0.3">
      <c r="A921"/>
      <c r="B921"/>
      <c r="C921" s="6"/>
    </row>
    <row r="922" spans="1:3" x14ac:dyDescent="0.3">
      <c r="A922"/>
      <c r="B922"/>
      <c r="C922" s="6"/>
    </row>
    <row r="923" spans="1:3" x14ac:dyDescent="0.3">
      <c r="A923"/>
      <c r="B923"/>
      <c r="C923" s="6"/>
    </row>
    <row r="924" spans="1:3" x14ac:dyDescent="0.3">
      <c r="A924"/>
      <c r="B924"/>
      <c r="C924" s="6"/>
    </row>
    <row r="925" spans="1:3" x14ac:dyDescent="0.3">
      <c r="A925"/>
      <c r="B925"/>
      <c r="C925" s="6"/>
    </row>
    <row r="926" spans="1:3" x14ac:dyDescent="0.3">
      <c r="A926"/>
      <c r="B926"/>
      <c r="C926" s="6"/>
    </row>
    <row r="927" spans="1:3" x14ac:dyDescent="0.3">
      <c r="A927"/>
      <c r="B927"/>
      <c r="C927" s="6"/>
    </row>
    <row r="928" spans="1:3" x14ac:dyDescent="0.3">
      <c r="A928"/>
      <c r="B928"/>
      <c r="C928" s="6"/>
    </row>
    <row r="929" spans="1:3" x14ac:dyDescent="0.3">
      <c r="A929"/>
      <c r="B929"/>
      <c r="C929" s="6"/>
    </row>
    <row r="930" spans="1:3" x14ac:dyDescent="0.3">
      <c r="A930"/>
      <c r="B930"/>
      <c r="C930" s="6"/>
    </row>
    <row r="931" spans="1:3" x14ac:dyDescent="0.3">
      <c r="A931"/>
      <c r="B931"/>
      <c r="C931" s="6"/>
    </row>
    <row r="932" spans="1:3" x14ac:dyDescent="0.3">
      <c r="A932"/>
      <c r="B932"/>
      <c r="C932" s="6"/>
    </row>
    <row r="933" spans="1:3" x14ac:dyDescent="0.3">
      <c r="A933"/>
      <c r="B933"/>
      <c r="C933" s="6"/>
    </row>
    <row r="934" spans="1:3" x14ac:dyDescent="0.3">
      <c r="A934"/>
      <c r="B934"/>
      <c r="C934" s="6"/>
    </row>
    <row r="935" spans="1:3" x14ac:dyDescent="0.3">
      <c r="A935"/>
      <c r="B935"/>
      <c r="C935" s="6"/>
    </row>
    <row r="936" spans="1:3" x14ac:dyDescent="0.3">
      <c r="A936"/>
      <c r="B936"/>
      <c r="C936" s="6"/>
    </row>
    <row r="937" spans="1:3" x14ac:dyDescent="0.3">
      <c r="A937"/>
      <c r="B937"/>
      <c r="C937" s="6"/>
    </row>
    <row r="938" spans="1:3" x14ac:dyDescent="0.3">
      <c r="A938"/>
      <c r="B938"/>
      <c r="C938" s="6"/>
    </row>
    <row r="939" spans="1:3" x14ac:dyDescent="0.3">
      <c r="A939"/>
      <c r="B939"/>
      <c r="C939" s="6"/>
    </row>
    <row r="940" spans="1:3" x14ac:dyDescent="0.3">
      <c r="A940"/>
      <c r="B940"/>
      <c r="C940" s="6"/>
    </row>
    <row r="941" spans="1:3" x14ac:dyDescent="0.3">
      <c r="A941"/>
      <c r="B941"/>
      <c r="C941" s="6"/>
    </row>
    <row r="942" spans="1:3" x14ac:dyDescent="0.3">
      <c r="A942"/>
      <c r="B942"/>
      <c r="C942" s="6"/>
    </row>
    <row r="943" spans="1:3" x14ac:dyDescent="0.3">
      <c r="A943"/>
      <c r="B943"/>
      <c r="C943" s="6"/>
    </row>
    <row r="944" spans="1:3" x14ac:dyDescent="0.3">
      <c r="A944"/>
      <c r="B944"/>
      <c r="C944" s="6"/>
    </row>
    <row r="945" spans="1:3" x14ac:dyDescent="0.3">
      <c r="A945"/>
      <c r="B945"/>
      <c r="C945" s="6"/>
    </row>
    <row r="946" spans="1:3" x14ac:dyDescent="0.3">
      <c r="A946"/>
      <c r="B946"/>
      <c r="C946" s="6"/>
    </row>
    <row r="947" spans="1:3" x14ac:dyDescent="0.3">
      <c r="A947"/>
      <c r="B947"/>
      <c r="C947" s="6"/>
    </row>
    <row r="948" spans="1:3" x14ac:dyDescent="0.3">
      <c r="A948"/>
      <c r="B948"/>
      <c r="C948" s="6"/>
    </row>
    <row r="949" spans="1:3" x14ac:dyDescent="0.3">
      <c r="A949"/>
      <c r="B949"/>
      <c r="C949" s="6"/>
    </row>
    <row r="950" spans="1:3" x14ac:dyDescent="0.3">
      <c r="A950"/>
      <c r="B950"/>
      <c r="C950" s="6"/>
    </row>
    <row r="951" spans="1:3" x14ac:dyDescent="0.3">
      <c r="A951"/>
      <c r="B951"/>
      <c r="C951" s="6"/>
    </row>
    <row r="952" spans="1:3" x14ac:dyDescent="0.3">
      <c r="A952"/>
      <c r="B952"/>
      <c r="C952" s="6"/>
    </row>
    <row r="953" spans="1:3" x14ac:dyDescent="0.3">
      <c r="A953"/>
      <c r="B953"/>
      <c r="C953" s="6"/>
    </row>
    <row r="954" spans="1:3" x14ac:dyDescent="0.3">
      <c r="A954"/>
      <c r="B954"/>
      <c r="C954" s="6"/>
    </row>
    <row r="955" spans="1:3" x14ac:dyDescent="0.3">
      <c r="A955"/>
      <c r="B955"/>
      <c r="C955" s="6"/>
    </row>
    <row r="956" spans="1:3" x14ac:dyDescent="0.3">
      <c r="A956"/>
      <c r="B956"/>
      <c r="C956" s="6"/>
    </row>
    <row r="957" spans="1:3" x14ac:dyDescent="0.3">
      <c r="A957"/>
      <c r="B957"/>
      <c r="C957" s="6"/>
    </row>
    <row r="958" spans="1:3" x14ac:dyDescent="0.3">
      <c r="A958"/>
      <c r="B958"/>
      <c r="C958" s="6"/>
    </row>
    <row r="959" spans="1:3" x14ac:dyDescent="0.3">
      <c r="A959"/>
      <c r="B959"/>
      <c r="C959" s="6"/>
    </row>
    <row r="960" spans="1:3" x14ac:dyDescent="0.3">
      <c r="A960"/>
      <c r="B960"/>
      <c r="C960" s="6"/>
    </row>
    <row r="961" spans="1:3" x14ac:dyDescent="0.3">
      <c r="A961"/>
      <c r="B961"/>
      <c r="C961" s="6"/>
    </row>
    <row r="962" spans="1:3" x14ac:dyDescent="0.3">
      <c r="A962"/>
      <c r="B962"/>
      <c r="C962" s="6"/>
    </row>
    <row r="963" spans="1:3" x14ac:dyDescent="0.3">
      <c r="A963"/>
      <c r="B963"/>
      <c r="C963" s="6"/>
    </row>
    <row r="964" spans="1:3" x14ac:dyDescent="0.3">
      <c r="A964"/>
      <c r="B964"/>
      <c r="C964" s="6"/>
    </row>
    <row r="965" spans="1:3" x14ac:dyDescent="0.3">
      <c r="A965"/>
      <c r="B965"/>
      <c r="C965" s="6"/>
    </row>
    <row r="966" spans="1:3" x14ac:dyDescent="0.3">
      <c r="A966"/>
      <c r="B966"/>
      <c r="C966" s="6"/>
    </row>
    <row r="967" spans="1:3" x14ac:dyDescent="0.3">
      <c r="A967"/>
      <c r="B967"/>
      <c r="C967" s="6"/>
    </row>
    <row r="968" spans="1:3" x14ac:dyDescent="0.3">
      <c r="A968"/>
      <c r="B968"/>
      <c r="C968" s="6"/>
    </row>
    <row r="969" spans="1:3" x14ac:dyDescent="0.3">
      <c r="A969"/>
      <c r="B969"/>
      <c r="C969" s="6"/>
    </row>
    <row r="970" spans="1:3" x14ac:dyDescent="0.3">
      <c r="A970"/>
      <c r="B970"/>
      <c r="C970" s="6"/>
    </row>
    <row r="971" spans="1:3" x14ac:dyDescent="0.3">
      <c r="A971"/>
      <c r="B971"/>
      <c r="C971" s="6"/>
    </row>
    <row r="972" spans="1:3" x14ac:dyDescent="0.3">
      <c r="A972"/>
      <c r="B972"/>
      <c r="C972" s="6"/>
    </row>
    <row r="973" spans="1:3" x14ac:dyDescent="0.3">
      <c r="A973"/>
      <c r="B973"/>
      <c r="C973" s="6"/>
    </row>
    <row r="974" spans="1:3" x14ac:dyDescent="0.3">
      <c r="A974"/>
      <c r="B974"/>
      <c r="C974" s="6"/>
    </row>
    <row r="975" spans="1:3" x14ac:dyDescent="0.3">
      <c r="A975"/>
      <c r="B975"/>
      <c r="C975" s="6"/>
    </row>
    <row r="976" spans="1:3" x14ac:dyDescent="0.3">
      <c r="A976"/>
      <c r="B976"/>
      <c r="C976" s="6"/>
    </row>
    <row r="977" spans="1:3" x14ac:dyDescent="0.3">
      <c r="A977"/>
      <c r="B977"/>
      <c r="C977" s="6"/>
    </row>
    <row r="978" spans="1:3" x14ac:dyDescent="0.3">
      <c r="A978"/>
      <c r="B978"/>
      <c r="C978" s="6"/>
    </row>
    <row r="979" spans="1:3" x14ac:dyDescent="0.3">
      <c r="A979"/>
      <c r="B979"/>
      <c r="C979" s="6"/>
    </row>
    <row r="980" spans="1:3" x14ac:dyDescent="0.3">
      <c r="A980"/>
      <c r="B980"/>
      <c r="C980" s="6"/>
    </row>
    <row r="981" spans="1:3" x14ac:dyDescent="0.3">
      <c r="A981"/>
      <c r="B981"/>
      <c r="C981" s="6"/>
    </row>
    <row r="982" spans="1:3" x14ac:dyDescent="0.3">
      <c r="A982"/>
      <c r="B982"/>
      <c r="C982" s="6"/>
    </row>
    <row r="983" spans="1:3" x14ac:dyDescent="0.3">
      <c r="A983"/>
      <c r="B983"/>
      <c r="C983" s="6"/>
    </row>
    <row r="984" spans="1:3" x14ac:dyDescent="0.3">
      <c r="A984"/>
      <c r="B984"/>
      <c r="C984" s="6"/>
    </row>
    <row r="985" spans="1:3" x14ac:dyDescent="0.3">
      <c r="A985"/>
      <c r="B985"/>
      <c r="C985" s="6"/>
    </row>
    <row r="986" spans="1:3" x14ac:dyDescent="0.3">
      <c r="A986"/>
      <c r="B986"/>
      <c r="C986" s="6"/>
    </row>
    <row r="987" spans="1:3" x14ac:dyDescent="0.3">
      <c r="A987"/>
      <c r="B987"/>
      <c r="C987" s="6"/>
    </row>
    <row r="988" spans="1:3" x14ac:dyDescent="0.3">
      <c r="A988"/>
      <c r="B988"/>
      <c r="C988" s="6"/>
    </row>
    <row r="989" spans="1:3" x14ac:dyDescent="0.3">
      <c r="A989"/>
      <c r="B989"/>
      <c r="C989" s="6"/>
    </row>
    <row r="990" spans="1:3" x14ac:dyDescent="0.3">
      <c r="A990"/>
      <c r="B990"/>
      <c r="C990" s="6"/>
    </row>
    <row r="991" spans="1:3" x14ac:dyDescent="0.3">
      <c r="A991"/>
      <c r="B991"/>
      <c r="C991" s="6"/>
    </row>
    <row r="992" spans="1:3" x14ac:dyDescent="0.3">
      <c r="A992"/>
      <c r="B992"/>
      <c r="C992" s="6"/>
    </row>
    <row r="993" spans="1:3" x14ac:dyDescent="0.3">
      <c r="A993"/>
      <c r="B993"/>
      <c r="C993" s="6"/>
    </row>
    <row r="994" spans="1:3" x14ac:dyDescent="0.3">
      <c r="A994"/>
      <c r="B994"/>
      <c r="C994" s="6"/>
    </row>
    <row r="995" spans="1:3" x14ac:dyDescent="0.3">
      <c r="A995"/>
      <c r="B995"/>
      <c r="C995" s="6"/>
    </row>
    <row r="996" spans="1:3" x14ac:dyDescent="0.3">
      <c r="A996"/>
      <c r="B996"/>
      <c r="C996" s="6"/>
    </row>
    <row r="997" spans="1:3" x14ac:dyDescent="0.3">
      <c r="A997"/>
      <c r="B997"/>
      <c r="C997" s="6"/>
    </row>
    <row r="998" spans="1:3" x14ac:dyDescent="0.3">
      <c r="A998"/>
      <c r="B998"/>
      <c r="C998" s="6"/>
    </row>
    <row r="999" spans="1:3" x14ac:dyDescent="0.3">
      <c r="A999"/>
      <c r="B999"/>
      <c r="C999" s="6"/>
    </row>
    <row r="1000" spans="1:3" x14ac:dyDescent="0.3">
      <c r="A1000"/>
      <c r="B1000"/>
      <c r="C1000" s="6"/>
    </row>
    <row r="1001" spans="1:3" x14ac:dyDescent="0.3">
      <c r="A1001"/>
      <c r="B1001"/>
      <c r="C1001" s="6"/>
    </row>
    <row r="1002" spans="1:3" x14ac:dyDescent="0.3">
      <c r="A1002"/>
      <c r="B1002"/>
      <c r="C1002" s="6"/>
    </row>
    <row r="1003" spans="1:3" x14ac:dyDescent="0.3">
      <c r="A1003"/>
      <c r="B1003"/>
      <c r="C1003" s="6"/>
    </row>
    <row r="1004" spans="1:3" x14ac:dyDescent="0.3">
      <c r="A1004"/>
      <c r="B1004"/>
      <c r="C1004" s="6"/>
    </row>
    <row r="1005" spans="1:3" x14ac:dyDescent="0.3">
      <c r="A1005"/>
      <c r="B1005"/>
      <c r="C1005" s="6"/>
    </row>
    <row r="1006" spans="1:3" x14ac:dyDescent="0.3">
      <c r="A1006"/>
      <c r="B1006"/>
      <c r="C1006" s="6"/>
    </row>
    <row r="1007" spans="1:3" x14ac:dyDescent="0.3">
      <c r="A1007"/>
      <c r="B1007"/>
      <c r="C1007" s="6"/>
    </row>
    <row r="1008" spans="1:3" x14ac:dyDescent="0.3">
      <c r="A1008"/>
      <c r="B1008"/>
      <c r="C1008" s="6"/>
    </row>
    <row r="1009" spans="1:3" x14ac:dyDescent="0.3">
      <c r="A1009"/>
      <c r="B1009"/>
      <c r="C1009" s="6"/>
    </row>
    <row r="1010" spans="1:3" x14ac:dyDescent="0.3">
      <c r="A1010"/>
      <c r="B1010"/>
      <c r="C1010" s="6"/>
    </row>
    <row r="1011" spans="1:3" x14ac:dyDescent="0.3">
      <c r="A1011"/>
      <c r="B1011"/>
      <c r="C1011" s="6"/>
    </row>
    <row r="1012" spans="1:3" x14ac:dyDescent="0.3">
      <c r="A1012"/>
      <c r="B1012"/>
      <c r="C1012" s="6"/>
    </row>
    <row r="1013" spans="1:3" x14ac:dyDescent="0.3">
      <c r="A1013"/>
      <c r="B1013"/>
      <c r="C1013" s="6"/>
    </row>
    <row r="1014" spans="1:3" x14ac:dyDescent="0.3">
      <c r="A1014"/>
      <c r="B1014"/>
      <c r="C1014" s="6"/>
    </row>
    <row r="1015" spans="1:3" x14ac:dyDescent="0.3">
      <c r="A1015"/>
      <c r="B1015"/>
      <c r="C1015" s="6"/>
    </row>
    <row r="1016" spans="1:3" x14ac:dyDescent="0.3">
      <c r="A1016"/>
      <c r="B1016"/>
      <c r="C1016" s="6"/>
    </row>
    <row r="1017" spans="1:3" x14ac:dyDescent="0.3">
      <c r="A1017"/>
      <c r="B1017"/>
      <c r="C1017" s="6"/>
    </row>
    <row r="1018" spans="1:3" x14ac:dyDescent="0.3">
      <c r="A1018"/>
      <c r="B1018"/>
      <c r="C1018" s="6"/>
    </row>
    <row r="1019" spans="1:3" x14ac:dyDescent="0.3">
      <c r="A1019"/>
      <c r="B1019"/>
      <c r="C1019" s="6"/>
    </row>
    <row r="1020" spans="1:3" x14ac:dyDescent="0.3">
      <c r="A1020"/>
      <c r="B1020"/>
      <c r="C1020" s="6"/>
    </row>
    <row r="1021" spans="1:3" x14ac:dyDescent="0.3">
      <c r="A1021"/>
      <c r="B1021"/>
      <c r="C1021" s="6"/>
    </row>
    <row r="1022" spans="1:3" x14ac:dyDescent="0.3">
      <c r="A1022"/>
      <c r="B1022"/>
      <c r="C1022" s="6"/>
    </row>
    <row r="1023" spans="1:3" x14ac:dyDescent="0.3">
      <c r="A1023"/>
      <c r="B1023"/>
      <c r="C1023" s="6"/>
    </row>
    <row r="1024" spans="1:3" x14ac:dyDescent="0.3">
      <c r="A1024"/>
      <c r="B1024"/>
      <c r="C1024" s="6"/>
    </row>
    <row r="1025" spans="1:3" x14ac:dyDescent="0.3">
      <c r="A1025"/>
      <c r="B1025"/>
      <c r="C1025" s="6"/>
    </row>
    <row r="1026" spans="1:3" x14ac:dyDescent="0.3">
      <c r="A1026"/>
      <c r="B1026"/>
      <c r="C1026" s="6"/>
    </row>
    <row r="1027" spans="1:3" x14ac:dyDescent="0.3">
      <c r="A1027"/>
      <c r="B1027"/>
      <c r="C1027" s="6"/>
    </row>
    <row r="1028" spans="1:3" x14ac:dyDescent="0.3">
      <c r="A1028"/>
      <c r="B1028"/>
      <c r="C1028" s="6"/>
    </row>
    <row r="1029" spans="1:3" x14ac:dyDescent="0.3">
      <c r="A1029"/>
      <c r="B1029"/>
      <c r="C1029" s="6"/>
    </row>
    <row r="1030" spans="1:3" x14ac:dyDescent="0.3">
      <c r="A1030"/>
      <c r="B1030"/>
      <c r="C1030" s="6"/>
    </row>
    <row r="1031" spans="1:3" x14ac:dyDescent="0.3">
      <c r="A1031"/>
      <c r="B1031"/>
      <c r="C1031" s="6"/>
    </row>
    <row r="1032" spans="1:3" x14ac:dyDescent="0.3">
      <c r="A1032"/>
      <c r="B1032"/>
      <c r="C1032" s="6"/>
    </row>
    <row r="1033" spans="1:3" x14ac:dyDescent="0.3">
      <c r="A1033"/>
      <c r="B1033"/>
      <c r="C1033" s="6"/>
    </row>
    <row r="1034" spans="1:3" x14ac:dyDescent="0.3">
      <c r="A1034"/>
      <c r="B1034"/>
      <c r="C1034" s="6"/>
    </row>
    <row r="1035" spans="1:3" x14ac:dyDescent="0.3">
      <c r="A1035"/>
      <c r="B1035"/>
      <c r="C1035" s="6"/>
    </row>
    <row r="1036" spans="1:3" x14ac:dyDescent="0.3">
      <c r="A1036"/>
      <c r="B1036"/>
      <c r="C1036" s="6"/>
    </row>
    <row r="1037" spans="1:3" x14ac:dyDescent="0.3">
      <c r="A1037"/>
      <c r="B1037"/>
      <c r="C1037" s="6"/>
    </row>
    <row r="1038" spans="1:3" x14ac:dyDescent="0.3">
      <c r="A1038"/>
      <c r="B1038"/>
      <c r="C1038" s="6"/>
    </row>
    <row r="1039" spans="1:3" x14ac:dyDescent="0.3">
      <c r="A1039"/>
      <c r="B1039"/>
      <c r="C1039" s="6"/>
    </row>
    <row r="1040" spans="1:3" x14ac:dyDescent="0.3">
      <c r="A1040"/>
      <c r="B1040"/>
      <c r="C1040" s="6"/>
    </row>
    <row r="1041" spans="1:3" x14ac:dyDescent="0.3">
      <c r="A1041"/>
      <c r="B1041"/>
      <c r="C1041" s="6"/>
    </row>
    <row r="1042" spans="1:3" x14ac:dyDescent="0.3">
      <c r="A1042"/>
      <c r="B1042"/>
      <c r="C1042" s="6"/>
    </row>
    <row r="1043" spans="1:3" x14ac:dyDescent="0.3">
      <c r="A1043"/>
      <c r="B1043"/>
      <c r="C1043" s="6"/>
    </row>
    <row r="1044" spans="1:3" x14ac:dyDescent="0.3">
      <c r="A1044"/>
      <c r="B1044"/>
      <c r="C1044" s="6"/>
    </row>
    <row r="1045" spans="1:3" x14ac:dyDescent="0.3">
      <c r="A1045"/>
      <c r="B1045"/>
      <c r="C1045" s="6"/>
    </row>
    <row r="1046" spans="1:3" x14ac:dyDescent="0.3">
      <c r="A1046"/>
      <c r="B1046"/>
      <c r="C1046" s="6"/>
    </row>
    <row r="1047" spans="1:3" x14ac:dyDescent="0.3">
      <c r="A1047"/>
      <c r="B1047"/>
      <c r="C1047" s="6"/>
    </row>
    <row r="1048" spans="1:3" x14ac:dyDescent="0.3">
      <c r="A1048"/>
      <c r="B1048"/>
      <c r="C1048" s="6"/>
    </row>
    <row r="1049" spans="1:3" x14ac:dyDescent="0.3">
      <c r="A1049"/>
      <c r="B1049"/>
      <c r="C1049" s="6"/>
    </row>
    <row r="1050" spans="1:3" x14ac:dyDescent="0.3">
      <c r="A1050"/>
      <c r="B1050"/>
      <c r="C1050" s="6"/>
    </row>
    <row r="1051" spans="1:3" x14ac:dyDescent="0.3">
      <c r="A1051"/>
      <c r="B1051"/>
      <c r="C1051" s="6"/>
    </row>
    <row r="1052" spans="1:3" x14ac:dyDescent="0.3">
      <c r="A1052"/>
      <c r="B1052"/>
      <c r="C1052" s="6"/>
    </row>
    <row r="1053" spans="1:3" x14ac:dyDescent="0.3">
      <c r="A1053"/>
      <c r="B1053"/>
      <c r="C1053" s="6"/>
    </row>
    <row r="1054" spans="1:3" x14ac:dyDescent="0.3">
      <c r="A1054"/>
      <c r="B1054"/>
      <c r="C1054" s="6"/>
    </row>
    <row r="1055" spans="1:3" x14ac:dyDescent="0.3">
      <c r="A1055"/>
      <c r="B1055"/>
      <c r="C1055" s="6"/>
    </row>
    <row r="1056" spans="1:3" x14ac:dyDescent="0.3">
      <c r="A1056"/>
      <c r="B1056"/>
      <c r="C1056" s="6"/>
    </row>
    <row r="1057" spans="1:3" x14ac:dyDescent="0.3">
      <c r="A1057"/>
      <c r="B1057"/>
      <c r="C1057" s="6"/>
    </row>
    <row r="1058" spans="1:3" x14ac:dyDescent="0.3">
      <c r="A1058"/>
      <c r="B1058"/>
      <c r="C1058" s="6"/>
    </row>
    <row r="1059" spans="1:3" x14ac:dyDescent="0.3">
      <c r="A1059"/>
      <c r="B1059"/>
      <c r="C1059" s="6"/>
    </row>
    <row r="1060" spans="1:3" x14ac:dyDescent="0.3">
      <c r="A1060"/>
      <c r="B1060"/>
      <c r="C1060" s="6"/>
    </row>
    <row r="1061" spans="1:3" x14ac:dyDescent="0.3">
      <c r="A1061"/>
      <c r="B1061"/>
      <c r="C1061" s="6"/>
    </row>
    <row r="1062" spans="1:3" x14ac:dyDescent="0.3">
      <c r="A1062"/>
      <c r="B1062"/>
      <c r="C1062" s="6"/>
    </row>
    <row r="1063" spans="1:3" x14ac:dyDescent="0.3">
      <c r="A1063"/>
      <c r="B1063"/>
      <c r="C1063" s="6"/>
    </row>
    <row r="1064" spans="1:3" x14ac:dyDescent="0.3">
      <c r="A1064"/>
      <c r="B1064"/>
      <c r="C1064" s="6"/>
    </row>
    <row r="1065" spans="1:3" x14ac:dyDescent="0.3">
      <c r="A1065"/>
      <c r="B1065"/>
      <c r="C1065" s="6"/>
    </row>
    <row r="1066" spans="1:3" x14ac:dyDescent="0.3">
      <c r="A1066"/>
      <c r="B1066"/>
      <c r="C1066" s="6"/>
    </row>
    <row r="1067" spans="1:3" x14ac:dyDescent="0.3">
      <c r="A1067"/>
      <c r="B1067"/>
      <c r="C1067" s="6"/>
    </row>
    <row r="1068" spans="1:3" x14ac:dyDescent="0.3">
      <c r="A1068"/>
      <c r="B1068"/>
      <c r="C1068" s="6"/>
    </row>
    <row r="1069" spans="1:3" x14ac:dyDescent="0.3">
      <c r="A1069"/>
      <c r="B1069"/>
      <c r="C1069" s="6"/>
    </row>
    <row r="1070" spans="1:3" x14ac:dyDescent="0.3">
      <c r="A1070"/>
      <c r="B1070"/>
      <c r="C1070" s="6"/>
    </row>
    <row r="1071" spans="1:3" x14ac:dyDescent="0.3">
      <c r="A1071"/>
      <c r="B1071"/>
      <c r="C1071" s="6"/>
    </row>
    <row r="1072" spans="1:3" x14ac:dyDescent="0.3">
      <c r="A1072"/>
      <c r="B1072"/>
      <c r="C1072" s="6"/>
    </row>
    <row r="1073" spans="1:3" x14ac:dyDescent="0.3">
      <c r="A1073"/>
      <c r="B1073"/>
      <c r="C1073" s="6"/>
    </row>
    <row r="1074" spans="1:3" x14ac:dyDescent="0.3">
      <c r="A1074"/>
      <c r="B1074"/>
      <c r="C1074" s="6"/>
    </row>
    <row r="1075" spans="1:3" x14ac:dyDescent="0.3">
      <c r="A1075"/>
      <c r="B1075"/>
      <c r="C1075" s="6"/>
    </row>
    <row r="1076" spans="1:3" x14ac:dyDescent="0.3">
      <c r="A1076"/>
      <c r="B1076"/>
      <c r="C1076" s="6"/>
    </row>
    <row r="1077" spans="1:3" x14ac:dyDescent="0.3">
      <c r="A1077"/>
      <c r="B1077"/>
      <c r="C1077" s="6"/>
    </row>
    <row r="1078" spans="1:3" x14ac:dyDescent="0.3">
      <c r="A1078"/>
      <c r="B1078"/>
      <c r="C1078" s="6"/>
    </row>
    <row r="1079" spans="1:3" x14ac:dyDescent="0.3">
      <c r="A1079"/>
      <c r="B1079"/>
      <c r="C1079" s="6"/>
    </row>
    <row r="1080" spans="1:3" x14ac:dyDescent="0.3">
      <c r="A1080"/>
      <c r="B1080"/>
      <c r="C1080" s="6"/>
    </row>
    <row r="1081" spans="1:3" x14ac:dyDescent="0.3">
      <c r="A1081"/>
      <c r="B1081"/>
      <c r="C1081" s="6"/>
    </row>
    <row r="1082" spans="1:3" x14ac:dyDescent="0.3">
      <c r="A1082"/>
      <c r="B1082"/>
      <c r="C1082" s="6"/>
    </row>
    <row r="1083" spans="1:3" x14ac:dyDescent="0.3">
      <c r="A1083"/>
      <c r="B1083"/>
      <c r="C1083" s="6"/>
    </row>
    <row r="1084" spans="1:3" x14ac:dyDescent="0.3">
      <c r="A1084"/>
      <c r="B1084"/>
      <c r="C1084" s="6"/>
    </row>
    <row r="1085" spans="1:3" x14ac:dyDescent="0.3">
      <c r="A1085"/>
      <c r="B1085"/>
      <c r="C1085" s="6"/>
    </row>
    <row r="1086" spans="1:3" x14ac:dyDescent="0.3">
      <c r="A1086"/>
      <c r="B1086"/>
      <c r="C1086" s="6"/>
    </row>
    <row r="1087" spans="1:3" x14ac:dyDescent="0.3">
      <c r="A1087"/>
      <c r="B1087"/>
      <c r="C1087" s="6"/>
    </row>
    <row r="1088" spans="1:3" x14ac:dyDescent="0.3">
      <c r="A1088"/>
      <c r="B1088"/>
      <c r="C1088" s="6"/>
    </row>
    <row r="1089" spans="1:3" x14ac:dyDescent="0.3">
      <c r="A1089"/>
      <c r="B1089"/>
      <c r="C1089" s="6"/>
    </row>
    <row r="1090" spans="1:3" x14ac:dyDescent="0.3">
      <c r="A1090"/>
      <c r="B1090"/>
      <c r="C1090" s="6"/>
    </row>
    <row r="1091" spans="1:3" x14ac:dyDescent="0.3">
      <c r="A1091"/>
      <c r="B1091"/>
      <c r="C1091" s="6"/>
    </row>
    <row r="1092" spans="1:3" x14ac:dyDescent="0.3">
      <c r="A1092"/>
      <c r="B1092"/>
      <c r="C1092" s="6"/>
    </row>
    <row r="1093" spans="1:3" x14ac:dyDescent="0.3">
      <c r="A1093"/>
      <c r="B1093"/>
      <c r="C1093" s="6"/>
    </row>
    <row r="1094" spans="1:3" x14ac:dyDescent="0.3">
      <c r="A1094"/>
      <c r="B1094"/>
      <c r="C1094" s="6"/>
    </row>
    <row r="1095" spans="1:3" x14ac:dyDescent="0.3">
      <c r="A1095"/>
      <c r="B1095"/>
      <c r="C1095" s="6"/>
    </row>
    <row r="1096" spans="1:3" x14ac:dyDescent="0.3">
      <c r="A1096"/>
      <c r="B1096"/>
      <c r="C1096" s="6"/>
    </row>
    <row r="1097" spans="1:3" x14ac:dyDescent="0.3">
      <c r="A1097"/>
      <c r="B1097"/>
      <c r="C1097" s="6"/>
    </row>
    <row r="1098" spans="1:3" x14ac:dyDescent="0.3">
      <c r="A1098"/>
      <c r="B1098"/>
      <c r="C1098" s="6"/>
    </row>
    <row r="1099" spans="1:3" x14ac:dyDescent="0.3">
      <c r="A1099"/>
      <c r="B1099"/>
      <c r="C1099" s="6"/>
    </row>
    <row r="1100" spans="1:3" x14ac:dyDescent="0.3">
      <c r="A1100"/>
      <c r="B1100"/>
      <c r="C1100" s="6"/>
    </row>
    <row r="1101" spans="1:3" x14ac:dyDescent="0.3">
      <c r="A1101"/>
      <c r="B1101"/>
      <c r="C1101" s="6"/>
    </row>
    <row r="1102" spans="1:3" x14ac:dyDescent="0.3">
      <c r="A1102"/>
      <c r="B1102"/>
      <c r="C1102" s="6"/>
    </row>
    <row r="1103" spans="1:3" x14ac:dyDescent="0.3">
      <c r="A1103"/>
      <c r="B1103"/>
      <c r="C1103" s="6"/>
    </row>
    <row r="1104" spans="1:3" x14ac:dyDescent="0.3">
      <c r="A1104"/>
      <c r="B1104"/>
      <c r="C1104" s="6"/>
    </row>
    <row r="1105" spans="1:3" x14ac:dyDescent="0.3">
      <c r="A1105"/>
      <c r="B1105"/>
      <c r="C1105" s="6"/>
    </row>
    <row r="1106" spans="1:3" x14ac:dyDescent="0.3">
      <c r="A1106"/>
      <c r="B1106"/>
      <c r="C1106" s="6"/>
    </row>
    <row r="1107" spans="1:3" x14ac:dyDescent="0.3">
      <c r="A1107"/>
      <c r="B1107"/>
      <c r="C1107" s="6"/>
    </row>
    <row r="1108" spans="1:3" x14ac:dyDescent="0.3">
      <c r="A1108"/>
      <c r="B1108"/>
      <c r="C1108" s="6"/>
    </row>
    <row r="1109" spans="1:3" x14ac:dyDescent="0.3">
      <c r="A1109"/>
      <c r="B1109"/>
      <c r="C1109" s="6"/>
    </row>
    <row r="1110" spans="1:3" x14ac:dyDescent="0.3">
      <c r="A1110"/>
      <c r="B1110"/>
      <c r="C1110" s="6"/>
    </row>
    <row r="1111" spans="1:3" x14ac:dyDescent="0.3">
      <c r="A1111"/>
      <c r="B1111"/>
      <c r="C1111" s="6"/>
    </row>
    <row r="1112" spans="1:3" x14ac:dyDescent="0.3">
      <c r="A1112"/>
      <c r="B1112"/>
      <c r="C1112" s="6"/>
    </row>
    <row r="1113" spans="1:3" x14ac:dyDescent="0.3">
      <c r="A1113"/>
      <c r="B1113"/>
      <c r="C1113" s="6"/>
    </row>
    <row r="1114" spans="1:3" x14ac:dyDescent="0.3">
      <c r="A1114"/>
      <c r="B1114"/>
      <c r="C1114" s="6"/>
    </row>
    <row r="1115" spans="1:3" x14ac:dyDescent="0.3">
      <c r="A1115"/>
      <c r="B1115"/>
      <c r="C1115" s="6"/>
    </row>
    <row r="1116" spans="1:3" x14ac:dyDescent="0.3">
      <c r="A1116"/>
      <c r="B1116"/>
      <c r="C1116" s="6"/>
    </row>
    <row r="1117" spans="1:3" x14ac:dyDescent="0.3">
      <c r="A1117"/>
      <c r="B1117"/>
      <c r="C1117" s="6"/>
    </row>
    <row r="1118" spans="1:3" x14ac:dyDescent="0.3">
      <c r="A1118"/>
      <c r="B1118"/>
      <c r="C1118" s="6"/>
    </row>
    <row r="1119" spans="1:3" x14ac:dyDescent="0.3">
      <c r="A1119"/>
      <c r="B1119"/>
      <c r="C1119" s="6"/>
    </row>
    <row r="1120" spans="1:3" x14ac:dyDescent="0.3">
      <c r="A1120"/>
      <c r="B1120"/>
      <c r="C1120" s="6"/>
    </row>
    <row r="1121" spans="1:3" x14ac:dyDescent="0.3">
      <c r="A1121"/>
      <c r="B1121"/>
      <c r="C1121" s="6"/>
    </row>
    <row r="1122" spans="1:3" x14ac:dyDescent="0.3">
      <c r="A1122"/>
      <c r="B1122"/>
      <c r="C1122" s="6"/>
    </row>
    <row r="1123" spans="1:3" x14ac:dyDescent="0.3">
      <c r="A1123"/>
      <c r="B1123"/>
      <c r="C1123" s="6"/>
    </row>
    <row r="1124" spans="1:3" x14ac:dyDescent="0.3">
      <c r="A1124"/>
      <c r="B1124"/>
      <c r="C1124" s="6"/>
    </row>
    <row r="1125" spans="1:3" x14ac:dyDescent="0.3">
      <c r="A1125"/>
      <c r="B1125"/>
      <c r="C1125" s="6"/>
    </row>
    <row r="1126" spans="1:3" x14ac:dyDescent="0.3">
      <c r="A1126"/>
      <c r="B1126"/>
      <c r="C1126" s="6"/>
    </row>
    <row r="1127" spans="1:3" x14ac:dyDescent="0.3">
      <c r="A1127"/>
      <c r="B1127"/>
      <c r="C1127" s="6"/>
    </row>
    <row r="1128" spans="1:3" x14ac:dyDescent="0.3">
      <c r="A1128"/>
      <c r="B1128"/>
      <c r="C1128" s="6"/>
    </row>
    <row r="1129" spans="1:3" x14ac:dyDescent="0.3">
      <c r="A1129"/>
      <c r="B1129"/>
      <c r="C1129" s="6"/>
    </row>
    <row r="1130" spans="1:3" x14ac:dyDescent="0.3">
      <c r="A1130"/>
      <c r="B1130"/>
      <c r="C1130" s="6"/>
    </row>
    <row r="1131" spans="1:3" x14ac:dyDescent="0.3">
      <c r="A1131"/>
      <c r="B1131"/>
      <c r="C1131" s="6"/>
    </row>
    <row r="1132" spans="1:3" x14ac:dyDescent="0.3">
      <c r="A1132"/>
      <c r="B1132"/>
      <c r="C1132" s="6"/>
    </row>
    <row r="1133" spans="1:3" x14ac:dyDescent="0.3">
      <c r="A1133"/>
      <c r="B1133"/>
      <c r="C1133" s="6"/>
    </row>
    <row r="1134" spans="1:3" x14ac:dyDescent="0.3">
      <c r="A1134"/>
      <c r="B1134"/>
      <c r="C1134" s="6"/>
    </row>
    <row r="1135" spans="1:3" x14ac:dyDescent="0.3">
      <c r="A1135"/>
      <c r="B1135"/>
      <c r="C1135" s="6"/>
    </row>
    <row r="1136" spans="1:3" x14ac:dyDescent="0.3">
      <c r="A1136"/>
      <c r="B1136"/>
      <c r="C1136" s="6"/>
    </row>
    <row r="1137" spans="1:3" x14ac:dyDescent="0.3">
      <c r="A1137"/>
      <c r="B1137"/>
      <c r="C1137" s="6"/>
    </row>
    <row r="1138" spans="1:3" x14ac:dyDescent="0.3">
      <c r="A1138"/>
      <c r="B1138"/>
      <c r="C1138" s="6"/>
    </row>
    <row r="1139" spans="1:3" x14ac:dyDescent="0.3">
      <c r="A1139"/>
      <c r="B1139"/>
      <c r="C1139" s="6"/>
    </row>
    <row r="1140" spans="1:3" x14ac:dyDescent="0.3">
      <c r="A1140"/>
      <c r="B1140"/>
      <c r="C1140" s="6"/>
    </row>
    <row r="1141" spans="1:3" x14ac:dyDescent="0.3">
      <c r="A1141"/>
      <c r="B1141"/>
      <c r="C1141" s="6"/>
    </row>
    <row r="1142" spans="1:3" x14ac:dyDescent="0.3">
      <c r="A1142"/>
      <c r="B1142"/>
      <c r="C1142" s="6"/>
    </row>
    <row r="1143" spans="1:3" x14ac:dyDescent="0.3">
      <c r="A1143"/>
      <c r="B1143"/>
      <c r="C1143" s="6"/>
    </row>
    <row r="1144" spans="1:3" x14ac:dyDescent="0.3">
      <c r="A1144"/>
      <c r="B1144"/>
      <c r="C1144" s="6"/>
    </row>
    <row r="1145" spans="1:3" x14ac:dyDescent="0.3">
      <c r="A1145"/>
      <c r="B1145"/>
      <c r="C1145" s="6"/>
    </row>
    <row r="1146" spans="1:3" x14ac:dyDescent="0.3">
      <c r="A1146"/>
      <c r="B1146"/>
      <c r="C1146" s="6"/>
    </row>
    <row r="1147" spans="1:3" x14ac:dyDescent="0.3">
      <c r="A1147"/>
      <c r="B1147"/>
      <c r="C1147" s="6"/>
    </row>
    <row r="1148" spans="1:3" x14ac:dyDescent="0.3">
      <c r="A1148"/>
      <c r="B1148"/>
      <c r="C1148" s="6"/>
    </row>
    <row r="1149" spans="1:3" x14ac:dyDescent="0.3">
      <c r="A1149"/>
      <c r="B1149"/>
      <c r="C1149" s="6"/>
    </row>
    <row r="1150" spans="1:3" x14ac:dyDescent="0.3">
      <c r="A1150"/>
      <c r="B1150"/>
      <c r="C1150" s="6"/>
    </row>
    <row r="1151" spans="1:3" x14ac:dyDescent="0.3">
      <c r="A1151"/>
      <c r="B1151"/>
      <c r="C1151" s="6"/>
    </row>
    <row r="1152" spans="1:3" x14ac:dyDescent="0.3">
      <c r="A1152"/>
      <c r="B1152"/>
      <c r="C1152" s="6"/>
    </row>
    <row r="1153" spans="1:3" x14ac:dyDescent="0.3">
      <c r="A1153"/>
      <c r="B1153"/>
      <c r="C1153" s="6"/>
    </row>
    <row r="1154" spans="1:3" x14ac:dyDescent="0.3">
      <c r="A1154"/>
      <c r="B1154"/>
      <c r="C1154" s="6"/>
    </row>
    <row r="1155" spans="1:3" x14ac:dyDescent="0.3">
      <c r="A1155"/>
      <c r="B1155"/>
      <c r="C1155" s="6"/>
    </row>
    <row r="1156" spans="1:3" x14ac:dyDescent="0.3">
      <c r="A1156"/>
      <c r="B1156"/>
      <c r="C1156" s="6"/>
    </row>
    <row r="1157" spans="1:3" x14ac:dyDescent="0.3">
      <c r="A1157"/>
      <c r="B1157"/>
      <c r="C1157" s="6"/>
    </row>
    <row r="1158" spans="1:3" x14ac:dyDescent="0.3">
      <c r="A1158"/>
      <c r="B1158"/>
      <c r="C1158" s="6"/>
    </row>
    <row r="1159" spans="1:3" x14ac:dyDescent="0.3">
      <c r="A1159"/>
      <c r="B1159"/>
      <c r="C1159" s="6"/>
    </row>
    <row r="1160" spans="1:3" x14ac:dyDescent="0.3">
      <c r="A1160"/>
      <c r="B1160"/>
      <c r="C1160" s="6"/>
    </row>
    <row r="1161" spans="1:3" x14ac:dyDescent="0.3">
      <c r="A1161"/>
      <c r="B1161"/>
      <c r="C1161" s="6"/>
    </row>
    <row r="1162" spans="1:3" x14ac:dyDescent="0.3">
      <c r="A1162"/>
      <c r="B1162"/>
      <c r="C1162" s="6"/>
    </row>
    <row r="1163" spans="1:3" x14ac:dyDescent="0.3">
      <c r="A1163"/>
      <c r="B1163"/>
      <c r="C1163" s="6"/>
    </row>
    <row r="1164" spans="1:3" x14ac:dyDescent="0.3">
      <c r="A1164"/>
      <c r="B1164"/>
      <c r="C1164" s="6"/>
    </row>
    <row r="1165" spans="1:3" x14ac:dyDescent="0.3">
      <c r="A1165"/>
      <c r="B1165"/>
      <c r="C1165" s="6"/>
    </row>
    <row r="1166" spans="1:3" x14ac:dyDescent="0.3">
      <c r="A1166"/>
      <c r="B1166"/>
      <c r="C1166" s="6"/>
    </row>
    <row r="1167" spans="1:3" x14ac:dyDescent="0.3">
      <c r="A1167"/>
      <c r="B1167"/>
      <c r="C1167" s="6"/>
    </row>
    <row r="1168" spans="1:3" x14ac:dyDescent="0.3">
      <c r="A1168"/>
      <c r="B1168"/>
      <c r="C1168" s="6"/>
    </row>
    <row r="1169" spans="1:3" x14ac:dyDescent="0.3">
      <c r="A1169"/>
      <c r="B1169"/>
      <c r="C1169" s="6"/>
    </row>
    <row r="1170" spans="1:3" x14ac:dyDescent="0.3">
      <c r="A1170"/>
      <c r="B1170"/>
      <c r="C1170" s="6"/>
    </row>
    <row r="1171" spans="1:3" x14ac:dyDescent="0.3">
      <c r="A1171"/>
      <c r="B1171"/>
      <c r="C1171" s="6"/>
    </row>
    <row r="1172" spans="1:3" x14ac:dyDescent="0.3">
      <c r="A1172"/>
      <c r="B1172"/>
      <c r="C1172" s="6"/>
    </row>
    <row r="1173" spans="1:3" x14ac:dyDescent="0.3">
      <c r="A1173"/>
      <c r="B1173"/>
      <c r="C1173" s="6"/>
    </row>
    <row r="1174" spans="1:3" x14ac:dyDescent="0.3">
      <c r="A1174"/>
      <c r="B1174"/>
      <c r="C1174" s="6"/>
    </row>
    <row r="1175" spans="1:3" x14ac:dyDescent="0.3">
      <c r="A1175"/>
      <c r="B1175"/>
      <c r="C1175" s="6"/>
    </row>
    <row r="1176" spans="1:3" x14ac:dyDescent="0.3">
      <c r="A1176"/>
      <c r="B1176"/>
      <c r="C1176" s="6"/>
    </row>
    <row r="1177" spans="1:3" x14ac:dyDescent="0.3">
      <c r="A1177"/>
      <c r="B1177"/>
      <c r="C1177" s="6"/>
    </row>
    <row r="1178" spans="1:3" x14ac:dyDescent="0.3">
      <c r="A1178"/>
      <c r="B1178"/>
      <c r="C1178" s="6"/>
    </row>
    <row r="1179" spans="1:3" x14ac:dyDescent="0.3">
      <c r="A1179"/>
      <c r="B1179"/>
      <c r="C1179" s="6"/>
    </row>
    <row r="1180" spans="1:3" x14ac:dyDescent="0.3">
      <c r="A1180"/>
      <c r="B1180"/>
      <c r="C1180" s="6"/>
    </row>
    <row r="1181" spans="1:3" x14ac:dyDescent="0.3">
      <c r="A1181"/>
      <c r="B1181"/>
      <c r="C1181" s="6"/>
    </row>
    <row r="1182" spans="1:3" x14ac:dyDescent="0.3">
      <c r="A1182"/>
      <c r="B1182"/>
      <c r="C1182" s="6"/>
    </row>
    <row r="1183" spans="1:3" x14ac:dyDescent="0.3">
      <c r="A1183"/>
      <c r="B1183"/>
      <c r="C1183" s="6"/>
    </row>
    <row r="1184" spans="1:3" x14ac:dyDescent="0.3">
      <c r="A1184"/>
      <c r="B1184"/>
      <c r="C1184" s="6"/>
    </row>
    <row r="1185" spans="1:3" x14ac:dyDescent="0.3">
      <c r="A1185"/>
      <c r="B1185"/>
      <c r="C1185" s="6"/>
    </row>
    <row r="1186" spans="1:3" x14ac:dyDescent="0.3">
      <c r="A1186"/>
      <c r="B1186"/>
      <c r="C1186" s="6"/>
    </row>
    <row r="1187" spans="1:3" x14ac:dyDescent="0.3">
      <c r="A1187"/>
      <c r="B1187"/>
      <c r="C1187" s="6"/>
    </row>
    <row r="1188" spans="1:3" x14ac:dyDescent="0.3">
      <c r="A1188"/>
      <c r="B1188"/>
      <c r="C1188" s="6"/>
    </row>
    <row r="1189" spans="1:3" x14ac:dyDescent="0.3">
      <c r="A1189"/>
      <c r="B1189"/>
      <c r="C1189" s="6"/>
    </row>
    <row r="1190" spans="1:3" x14ac:dyDescent="0.3">
      <c r="A1190"/>
      <c r="B1190"/>
      <c r="C1190" s="6"/>
    </row>
    <row r="1191" spans="1:3" x14ac:dyDescent="0.3">
      <c r="A1191"/>
      <c r="B1191"/>
      <c r="C1191" s="6"/>
    </row>
    <row r="1192" spans="1:3" x14ac:dyDescent="0.3">
      <c r="A1192"/>
      <c r="B1192"/>
      <c r="C1192" s="6"/>
    </row>
    <row r="1193" spans="1:3" x14ac:dyDescent="0.3">
      <c r="A1193"/>
      <c r="B1193"/>
      <c r="C1193" s="6"/>
    </row>
    <row r="1194" spans="1:3" x14ac:dyDescent="0.3">
      <c r="A1194"/>
      <c r="B1194"/>
      <c r="C1194" s="6"/>
    </row>
    <row r="1195" spans="1:3" x14ac:dyDescent="0.3">
      <c r="A1195"/>
      <c r="B1195"/>
      <c r="C1195" s="6"/>
    </row>
    <row r="1196" spans="1:3" x14ac:dyDescent="0.3">
      <c r="A1196"/>
      <c r="B1196"/>
      <c r="C1196" s="6"/>
    </row>
    <row r="1197" spans="1:3" x14ac:dyDescent="0.3">
      <c r="A1197"/>
      <c r="B1197"/>
      <c r="C1197" s="6"/>
    </row>
    <row r="1198" spans="1:3" x14ac:dyDescent="0.3">
      <c r="A1198"/>
      <c r="B1198"/>
      <c r="C1198" s="6"/>
    </row>
    <row r="1199" spans="1:3" x14ac:dyDescent="0.3">
      <c r="A1199"/>
      <c r="B1199"/>
      <c r="C1199" s="6"/>
    </row>
    <row r="1200" spans="1:3" x14ac:dyDescent="0.3">
      <c r="A1200"/>
      <c r="B1200"/>
      <c r="C1200" s="6"/>
    </row>
    <row r="1201" spans="1:3" x14ac:dyDescent="0.3">
      <c r="A1201"/>
      <c r="B1201"/>
      <c r="C1201" s="6"/>
    </row>
    <row r="1202" spans="1:3" x14ac:dyDescent="0.3">
      <c r="A1202"/>
      <c r="B1202"/>
      <c r="C1202" s="6"/>
    </row>
    <row r="1203" spans="1:3" x14ac:dyDescent="0.3">
      <c r="A1203"/>
      <c r="B1203"/>
      <c r="C1203" s="6"/>
    </row>
    <row r="1204" spans="1:3" x14ac:dyDescent="0.3">
      <c r="A1204"/>
      <c r="B1204"/>
      <c r="C1204" s="6"/>
    </row>
    <row r="1205" spans="1:3" x14ac:dyDescent="0.3">
      <c r="A1205"/>
      <c r="B1205"/>
      <c r="C1205" s="6"/>
    </row>
    <row r="1206" spans="1:3" x14ac:dyDescent="0.3">
      <c r="A1206"/>
      <c r="B1206"/>
      <c r="C1206" s="6"/>
    </row>
    <row r="1207" spans="1:3" x14ac:dyDescent="0.3">
      <c r="A1207"/>
      <c r="B1207"/>
      <c r="C1207" s="6"/>
    </row>
    <row r="1208" spans="1:3" x14ac:dyDescent="0.3">
      <c r="A1208"/>
      <c r="B1208"/>
      <c r="C1208" s="6"/>
    </row>
    <row r="1209" spans="1:3" x14ac:dyDescent="0.3">
      <c r="A1209"/>
      <c r="B1209"/>
      <c r="C1209" s="6"/>
    </row>
    <row r="1210" spans="1:3" x14ac:dyDescent="0.3">
      <c r="A1210"/>
      <c r="B1210"/>
      <c r="C1210" s="6"/>
    </row>
    <row r="1211" spans="1:3" x14ac:dyDescent="0.3">
      <c r="A1211"/>
      <c r="B1211"/>
      <c r="C1211" s="6"/>
    </row>
    <row r="1212" spans="1:3" x14ac:dyDescent="0.3">
      <c r="A1212"/>
      <c r="B1212"/>
      <c r="C1212" s="6"/>
    </row>
    <row r="1213" spans="1:3" x14ac:dyDescent="0.3">
      <c r="A1213"/>
      <c r="B1213"/>
      <c r="C1213" s="6"/>
    </row>
    <row r="1214" spans="1:3" x14ac:dyDescent="0.3">
      <c r="A1214"/>
      <c r="B1214"/>
      <c r="C1214" s="6"/>
    </row>
    <row r="1215" spans="1:3" x14ac:dyDescent="0.3">
      <c r="A1215"/>
      <c r="B1215"/>
      <c r="C1215" s="6"/>
    </row>
    <row r="1216" spans="1:3" x14ac:dyDescent="0.3">
      <c r="A1216"/>
      <c r="B1216"/>
      <c r="C1216" s="6"/>
    </row>
    <row r="1217" spans="1:3" x14ac:dyDescent="0.3">
      <c r="A1217"/>
      <c r="B1217"/>
      <c r="C1217" s="6"/>
    </row>
    <row r="1218" spans="1:3" x14ac:dyDescent="0.3">
      <c r="A1218"/>
      <c r="B1218"/>
      <c r="C1218" s="6"/>
    </row>
    <row r="1219" spans="1:3" x14ac:dyDescent="0.3">
      <c r="A1219"/>
      <c r="B1219"/>
      <c r="C1219" s="6"/>
    </row>
    <row r="1220" spans="1:3" x14ac:dyDescent="0.3">
      <c r="A1220"/>
      <c r="B1220"/>
      <c r="C1220" s="6"/>
    </row>
    <row r="1221" spans="1:3" x14ac:dyDescent="0.3">
      <c r="A1221"/>
      <c r="B1221"/>
      <c r="C1221" s="6"/>
    </row>
    <row r="1222" spans="1:3" x14ac:dyDescent="0.3">
      <c r="A1222"/>
      <c r="B1222"/>
      <c r="C1222" s="6"/>
    </row>
    <row r="1223" spans="1:3" x14ac:dyDescent="0.3">
      <c r="A1223"/>
      <c r="B1223"/>
      <c r="C1223" s="6"/>
    </row>
    <row r="1224" spans="1:3" x14ac:dyDescent="0.3">
      <c r="A1224"/>
      <c r="B1224"/>
      <c r="C1224" s="6"/>
    </row>
    <row r="1225" spans="1:3" x14ac:dyDescent="0.3">
      <c r="A1225"/>
      <c r="B1225"/>
      <c r="C1225" s="6"/>
    </row>
    <row r="1226" spans="1:3" x14ac:dyDescent="0.3">
      <c r="A1226"/>
      <c r="B1226"/>
      <c r="C1226" s="6"/>
    </row>
    <row r="1227" spans="1:3" x14ac:dyDescent="0.3">
      <c r="A1227"/>
      <c r="B1227"/>
      <c r="C1227" s="6"/>
    </row>
    <row r="1228" spans="1:3" x14ac:dyDescent="0.3">
      <c r="A1228"/>
      <c r="B1228"/>
      <c r="C1228" s="6"/>
    </row>
    <row r="1229" spans="1:3" x14ac:dyDescent="0.3">
      <c r="A1229"/>
      <c r="B1229"/>
      <c r="C1229" s="6"/>
    </row>
    <row r="1230" spans="1:3" x14ac:dyDescent="0.3">
      <c r="A1230"/>
      <c r="B1230"/>
      <c r="C1230" s="6"/>
    </row>
    <row r="1231" spans="1:3" x14ac:dyDescent="0.3">
      <c r="A1231"/>
      <c r="B1231"/>
      <c r="C1231" s="6"/>
    </row>
    <row r="1232" spans="1:3" x14ac:dyDescent="0.3">
      <c r="A1232"/>
      <c r="B1232"/>
      <c r="C1232" s="6"/>
    </row>
    <row r="1233" spans="1:3" x14ac:dyDescent="0.3">
      <c r="A1233"/>
      <c r="B1233"/>
      <c r="C1233" s="6"/>
    </row>
    <row r="1234" spans="1:3" x14ac:dyDescent="0.3">
      <c r="A1234"/>
      <c r="B1234"/>
      <c r="C1234" s="6"/>
    </row>
    <row r="1235" spans="1:3" x14ac:dyDescent="0.3">
      <c r="A1235"/>
      <c r="B1235"/>
      <c r="C1235" s="6"/>
    </row>
    <row r="1236" spans="1:3" x14ac:dyDescent="0.3">
      <c r="A1236"/>
      <c r="B1236"/>
      <c r="C1236" s="6"/>
    </row>
    <row r="1237" spans="1:3" x14ac:dyDescent="0.3">
      <c r="A1237"/>
      <c r="B1237"/>
      <c r="C1237" s="6"/>
    </row>
    <row r="1238" spans="1:3" x14ac:dyDescent="0.3">
      <c r="A1238"/>
      <c r="B1238"/>
      <c r="C1238" s="6"/>
    </row>
    <row r="1239" spans="1:3" x14ac:dyDescent="0.3">
      <c r="A1239"/>
      <c r="B1239"/>
      <c r="C1239" s="6"/>
    </row>
    <row r="1240" spans="1:3" x14ac:dyDescent="0.3">
      <c r="A1240"/>
      <c r="B1240"/>
      <c r="C1240" s="6"/>
    </row>
    <row r="1241" spans="1:3" x14ac:dyDescent="0.3">
      <c r="A1241"/>
      <c r="B1241"/>
      <c r="C1241" s="6"/>
    </row>
    <row r="1242" spans="1:3" x14ac:dyDescent="0.3">
      <c r="A1242"/>
      <c r="B1242"/>
      <c r="C1242" s="6"/>
    </row>
    <row r="1243" spans="1:3" x14ac:dyDescent="0.3">
      <c r="A1243"/>
      <c r="B1243"/>
      <c r="C1243" s="6"/>
    </row>
    <row r="1244" spans="1:3" x14ac:dyDescent="0.3">
      <c r="A1244"/>
      <c r="B1244"/>
      <c r="C1244" s="6"/>
    </row>
    <row r="1245" spans="1:3" x14ac:dyDescent="0.3">
      <c r="A1245"/>
      <c r="B1245"/>
      <c r="C1245" s="6"/>
    </row>
    <row r="1246" spans="1:3" x14ac:dyDescent="0.3">
      <c r="A1246"/>
      <c r="B1246"/>
      <c r="C1246" s="6"/>
    </row>
    <row r="1247" spans="1:3" x14ac:dyDescent="0.3">
      <c r="A1247"/>
      <c r="B1247"/>
      <c r="C1247" s="6"/>
    </row>
    <row r="1248" spans="1:3" x14ac:dyDescent="0.3">
      <c r="A1248"/>
      <c r="B1248"/>
      <c r="C1248" s="6"/>
    </row>
    <row r="1249" spans="1:3" x14ac:dyDescent="0.3">
      <c r="A1249"/>
      <c r="B1249"/>
      <c r="C1249" s="6"/>
    </row>
    <row r="1250" spans="1:3" x14ac:dyDescent="0.3">
      <c r="A1250"/>
      <c r="B1250"/>
      <c r="C1250" s="6"/>
    </row>
    <row r="1251" spans="1:3" x14ac:dyDescent="0.3">
      <c r="A1251"/>
      <c r="B1251"/>
      <c r="C1251" s="6"/>
    </row>
    <row r="1252" spans="1:3" x14ac:dyDescent="0.3">
      <c r="A1252"/>
      <c r="B1252"/>
      <c r="C1252" s="6"/>
    </row>
    <row r="1253" spans="1:3" x14ac:dyDescent="0.3">
      <c r="A1253"/>
      <c r="B1253"/>
      <c r="C1253" s="6"/>
    </row>
    <row r="1254" spans="1:3" x14ac:dyDescent="0.3">
      <c r="A1254"/>
      <c r="B1254"/>
      <c r="C1254" s="6"/>
    </row>
    <row r="1255" spans="1:3" x14ac:dyDescent="0.3">
      <c r="A1255"/>
      <c r="B1255"/>
      <c r="C1255" s="6"/>
    </row>
    <row r="1256" spans="1:3" x14ac:dyDescent="0.3">
      <c r="A1256"/>
      <c r="B1256"/>
      <c r="C1256" s="6"/>
    </row>
    <row r="1257" spans="1:3" x14ac:dyDescent="0.3">
      <c r="A1257"/>
      <c r="B1257"/>
      <c r="C1257" s="6"/>
    </row>
    <row r="1258" spans="1:3" x14ac:dyDescent="0.3">
      <c r="A1258"/>
      <c r="B1258"/>
      <c r="C1258" s="6"/>
    </row>
    <row r="1259" spans="1:3" x14ac:dyDescent="0.3">
      <c r="A1259"/>
      <c r="B1259"/>
      <c r="C1259" s="6"/>
    </row>
    <row r="1260" spans="1:3" x14ac:dyDescent="0.3">
      <c r="A1260"/>
      <c r="B1260"/>
      <c r="C1260" s="6"/>
    </row>
    <row r="1261" spans="1:3" x14ac:dyDescent="0.3">
      <c r="A1261"/>
      <c r="B1261"/>
      <c r="C1261" s="6"/>
    </row>
    <row r="1262" spans="1:3" x14ac:dyDescent="0.3">
      <c r="A1262"/>
      <c r="B1262"/>
      <c r="C1262" s="6"/>
    </row>
    <row r="1263" spans="1:3" x14ac:dyDescent="0.3">
      <c r="A1263"/>
      <c r="B1263"/>
      <c r="C1263" s="6"/>
    </row>
    <row r="1264" spans="1:3" x14ac:dyDescent="0.3">
      <c r="A1264"/>
      <c r="B1264"/>
      <c r="C1264" s="6"/>
    </row>
    <row r="1265" spans="1:3" x14ac:dyDescent="0.3">
      <c r="A1265"/>
      <c r="B1265"/>
      <c r="C1265" s="6"/>
    </row>
    <row r="1266" spans="1:3" x14ac:dyDescent="0.3">
      <c r="A1266"/>
      <c r="B1266"/>
      <c r="C1266" s="6"/>
    </row>
    <row r="1267" spans="1:3" x14ac:dyDescent="0.3">
      <c r="A1267"/>
      <c r="B1267"/>
      <c r="C1267" s="6"/>
    </row>
    <row r="1268" spans="1:3" x14ac:dyDescent="0.3">
      <c r="A1268"/>
      <c r="B1268"/>
      <c r="C1268" s="6"/>
    </row>
    <row r="1269" spans="1:3" x14ac:dyDescent="0.3">
      <c r="A1269"/>
      <c r="B1269"/>
      <c r="C1269" s="6"/>
    </row>
    <row r="1270" spans="1:3" x14ac:dyDescent="0.3">
      <c r="A1270"/>
      <c r="B1270"/>
      <c r="C1270" s="6"/>
    </row>
    <row r="1271" spans="1:3" x14ac:dyDescent="0.3">
      <c r="A1271"/>
      <c r="B1271"/>
      <c r="C1271" s="6"/>
    </row>
    <row r="1272" spans="1:3" x14ac:dyDescent="0.3">
      <c r="A1272"/>
      <c r="B1272"/>
      <c r="C1272" s="6"/>
    </row>
    <row r="1273" spans="1:3" x14ac:dyDescent="0.3">
      <c r="A1273"/>
      <c r="B1273"/>
      <c r="C1273" s="6"/>
    </row>
    <row r="1274" spans="1:3" x14ac:dyDescent="0.3">
      <c r="A1274"/>
      <c r="B1274"/>
      <c r="C1274" s="6"/>
    </row>
    <row r="1275" spans="1:3" x14ac:dyDescent="0.3">
      <c r="A1275"/>
      <c r="B1275"/>
      <c r="C1275" s="6"/>
    </row>
    <row r="1276" spans="1:3" x14ac:dyDescent="0.3">
      <c r="A1276"/>
      <c r="B1276"/>
      <c r="C1276" s="6"/>
    </row>
    <row r="1277" spans="1:3" x14ac:dyDescent="0.3">
      <c r="A1277"/>
      <c r="B1277"/>
      <c r="C1277" s="6"/>
    </row>
    <row r="1278" spans="1:3" x14ac:dyDescent="0.3">
      <c r="A1278"/>
      <c r="B1278"/>
      <c r="C1278" s="6"/>
    </row>
    <row r="1279" spans="1:3" x14ac:dyDescent="0.3">
      <c r="A1279"/>
      <c r="B1279"/>
      <c r="C1279" s="6"/>
    </row>
    <row r="1280" spans="1:3" x14ac:dyDescent="0.3">
      <c r="A1280"/>
      <c r="B1280"/>
      <c r="C1280" s="6"/>
    </row>
    <row r="1281" spans="1:3" x14ac:dyDescent="0.3">
      <c r="A1281"/>
      <c r="B1281"/>
      <c r="C1281" s="6"/>
    </row>
    <row r="1282" spans="1:3" x14ac:dyDescent="0.3">
      <c r="A1282"/>
      <c r="B1282"/>
      <c r="C1282" s="6"/>
    </row>
    <row r="1283" spans="1:3" x14ac:dyDescent="0.3">
      <c r="A1283"/>
      <c r="B1283"/>
      <c r="C1283" s="6"/>
    </row>
    <row r="1284" spans="1:3" x14ac:dyDescent="0.3">
      <c r="A1284"/>
      <c r="B1284"/>
      <c r="C1284" s="6"/>
    </row>
    <row r="1285" spans="1:3" x14ac:dyDescent="0.3">
      <c r="A1285"/>
      <c r="B1285"/>
      <c r="C1285" s="6"/>
    </row>
    <row r="1286" spans="1:3" x14ac:dyDescent="0.3">
      <c r="A1286"/>
      <c r="B1286"/>
      <c r="C1286" s="6"/>
    </row>
    <row r="1287" spans="1:3" x14ac:dyDescent="0.3">
      <c r="A1287"/>
      <c r="B1287"/>
      <c r="C1287" s="6"/>
    </row>
    <row r="1288" spans="1:3" x14ac:dyDescent="0.3">
      <c r="A1288"/>
      <c r="B1288"/>
      <c r="C1288" s="6"/>
    </row>
    <row r="1289" spans="1:3" x14ac:dyDescent="0.3">
      <c r="A1289"/>
      <c r="B1289"/>
      <c r="C1289" s="6"/>
    </row>
    <row r="1290" spans="1:3" x14ac:dyDescent="0.3">
      <c r="A1290"/>
      <c r="B1290"/>
      <c r="C1290" s="6"/>
    </row>
    <row r="1291" spans="1:3" x14ac:dyDescent="0.3">
      <c r="A1291"/>
      <c r="B1291"/>
      <c r="C1291" s="6"/>
    </row>
    <row r="1292" spans="1:3" x14ac:dyDescent="0.3">
      <c r="A1292"/>
      <c r="B1292"/>
      <c r="C1292" s="6"/>
    </row>
    <row r="1293" spans="1:3" x14ac:dyDescent="0.3">
      <c r="A1293"/>
      <c r="B1293"/>
      <c r="C1293" s="6"/>
    </row>
    <row r="1294" spans="1:3" x14ac:dyDescent="0.3">
      <c r="A1294"/>
      <c r="B1294"/>
      <c r="C1294" s="6"/>
    </row>
    <row r="1295" spans="1:3" x14ac:dyDescent="0.3">
      <c r="A1295"/>
      <c r="B1295"/>
      <c r="C1295" s="6"/>
    </row>
    <row r="1296" spans="1:3" x14ac:dyDescent="0.3">
      <c r="A1296"/>
      <c r="B1296"/>
      <c r="C1296" s="6"/>
    </row>
    <row r="1297" spans="1:3" x14ac:dyDescent="0.3">
      <c r="A1297"/>
      <c r="B1297"/>
      <c r="C1297" s="6"/>
    </row>
    <row r="1298" spans="1:3" x14ac:dyDescent="0.3">
      <c r="A1298"/>
      <c r="B1298"/>
      <c r="C1298" s="6"/>
    </row>
    <row r="1299" spans="1:3" x14ac:dyDescent="0.3">
      <c r="A1299"/>
      <c r="B1299"/>
      <c r="C1299" s="6"/>
    </row>
    <row r="1300" spans="1:3" x14ac:dyDescent="0.3">
      <c r="A1300"/>
      <c r="B1300"/>
      <c r="C1300" s="6"/>
    </row>
    <row r="1301" spans="1:3" x14ac:dyDescent="0.3">
      <c r="A1301"/>
      <c r="B1301"/>
      <c r="C1301" s="6"/>
    </row>
    <row r="1302" spans="1:3" x14ac:dyDescent="0.3">
      <c r="A1302"/>
      <c r="B1302"/>
      <c r="C1302" s="6"/>
    </row>
    <row r="1303" spans="1:3" x14ac:dyDescent="0.3">
      <c r="A1303"/>
      <c r="B1303"/>
      <c r="C1303" s="6"/>
    </row>
    <row r="1304" spans="1:3" x14ac:dyDescent="0.3">
      <c r="A1304"/>
      <c r="B1304"/>
      <c r="C1304" s="6"/>
    </row>
    <row r="1305" spans="1:3" x14ac:dyDescent="0.3">
      <c r="A1305"/>
      <c r="B1305"/>
      <c r="C1305" s="6"/>
    </row>
    <row r="1306" spans="1:3" x14ac:dyDescent="0.3">
      <c r="A1306"/>
      <c r="B1306"/>
      <c r="C1306" s="6"/>
    </row>
    <row r="1307" spans="1:3" x14ac:dyDescent="0.3">
      <c r="A1307"/>
      <c r="B1307"/>
      <c r="C1307" s="6"/>
    </row>
    <row r="1308" spans="1:3" x14ac:dyDescent="0.3">
      <c r="A1308"/>
      <c r="B1308"/>
      <c r="C1308" s="6"/>
    </row>
    <row r="1309" spans="1:3" x14ac:dyDescent="0.3">
      <c r="A1309"/>
      <c r="B1309"/>
      <c r="C1309" s="6"/>
    </row>
    <row r="1310" spans="1:3" x14ac:dyDescent="0.3">
      <c r="A1310"/>
      <c r="B1310"/>
      <c r="C1310" s="6"/>
    </row>
    <row r="1311" spans="1:3" x14ac:dyDescent="0.3">
      <c r="A1311"/>
      <c r="B1311"/>
      <c r="C1311" s="6"/>
    </row>
    <row r="1312" spans="1:3" x14ac:dyDescent="0.3">
      <c r="A1312"/>
      <c r="B1312"/>
      <c r="C1312" s="6"/>
    </row>
    <row r="1313" spans="1:3" x14ac:dyDescent="0.3">
      <c r="A1313"/>
      <c r="B1313"/>
      <c r="C1313" s="6"/>
    </row>
    <row r="1314" spans="1:3" x14ac:dyDescent="0.3">
      <c r="A1314"/>
      <c r="B1314"/>
      <c r="C1314" s="6"/>
    </row>
    <row r="1315" spans="1:3" x14ac:dyDescent="0.3">
      <c r="A1315"/>
      <c r="B1315"/>
      <c r="C1315" s="6"/>
    </row>
    <row r="1316" spans="1:3" x14ac:dyDescent="0.3">
      <c r="A1316"/>
      <c r="B1316"/>
      <c r="C1316" s="6"/>
    </row>
    <row r="1317" spans="1:3" x14ac:dyDescent="0.3">
      <c r="A1317"/>
      <c r="B1317"/>
      <c r="C1317" s="6"/>
    </row>
    <row r="1318" spans="1:3" x14ac:dyDescent="0.3">
      <c r="A1318"/>
      <c r="B1318"/>
      <c r="C1318" s="6"/>
    </row>
    <row r="1319" spans="1:3" x14ac:dyDescent="0.3">
      <c r="A1319"/>
      <c r="B1319"/>
      <c r="C1319" s="6"/>
    </row>
    <row r="1320" spans="1:3" x14ac:dyDescent="0.3">
      <c r="A1320"/>
      <c r="B1320"/>
      <c r="C1320" s="6"/>
    </row>
    <row r="1321" spans="1:3" x14ac:dyDescent="0.3">
      <c r="A1321"/>
      <c r="B1321"/>
      <c r="C1321" s="6"/>
    </row>
    <row r="1322" spans="1:3" x14ac:dyDescent="0.3">
      <c r="A1322"/>
      <c r="B1322"/>
      <c r="C1322" s="6"/>
    </row>
    <row r="1323" spans="1:3" x14ac:dyDescent="0.3">
      <c r="A1323"/>
      <c r="B1323"/>
      <c r="C1323" s="6"/>
    </row>
    <row r="1324" spans="1:3" x14ac:dyDescent="0.3">
      <c r="A1324"/>
      <c r="B1324"/>
      <c r="C1324" s="6"/>
    </row>
    <row r="1325" spans="1:3" x14ac:dyDescent="0.3">
      <c r="A1325"/>
      <c r="B1325"/>
      <c r="C1325" s="6"/>
    </row>
    <row r="1326" spans="1:3" x14ac:dyDescent="0.3">
      <c r="A1326"/>
      <c r="B1326"/>
      <c r="C1326" s="6"/>
    </row>
    <row r="1327" spans="1:3" x14ac:dyDescent="0.3">
      <c r="A1327"/>
      <c r="B1327"/>
      <c r="C1327" s="6"/>
    </row>
    <row r="1328" spans="1:3" x14ac:dyDescent="0.3">
      <c r="A1328"/>
      <c r="B1328"/>
      <c r="C1328" s="6"/>
    </row>
    <row r="1329" spans="1:3" x14ac:dyDescent="0.3">
      <c r="A1329"/>
      <c r="B1329"/>
      <c r="C1329" s="6"/>
    </row>
    <row r="1330" spans="1:3" x14ac:dyDescent="0.3">
      <c r="A1330"/>
      <c r="B1330"/>
      <c r="C1330" s="6"/>
    </row>
    <row r="1331" spans="1:3" x14ac:dyDescent="0.3">
      <c r="A1331"/>
      <c r="B1331"/>
      <c r="C1331" s="6"/>
    </row>
    <row r="1332" spans="1:3" x14ac:dyDescent="0.3">
      <c r="A1332"/>
      <c r="B1332"/>
      <c r="C1332" s="6"/>
    </row>
    <row r="1333" spans="1:3" x14ac:dyDescent="0.3">
      <c r="A1333"/>
      <c r="B1333"/>
      <c r="C1333" s="6"/>
    </row>
    <row r="1334" spans="1:3" x14ac:dyDescent="0.3">
      <c r="A1334"/>
      <c r="B1334"/>
      <c r="C1334" s="6"/>
    </row>
    <row r="1335" spans="1:3" x14ac:dyDescent="0.3">
      <c r="A1335"/>
      <c r="B1335"/>
      <c r="C1335" s="6"/>
    </row>
    <row r="1336" spans="1:3" x14ac:dyDescent="0.3">
      <c r="A1336"/>
      <c r="B1336"/>
      <c r="C1336" s="6"/>
    </row>
    <row r="1337" spans="1:3" x14ac:dyDescent="0.3">
      <c r="A1337"/>
      <c r="B1337"/>
      <c r="C1337" s="6"/>
    </row>
    <row r="1338" spans="1:3" x14ac:dyDescent="0.3">
      <c r="A1338"/>
      <c r="B1338"/>
      <c r="C1338" s="6"/>
    </row>
    <row r="1339" spans="1:3" x14ac:dyDescent="0.3">
      <c r="A1339"/>
      <c r="B1339"/>
      <c r="C1339" s="6"/>
    </row>
    <row r="1340" spans="1:3" x14ac:dyDescent="0.3">
      <c r="A1340"/>
      <c r="B1340"/>
      <c r="C1340" s="6"/>
    </row>
    <row r="1341" spans="1:3" x14ac:dyDescent="0.3">
      <c r="A1341"/>
      <c r="B1341"/>
      <c r="C1341" s="6"/>
    </row>
    <row r="1342" spans="1:3" x14ac:dyDescent="0.3">
      <c r="A1342"/>
      <c r="B1342"/>
      <c r="C1342" s="6"/>
    </row>
    <row r="1343" spans="1:3" x14ac:dyDescent="0.3">
      <c r="A1343"/>
      <c r="B1343"/>
      <c r="C1343" s="6"/>
    </row>
    <row r="1344" spans="1:3" x14ac:dyDescent="0.3">
      <c r="A1344"/>
      <c r="B1344"/>
      <c r="C1344" s="6"/>
    </row>
    <row r="1345" spans="1:3" x14ac:dyDescent="0.3">
      <c r="A1345"/>
      <c r="B1345"/>
      <c r="C1345" s="6"/>
    </row>
    <row r="1346" spans="1:3" x14ac:dyDescent="0.3">
      <c r="A1346"/>
      <c r="B1346"/>
      <c r="C1346" s="6"/>
    </row>
    <row r="1347" spans="1:3" x14ac:dyDescent="0.3">
      <c r="A1347"/>
      <c r="B1347"/>
      <c r="C1347" s="6"/>
    </row>
    <row r="1348" spans="1:3" x14ac:dyDescent="0.3">
      <c r="A1348"/>
      <c r="B1348"/>
      <c r="C1348" s="6"/>
    </row>
    <row r="1349" spans="1:3" x14ac:dyDescent="0.3">
      <c r="A1349"/>
      <c r="B1349"/>
      <c r="C1349" s="6"/>
    </row>
    <row r="1350" spans="1:3" x14ac:dyDescent="0.3">
      <c r="A1350"/>
      <c r="B1350"/>
      <c r="C1350" s="6"/>
    </row>
    <row r="1351" spans="1:3" x14ac:dyDescent="0.3">
      <c r="A1351"/>
      <c r="B1351"/>
      <c r="C1351" s="6"/>
    </row>
    <row r="1352" spans="1:3" x14ac:dyDescent="0.3">
      <c r="A1352"/>
      <c r="B1352"/>
      <c r="C1352" s="6"/>
    </row>
    <row r="1353" spans="1:3" x14ac:dyDescent="0.3">
      <c r="A1353"/>
      <c r="B1353"/>
      <c r="C1353" s="6"/>
    </row>
    <row r="1354" spans="1:3" x14ac:dyDescent="0.3">
      <c r="A1354"/>
      <c r="B1354"/>
      <c r="C1354" s="6"/>
    </row>
    <row r="1355" spans="1:3" x14ac:dyDescent="0.3">
      <c r="A1355"/>
      <c r="B1355"/>
      <c r="C1355" s="6"/>
    </row>
    <row r="1356" spans="1:3" x14ac:dyDescent="0.3">
      <c r="A1356"/>
      <c r="B1356"/>
      <c r="C1356" s="6"/>
    </row>
    <row r="1357" spans="1:3" x14ac:dyDescent="0.3">
      <c r="A1357"/>
      <c r="B1357"/>
      <c r="C1357" s="6"/>
    </row>
    <row r="1358" spans="1:3" x14ac:dyDescent="0.3">
      <c r="A1358"/>
      <c r="B1358"/>
      <c r="C1358" s="6"/>
    </row>
    <row r="1359" spans="1:3" x14ac:dyDescent="0.3">
      <c r="A1359"/>
      <c r="B1359"/>
      <c r="C1359" s="6"/>
    </row>
    <row r="1360" spans="1:3" x14ac:dyDescent="0.3">
      <c r="A1360"/>
      <c r="B1360"/>
      <c r="C1360" s="6"/>
    </row>
    <row r="1361" spans="1:3" x14ac:dyDescent="0.3">
      <c r="A1361"/>
      <c r="B1361"/>
      <c r="C1361" s="6"/>
    </row>
    <row r="1362" spans="1:3" x14ac:dyDescent="0.3">
      <c r="A1362"/>
      <c r="B1362"/>
      <c r="C1362" s="6"/>
    </row>
    <row r="1363" spans="1:3" x14ac:dyDescent="0.3">
      <c r="A1363"/>
      <c r="B1363"/>
      <c r="C1363" s="6"/>
    </row>
    <row r="1364" spans="1:3" x14ac:dyDescent="0.3">
      <c r="A1364"/>
      <c r="B1364"/>
      <c r="C1364" s="6"/>
    </row>
    <row r="1365" spans="1:3" x14ac:dyDescent="0.3">
      <c r="A1365"/>
      <c r="B1365"/>
      <c r="C1365" s="6"/>
    </row>
    <row r="1366" spans="1:3" x14ac:dyDescent="0.3">
      <c r="A1366"/>
      <c r="B1366"/>
      <c r="C1366" s="6"/>
    </row>
    <row r="1367" spans="1:3" x14ac:dyDescent="0.3">
      <c r="A1367"/>
      <c r="B1367"/>
      <c r="C1367" s="6"/>
    </row>
    <row r="1368" spans="1:3" x14ac:dyDescent="0.3">
      <c r="A1368"/>
      <c r="B1368"/>
      <c r="C1368" s="6"/>
    </row>
    <row r="1369" spans="1:3" x14ac:dyDescent="0.3">
      <c r="A1369"/>
      <c r="B1369"/>
      <c r="C1369" s="6"/>
    </row>
    <row r="1370" spans="1:3" x14ac:dyDescent="0.3">
      <c r="A1370"/>
      <c r="B1370"/>
      <c r="C1370" s="6"/>
    </row>
    <row r="1371" spans="1:3" x14ac:dyDescent="0.3">
      <c r="A1371"/>
      <c r="B1371"/>
      <c r="C1371" s="6"/>
    </row>
    <row r="1372" spans="1:3" x14ac:dyDescent="0.3">
      <c r="A1372"/>
      <c r="B1372"/>
      <c r="C1372" s="6"/>
    </row>
    <row r="1373" spans="1:3" x14ac:dyDescent="0.3">
      <c r="A1373"/>
      <c r="B1373"/>
      <c r="C1373" s="6"/>
    </row>
    <row r="1374" spans="1:3" x14ac:dyDescent="0.3">
      <c r="A1374"/>
      <c r="B1374"/>
      <c r="C1374" s="6"/>
    </row>
    <row r="1375" spans="1:3" x14ac:dyDescent="0.3">
      <c r="A1375"/>
      <c r="B1375"/>
      <c r="C1375" s="6"/>
    </row>
    <row r="1376" spans="1:3" x14ac:dyDescent="0.3">
      <c r="A1376"/>
      <c r="B1376"/>
      <c r="C1376" s="6"/>
    </row>
    <row r="1377" spans="1:3" x14ac:dyDescent="0.3">
      <c r="A1377"/>
      <c r="B1377"/>
      <c r="C1377" s="6"/>
    </row>
    <row r="1378" spans="1:3" x14ac:dyDescent="0.3">
      <c r="A1378"/>
      <c r="B1378"/>
      <c r="C1378" s="6"/>
    </row>
    <row r="1379" spans="1:3" x14ac:dyDescent="0.3">
      <c r="A1379"/>
      <c r="B1379"/>
      <c r="C1379" s="6"/>
    </row>
    <row r="1380" spans="1:3" x14ac:dyDescent="0.3">
      <c r="A1380"/>
      <c r="B1380"/>
      <c r="C1380" s="6"/>
    </row>
    <row r="1381" spans="1:3" x14ac:dyDescent="0.3">
      <c r="A1381"/>
      <c r="B1381"/>
      <c r="C1381" s="6"/>
    </row>
    <row r="1382" spans="1:3" x14ac:dyDescent="0.3">
      <c r="A1382"/>
      <c r="B1382"/>
      <c r="C1382" s="6"/>
    </row>
    <row r="1383" spans="1:3" x14ac:dyDescent="0.3">
      <c r="A1383"/>
      <c r="B1383"/>
      <c r="C1383" s="6"/>
    </row>
    <row r="1384" spans="1:3" x14ac:dyDescent="0.3">
      <c r="A1384"/>
      <c r="B1384"/>
      <c r="C1384" s="6"/>
    </row>
    <row r="1385" spans="1:3" x14ac:dyDescent="0.3">
      <c r="A1385"/>
      <c r="B1385"/>
      <c r="C1385" s="6"/>
    </row>
    <row r="1386" spans="1:3" x14ac:dyDescent="0.3">
      <c r="A1386"/>
      <c r="B1386"/>
      <c r="C1386" s="6"/>
    </row>
    <row r="1387" spans="1:3" x14ac:dyDescent="0.3">
      <c r="A1387"/>
      <c r="B1387"/>
      <c r="C1387" s="6"/>
    </row>
    <row r="1388" spans="1:3" x14ac:dyDescent="0.3">
      <c r="A1388"/>
      <c r="B1388"/>
      <c r="C1388" s="6"/>
    </row>
    <row r="1389" spans="1:3" x14ac:dyDescent="0.3">
      <c r="A1389"/>
      <c r="B1389"/>
      <c r="C1389" s="6"/>
    </row>
    <row r="1390" spans="1:3" x14ac:dyDescent="0.3">
      <c r="A1390"/>
      <c r="B1390"/>
      <c r="C1390" s="6"/>
    </row>
    <row r="1391" spans="1:3" x14ac:dyDescent="0.3">
      <c r="A1391"/>
      <c r="B1391"/>
      <c r="C1391" s="6"/>
    </row>
    <row r="1392" spans="1:3" x14ac:dyDescent="0.3">
      <c r="A1392"/>
      <c r="B1392"/>
      <c r="C1392" s="6"/>
    </row>
    <row r="1393" spans="1:3" x14ac:dyDescent="0.3">
      <c r="A1393"/>
      <c r="B1393"/>
      <c r="C1393" s="6"/>
    </row>
    <row r="1394" spans="1:3" x14ac:dyDescent="0.3">
      <c r="A1394"/>
      <c r="B1394"/>
      <c r="C1394" s="6"/>
    </row>
    <row r="1395" spans="1:3" x14ac:dyDescent="0.3">
      <c r="A1395"/>
      <c r="B1395"/>
      <c r="C1395" s="6"/>
    </row>
    <row r="1396" spans="1:3" x14ac:dyDescent="0.3">
      <c r="A1396"/>
      <c r="B1396"/>
      <c r="C1396" s="6"/>
    </row>
    <row r="1397" spans="1:3" x14ac:dyDescent="0.3">
      <c r="A1397"/>
      <c r="B1397"/>
      <c r="C1397" s="6"/>
    </row>
    <row r="1398" spans="1:3" x14ac:dyDescent="0.3">
      <c r="A1398"/>
      <c r="B1398"/>
      <c r="C1398" s="6"/>
    </row>
    <row r="1399" spans="1:3" x14ac:dyDescent="0.3">
      <c r="A1399"/>
      <c r="B1399"/>
      <c r="C1399" s="6"/>
    </row>
    <row r="1400" spans="1:3" x14ac:dyDescent="0.3">
      <c r="A1400"/>
      <c r="B1400"/>
      <c r="C1400" s="6"/>
    </row>
    <row r="1401" spans="1:3" x14ac:dyDescent="0.3">
      <c r="A1401"/>
      <c r="B1401"/>
      <c r="C1401" s="6"/>
    </row>
    <row r="1402" spans="1:3" x14ac:dyDescent="0.3">
      <c r="A1402"/>
      <c r="B1402"/>
      <c r="C1402" s="6"/>
    </row>
    <row r="1403" spans="1:3" x14ac:dyDescent="0.3">
      <c r="A1403"/>
      <c r="B1403"/>
      <c r="C1403" s="6"/>
    </row>
    <row r="1404" spans="1:3" x14ac:dyDescent="0.3">
      <c r="A1404"/>
      <c r="B1404"/>
      <c r="C1404" s="6"/>
    </row>
    <row r="1405" spans="1:3" x14ac:dyDescent="0.3">
      <c r="A1405"/>
      <c r="B1405"/>
      <c r="C1405" s="6"/>
    </row>
    <row r="1406" spans="1:3" x14ac:dyDescent="0.3">
      <c r="A1406"/>
      <c r="B1406"/>
      <c r="C1406" s="6"/>
    </row>
    <row r="1407" spans="1:3" x14ac:dyDescent="0.3">
      <c r="A1407"/>
      <c r="B1407"/>
      <c r="C1407" s="6"/>
    </row>
    <row r="1408" spans="1:3" x14ac:dyDescent="0.3">
      <c r="A1408"/>
      <c r="B1408"/>
      <c r="C1408" s="6"/>
    </row>
    <row r="1409" spans="1:3" x14ac:dyDescent="0.3">
      <c r="A1409"/>
      <c r="B1409"/>
      <c r="C1409" s="6"/>
    </row>
    <row r="1410" spans="1:3" x14ac:dyDescent="0.3">
      <c r="A1410"/>
      <c r="B1410"/>
      <c r="C1410" s="6"/>
    </row>
    <row r="1411" spans="1:3" x14ac:dyDescent="0.3">
      <c r="A1411"/>
      <c r="B1411"/>
      <c r="C1411" s="6"/>
    </row>
    <row r="1412" spans="1:3" x14ac:dyDescent="0.3">
      <c r="A1412"/>
      <c r="B1412"/>
      <c r="C1412" s="6"/>
    </row>
    <row r="1413" spans="1:3" x14ac:dyDescent="0.3">
      <c r="A1413"/>
      <c r="B1413"/>
      <c r="C1413" s="6"/>
    </row>
    <row r="1414" spans="1:3" x14ac:dyDescent="0.3">
      <c r="A1414"/>
      <c r="B1414"/>
      <c r="C1414" s="6"/>
    </row>
    <row r="1415" spans="1:3" x14ac:dyDescent="0.3">
      <c r="A1415"/>
      <c r="B1415"/>
      <c r="C1415" s="6"/>
    </row>
    <row r="1416" spans="1:3" x14ac:dyDescent="0.3">
      <c r="A1416"/>
      <c r="B1416"/>
      <c r="C1416" s="6"/>
    </row>
    <row r="1417" spans="1:3" x14ac:dyDescent="0.3">
      <c r="A1417"/>
      <c r="B1417"/>
      <c r="C1417" s="6"/>
    </row>
    <row r="1418" spans="1:3" x14ac:dyDescent="0.3">
      <c r="A1418"/>
      <c r="B1418"/>
      <c r="C1418" s="6"/>
    </row>
    <row r="1419" spans="1:3" x14ac:dyDescent="0.3">
      <c r="A1419"/>
      <c r="B1419"/>
      <c r="C1419" s="6"/>
    </row>
    <row r="1420" spans="1:3" x14ac:dyDescent="0.3">
      <c r="A1420"/>
      <c r="B1420"/>
      <c r="C1420" s="6"/>
    </row>
    <row r="1421" spans="1:3" x14ac:dyDescent="0.3">
      <c r="A1421"/>
      <c r="B1421"/>
      <c r="C1421" s="6"/>
    </row>
    <row r="1422" spans="1:3" x14ac:dyDescent="0.3">
      <c r="A1422"/>
      <c r="B1422"/>
      <c r="C1422" s="6"/>
    </row>
    <row r="1423" spans="1:3" x14ac:dyDescent="0.3">
      <c r="A1423"/>
      <c r="B1423"/>
      <c r="C1423" s="6"/>
    </row>
    <row r="1424" spans="1:3" x14ac:dyDescent="0.3">
      <c r="A1424"/>
      <c r="B1424"/>
      <c r="C1424" s="6"/>
    </row>
    <row r="1425" spans="1:3" x14ac:dyDescent="0.3">
      <c r="A1425"/>
      <c r="B1425"/>
      <c r="C1425" s="6"/>
    </row>
    <row r="1426" spans="1:3" x14ac:dyDescent="0.3">
      <c r="A1426"/>
      <c r="B1426"/>
      <c r="C1426" s="6"/>
    </row>
    <row r="1427" spans="1:3" x14ac:dyDescent="0.3">
      <c r="A1427"/>
      <c r="B1427"/>
      <c r="C1427" s="6"/>
    </row>
    <row r="1428" spans="1:3" x14ac:dyDescent="0.3">
      <c r="A1428"/>
      <c r="B1428"/>
      <c r="C1428" s="6"/>
    </row>
    <row r="1429" spans="1:3" x14ac:dyDescent="0.3">
      <c r="A1429"/>
      <c r="B1429"/>
      <c r="C1429" s="6"/>
    </row>
    <row r="1430" spans="1:3" x14ac:dyDescent="0.3">
      <c r="A1430"/>
      <c r="B1430"/>
      <c r="C1430" s="6"/>
    </row>
    <row r="1431" spans="1:3" x14ac:dyDescent="0.3">
      <c r="A1431"/>
      <c r="B1431"/>
      <c r="C1431" s="6"/>
    </row>
    <row r="1432" spans="1:3" x14ac:dyDescent="0.3">
      <c r="A1432"/>
      <c r="B1432"/>
      <c r="C1432" s="6"/>
    </row>
    <row r="1433" spans="1:3" x14ac:dyDescent="0.3">
      <c r="A1433"/>
      <c r="B1433"/>
      <c r="C1433" s="6"/>
    </row>
    <row r="1434" spans="1:3" x14ac:dyDescent="0.3">
      <c r="A1434"/>
      <c r="B1434"/>
      <c r="C1434" s="6"/>
    </row>
    <row r="1435" spans="1:3" x14ac:dyDescent="0.3">
      <c r="A1435"/>
      <c r="B1435"/>
      <c r="C1435" s="6"/>
    </row>
    <row r="1436" spans="1:3" x14ac:dyDescent="0.3">
      <c r="A1436"/>
      <c r="B1436"/>
      <c r="C1436" s="6"/>
    </row>
    <row r="1437" spans="1:3" x14ac:dyDescent="0.3">
      <c r="A1437"/>
      <c r="B1437"/>
      <c r="C1437" s="6"/>
    </row>
    <row r="1438" spans="1:3" x14ac:dyDescent="0.3">
      <c r="A1438"/>
      <c r="B1438"/>
      <c r="C1438" s="6"/>
    </row>
    <row r="1439" spans="1:3" x14ac:dyDescent="0.3">
      <c r="A1439"/>
      <c r="B1439"/>
      <c r="C1439" s="6"/>
    </row>
    <row r="1440" spans="1:3" x14ac:dyDescent="0.3">
      <c r="A1440"/>
      <c r="B1440"/>
      <c r="C1440" s="6"/>
    </row>
    <row r="1441" spans="1:3" x14ac:dyDescent="0.3">
      <c r="A1441"/>
      <c r="B1441"/>
      <c r="C1441" s="6"/>
    </row>
    <row r="1442" spans="1:3" x14ac:dyDescent="0.3">
      <c r="A1442"/>
      <c r="B1442"/>
      <c r="C1442" s="6"/>
    </row>
    <row r="1443" spans="1:3" x14ac:dyDescent="0.3">
      <c r="A1443"/>
      <c r="B1443"/>
      <c r="C1443" s="6"/>
    </row>
    <row r="1444" spans="1:3" x14ac:dyDescent="0.3">
      <c r="A1444"/>
      <c r="B1444"/>
      <c r="C1444" s="6"/>
    </row>
    <row r="1445" spans="1:3" x14ac:dyDescent="0.3">
      <c r="A1445"/>
      <c r="B1445"/>
      <c r="C1445" s="6"/>
    </row>
    <row r="1446" spans="1:3" x14ac:dyDescent="0.3">
      <c r="A1446"/>
      <c r="B1446"/>
      <c r="C1446" s="6"/>
    </row>
    <row r="1447" spans="1:3" x14ac:dyDescent="0.3">
      <c r="A1447"/>
      <c r="B1447"/>
      <c r="C1447" s="6"/>
    </row>
    <row r="1448" spans="1:3" x14ac:dyDescent="0.3">
      <c r="A1448"/>
      <c r="B1448"/>
      <c r="C1448" s="6"/>
    </row>
    <row r="1449" spans="1:3" x14ac:dyDescent="0.3">
      <c r="A1449"/>
      <c r="B1449"/>
      <c r="C1449" s="6"/>
    </row>
    <row r="1450" spans="1:3" x14ac:dyDescent="0.3">
      <c r="A1450"/>
      <c r="B1450"/>
      <c r="C1450" s="6"/>
    </row>
    <row r="1451" spans="1:3" x14ac:dyDescent="0.3">
      <c r="A1451"/>
      <c r="B1451"/>
      <c r="C1451" s="6"/>
    </row>
    <row r="1452" spans="1:3" x14ac:dyDescent="0.3">
      <c r="A1452"/>
      <c r="B1452"/>
      <c r="C1452" s="6"/>
    </row>
    <row r="1453" spans="1:3" x14ac:dyDescent="0.3">
      <c r="A1453"/>
      <c r="B1453"/>
      <c r="C1453" s="6"/>
    </row>
    <row r="1454" spans="1:3" x14ac:dyDescent="0.3">
      <c r="A1454"/>
      <c r="B1454"/>
      <c r="C1454" s="6"/>
    </row>
    <row r="1455" spans="1:3" x14ac:dyDescent="0.3">
      <c r="A1455"/>
      <c r="B1455"/>
      <c r="C1455" s="6"/>
    </row>
    <row r="1456" spans="1:3" x14ac:dyDescent="0.3">
      <c r="A1456"/>
      <c r="B1456"/>
      <c r="C1456" s="6"/>
    </row>
    <row r="1457" spans="1:3" x14ac:dyDescent="0.3">
      <c r="A1457"/>
      <c r="B1457"/>
      <c r="C1457" s="6"/>
    </row>
    <row r="1458" spans="1:3" x14ac:dyDescent="0.3">
      <c r="A1458"/>
      <c r="B1458"/>
      <c r="C1458" s="6"/>
    </row>
    <row r="1459" spans="1:3" x14ac:dyDescent="0.3">
      <c r="A1459"/>
      <c r="B1459"/>
      <c r="C1459" s="6"/>
    </row>
    <row r="1460" spans="1:3" x14ac:dyDescent="0.3">
      <c r="A1460"/>
      <c r="B1460"/>
      <c r="C1460" s="6"/>
    </row>
    <row r="1461" spans="1:3" x14ac:dyDescent="0.3">
      <c r="A1461"/>
      <c r="B1461"/>
      <c r="C1461" s="6"/>
    </row>
    <row r="1462" spans="1:3" x14ac:dyDescent="0.3">
      <c r="A1462"/>
      <c r="B1462"/>
      <c r="C1462" s="6"/>
    </row>
    <row r="1463" spans="1:3" x14ac:dyDescent="0.3">
      <c r="A1463"/>
      <c r="B1463"/>
      <c r="C1463" s="6"/>
    </row>
    <row r="1464" spans="1:3" x14ac:dyDescent="0.3">
      <c r="A1464"/>
      <c r="B1464"/>
      <c r="C1464" s="6"/>
    </row>
    <row r="1465" spans="1:3" x14ac:dyDescent="0.3">
      <c r="A1465"/>
      <c r="B1465"/>
      <c r="C1465" s="6"/>
    </row>
    <row r="1466" spans="1:3" x14ac:dyDescent="0.3">
      <c r="A1466"/>
      <c r="B1466"/>
      <c r="C1466" s="6"/>
    </row>
    <row r="1467" spans="1:3" x14ac:dyDescent="0.3">
      <c r="A1467"/>
      <c r="B1467"/>
      <c r="C1467" s="6"/>
    </row>
    <row r="1468" spans="1:3" x14ac:dyDescent="0.3">
      <c r="A1468"/>
      <c r="B1468"/>
      <c r="C1468" s="6"/>
    </row>
    <row r="1469" spans="1:3" x14ac:dyDescent="0.3">
      <c r="A1469"/>
      <c r="B1469"/>
      <c r="C1469" s="6"/>
    </row>
    <row r="1470" spans="1:3" x14ac:dyDescent="0.3">
      <c r="A1470"/>
      <c r="B1470"/>
      <c r="C1470" s="6"/>
    </row>
    <row r="1471" spans="1:3" x14ac:dyDescent="0.3">
      <c r="A1471"/>
      <c r="B1471"/>
      <c r="C1471" s="6"/>
    </row>
    <row r="1472" spans="1:3" x14ac:dyDescent="0.3">
      <c r="A1472"/>
      <c r="B1472"/>
      <c r="C1472" s="6"/>
    </row>
    <row r="1473" spans="1:3" x14ac:dyDescent="0.3">
      <c r="A1473"/>
      <c r="B1473"/>
      <c r="C1473" s="6"/>
    </row>
    <row r="1474" spans="1:3" x14ac:dyDescent="0.3">
      <c r="A1474"/>
      <c r="B1474"/>
      <c r="C1474" s="6"/>
    </row>
    <row r="1475" spans="1:3" x14ac:dyDescent="0.3">
      <c r="A1475"/>
      <c r="B1475"/>
      <c r="C1475" s="6"/>
    </row>
    <row r="1476" spans="1:3" x14ac:dyDescent="0.3">
      <c r="A1476"/>
      <c r="B1476"/>
      <c r="C1476" s="6"/>
    </row>
    <row r="1477" spans="1:3" x14ac:dyDescent="0.3">
      <c r="A1477"/>
      <c r="B1477"/>
      <c r="C1477" s="6"/>
    </row>
    <row r="1478" spans="1:3" x14ac:dyDescent="0.3">
      <c r="A1478"/>
      <c r="B1478"/>
      <c r="C1478" s="6"/>
    </row>
    <row r="1479" spans="1:3" x14ac:dyDescent="0.3">
      <c r="A1479"/>
      <c r="B1479"/>
      <c r="C1479" s="6"/>
    </row>
    <row r="1480" spans="1:3" x14ac:dyDescent="0.3">
      <c r="A1480"/>
      <c r="B1480"/>
      <c r="C1480" s="6"/>
    </row>
    <row r="1481" spans="1:3" x14ac:dyDescent="0.3">
      <c r="A1481"/>
      <c r="B1481"/>
      <c r="C1481" s="6"/>
    </row>
    <row r="1482" spans="1:3" x14ac:dyDescent="0.3">
      <c r="A1482"/>
      <c r="B1482"/>
      <c r="C1482" s="6"/>
    </row>
    <row r="1483" spans="1:3" x14ac:dyDescent="0.3">
      <c r="A1483"/>
      <c r="B1483"/>
      <c r="C1483" s="6"/>
    </row>
    <row r="1484" spans="1:3" x14ac:dyDescent="0.3">
      <c r="A1484"/>
      <c r="B1484"/>
      <c r="C1484" s="6"/>
    </row>
    <row r="1485" spans="1:3" x14ac:dyDescent="0.3">
      <c r="A1485"/>
      <c r="B1485"/>
      <c r="C1485" s="6"/>
    </row>
    <row r="1486" spans="1:3" x14ac:dyDescent="0.3">
      <c r="A1486"/>
      <c r="B1486"/>
      <c r="C1486" s="6"/>
    </row>
    <row r="1487" spans="1:3" x14ac:dyDescent="0.3">
      <c r="A1487"/>
      <c r="B1487"/>
      <c r="C1487" s="6"/>
    </row>
    <row r="1488" spans="1:3" x14ac:dyDescent="0.3">
      <c r="A1488"/>
      <c r="B1488"/>
      <c r="C1488" s="6"/>
    </row>
    <row r="1489" spans="1:3" x14ac:dyDescent="0.3">
      <c r="A1489"/>
      <c r="B1489"/>
      <c r="C1489" s="6"/>
    </row>
    <row r="1490" spans="1:3" x14ac:dyDescent="0.3">
      <c r="A1490"/>
      <c r="B1490"/>
      <c r="C1490" s="6"/>
    </row>
    <row r="1491" spans="1:3" x14ac:dyDescent="0.3">
      <c r="A1491"/>
      <c r="B1491"/>
      <c r="C1491" s="6"/>
    </row>
    <row r="1492" spans="1:3" x14ac:dyDescent="0.3">
      <c r="A1492"/>
      <c r="B1492"/>
      <c r="C1492" s="6"/>
    </row>
    <row r="1493" spans="1:3" x14ac:dyDescent="0.3">
      <c r="A1493"/>
      <c r="B1493"/>
      <c r="C1493" s="6"/>
    </row>
    <row r="1494" spans="1:3" x14ac:dyDescent="0.3">
      <c r="A1494"/>
      <c r="B1494"/>
      <c r="C1494" s="6"/>
    </row>
    <row r="1495" spans="1:3" x14ac:dyDescent="0.3">
      <c r="A1495"/>
      <c r="B1495"/>
      <c r="C1495" s="6"/>
    </row>
    <row r="1496" spans="1:3" x14ac:dyDescent="0.3">
      <c r="A1496"/>
      <c r="B1496"/>
      <c r="C1496" s="6"/>
    </row>
    <row r="1497" spans="1:3" x14ac:dyDescent="0.3">
      <c r="A1497"/>
      <c r="B1497"/>
      <c r="C1497" s="6"/>
    </row>
    <row r="1498" spans="1:3" x14ac:dyDescent="0.3">
      <c r="A1498"/>
      <c r="B1498"/>
      <c r="C1498" s="6"/>
    </row>
    <row r="1499" spans="1:3" x14ac:dyDescent="0.3">
      <c r="A1499"/>
      <c r="B1499"/>
      <c r="C1499" s="6"/>
    </row>
    <row r="1500" spans="1:3" x14ac:dyDescent="0.3">
      <c r="A1500"/>
      <c r="B1500"/>
      <c r="C1500" s="6"/>
    </row>
    <row r="1501" spans="1:3" x14ac:dyDescent="0.3">
      <c r="A1501"/>
      <c r="B1501"/>
      <c r="C1501" s="6"/>
    </row>
    <row r="1502" spans="1:3" x14ac:dyDescent="0.3">
      <c r="A1502"/>
      <c r="B1502"/>
      <c r="C1502" s="6"/>
    </row>
    <row r="1503" spans="1:3" x14ac:dyDescent="0.3">
      <c r="A1503"/>
      <c r="B1503"/>
      <c r="C1503" s="6"/>
    </row>
    <row r="1504" spans="1:3" x14ac:dyDescent="0.3">
      <c r="A1504"/>
      <c r="B1504"/>
      <c r="C1504" s="6"/>
    </row>
    <row r="1505" spans="1:3" x14ac:dyDescent="0.3">
      <c r="A1505"/>
      <c r="B1505"/>
      <c r="C1505" s="6"/>
    </row>
    <row r="1506" spans="1:3" x14ac:dyDescent="0.3">
      <c r="A1506"/>
      <c r="B1506"/>
      <c r="C1506" s="6"/>
    </row>
    <row r="1507" spans="1:3" x14ac:dyDescent="0.3">
      <c r="A1507"/>
      <c r="B1507"/>
      <c r="C1507" s="6"/>
    </row>
    <row r="1508" spans="1:3" x14ac:dyDescent="0.3">
      <c r="A1508"/>
      <c r="B1508"/>
      <c r="C1508" s="6"/>
    </row>
    <row r="1509" spans="1:3" x14ac:dyDescent="0.3">
      <c r="A1509"/>
      <c r="B1509"/>
      <c r="C1509" s="6"/>
    </row>
    <row r="1510" spans="1:3" x14ac:dyDescent="0.3">
      <c r="A1510"/>
      <c r="B1510"/>
      <c r="C1510" s="6"/>
    </row>
    <row r="1511" spans="1:3" x14ac:dyDescent="0.3">
      <c r="A1511"/>
      <c r="B1511"/>
      <c r="C1511" s="6"/>
    </row>
    <row r="1512" spans="1:3" x14ac:dyDescent="0.3">
      <c r="A1512"/>
      <c r="B1512"/>
      <c r="C1512" s="6"/>
    </row>
    <row r="1513" spans="1:3" x14ac:dyDescent="0.3">
      <c r="A1513"/>
      <c r="B1513"/>
      <c r="C1513" s="6"/>
    </row>
    <row r="1514" spans="1:3" x14ac:dyDescent="0.3">
      <c r="A1514"/>
      <c r="B1514"/>
      <c r="C1514" s="6"/>
    </row>
    <row r="1515" spans="1:3" x14ac:dyDescent="0.3">
      <c r="A1515"/>
      <c r="B1515"/>
      <c r="C1515" s="6"/>
    </row>
    <row r="1516" spans="1:3" x14ac:dyDescent="0.3">
      <c r="A1516"/>
      <c r="B1516"/>
      <c r="C1516" s="6"/>
    </row>
    <row r="1517" spans="1:3" x14ac:dyDescent="0.3">
      <c r="A1517"/>
      <c r="B1517"/>
      <c r="C1517" s="6"/>
    </row>
    <row r="1518" spans="1:3" x14ac:dyDescent="0.3">
      <c r="A1518"/>
      <c r="B1518"/>
      <c r="C1518" s="6"/>
    </row>
    <row r="1519" spans="1:3" x14ac:dyDescent="0.3">
      <c r="A1519"/>
      <c r="B1519"/>
      <c r="C1519" s="6"/>
    </row>
    <row r="1520" spans="1:3" x14ac:dyDescent="0.3">
      <c r="A1520"/>
      <c r="B1520"/>
      <c r="C1520" s="6"/>
    </row>
    <row r="1521" spans="1:3" x14ac:dyDescent="0.3">
      <c r="A1521"/>
      <c r="B1521"/>
      <c r="C1521" s="6"/>
    </row>
    <row r="1522" spans="1:3" x14ac:dyDescent="0.3">
      <c r="A1522"/>
      <c r="B1522"/>
      <c r="C1522" s="6"/>
    </row>
    <row r="1523" spans="1:3" x14ac:dyDescent="0.3">
      <c r="A1523"/>
      <c r="B1523"/>
      <c r="C1523" s="6"/>
    </row>
    <row r="1524" spans="1:3" x14ac:dyDescent="0.3">
      <c r="A1524"/>
      <c r="B1524"/>
      <c r="C1524" s="6"/>
    </row>
    <row r="1525" spans="1:3" x14ac:dyDescent="0.3">
      <c r="A1525"/>
      <c r="B1525"/>
      <c r="C1525" s="6"/>
    </row>
    <row r="1526" spans="1:3" x14ac:dyDescent="0.3">
      <c r="A1526"/>
      <c r="B1526"/>
      <c r="C1526" s="6"/>
    </row>
    <row r="1527" spans="1:3" x14ac:dyDescent="0.3">
      <c r="A1527"/>
      <c r="B1527"/>
      <c r="C1527" s="6"/>
    </row>
    <row r="1528" spans="1:3" x14ac:dyDescent="0.3">
      <c r="A1528"/>
      <c r="B1528"/>
      <c r="C1528" s="6"/>
    </row>
    <row r="1529" spans="1:3" x14ac:dyDescent="0.3">
      <c r="A1529"/>
      <c r="B1529"/>
      <c r="C1529" s="6"/>
    </row>
    <row r="1530" spans="1:3" x14ac:dyDescent="0.3">
      <c r="A1530"/>
      <c r="B1530"/>
      <c r="C1530" s="6"/>
    </row>
    <row r="1531" spans="1:3" x14ac:dyDescent="0.3">
      <c r="A1531"/>
      <c r="B1531"/>
      <c r="C1531" s="6"/>
    </row>
    <row r="1532" spans="1:3" x14ac:dyDescent="0.3">
      <c r="A1532"/>
      <c r="B1532"/>
      <c r="C1532" s="6"/>
    </row>
    <row r="1533" spans="1:3" x14ac:dyDescent="0.3">
      <c r="A1533"/>
      <c r="B1533"/>
      <c r="C1533" s="6"/>
    </row>
    <row r="1534" spans="1:3" x14ac:dyDescent="0.3">
      <c r="A1534"/>
      <c r="B1534"/>
      <c r="C1534" s="6"/>
    </row>
    <row r="1535" spans="1:3" x14ac:dyDescent="0.3">
      <c r="A1535"/>
      <c r="B1535"/>
      <c r="C1535" s="6"/>
    </row>
    <row r="1536" spans="1:3" x14ac:dyDescent="0.3">
      <c r="A1536"/>
      <c r="B1536"/>
      <c r="C1536" s="6"/>
    </row>
    <row r="1537" spans="1:3" x14ac:dyDescent="0.3">
      <c r="A1537"/>
      <c r="B1537"/>
      <c r="C1537" s="6"/>
    </row>
    <row r="1538" spans="1:3" x14ac:dyDescent="0.3">
      <c r="A1538"/>
      <c r="B1538"/>
      <c r="C1538" s="6"/>
    </row>
    <row r="1539" spans="1:3" x14ac:dyDescent="0.3">
      <c r="A1539"/>
      <c r="B1539"/>
      <c r="C1539" s="6"/>
    </row>
    <row r="1540" spans="1:3" x14ac:dyDescent="0.3">
      <c r="A1540"/>
      <c r="B1540"/>
      <c r="C1540" s="6"/>
    </row>
    <row r="1541" spans="1:3" x14ac:dyDescent="0.3">
      <c r="A1541"/>
      <c r="B1541"/>
      <c r="C1541" s="6"/>
    </row>
    <row r="1542" spans="1:3" x14ac:dyDescent="0.3">
      <c r="A1542"/>
      <c r="B1542"/>
      <c r="C1542" s="6"/>
    </row>
    <row r="1543" spans="1:3" x14ac:dyDescent="0.3">
      <c r="A1543"/>
      <c r="B1543"/>
      <c r="C1543" s="6"/>
    </row>
    <row r="1544" spans="1:3" x14ac:dyDescent="0.3">
      <c r="A1544"/>
      <c r="B1544"/>
      <c r="C1544" s="6"/>
    </row>
    <row r="1545" spans="1:3" x14ac:dyDescent="0.3">
      <c r="A1545"/>
      <c r="B1545"/>
      <c r="C1545" s="6"/>
    </row>
    <row r="1546" spans="1:3" x14ac:dyDescent="0.3">
      <c r="A1546"/>
      <c r="B1546"/>
      <c r="C1546" s="6"/>
    </row>
    <row r="1547" spans="1:3" x14ac:dyDescent="0.3">
      <c r="A1547"/>
      <c r="B1547"/>
      <c r="C1547" s="6"/>
    </row>
    <row r="1548" spans="1:3" x14ac:dyDescent="0.3">
      <c r="A1548"/>
      <c r="B1548"/>
      <c r="C1548" s="6"/>
    </row>
    <row r="1549" spans="1:3" x14ac:dyDescent="0.3">
      <c r="A1549"/>
      <c r="B1549"/>
      <c r="C1549" s="6"/>
    </row>
    <row r="1550" spans="1:3" x14ac:dyDescent="0.3">
      <c r="A1550"/>
      <c r="B1550"/>
      <c r="C1550" s="6"/>
    </row>
    <row r="1551" spans="1:3" x14ac:dyDescent="0.3">
      <c r="A1551"/>
      <c r="B1551"/>
      <c r="C1551" s="6"/>
    </row>
    <row r="1552" spans="1:3" x14ac:dyDescent="0.3">
      <c r="A1552"/>
      <c r="B1552"/>
      <c r="C1552" s="6"/>
    </row>
    <row r="1553" spans="1:3" x14ac:dyDescent="0.3">
      <c r="A1553"/>
      <c r="B1553"/>
      <c r="C1553" s="6"/>
    </row>
    <row r="1554" spans="1:3" x14ac:dyDescent="0.3">
      <c r="A1554"/>
      <c r="B1554"/>
      <c r="C1554" s="6"/>
    </row>
    <row r="1555" spans="1:3" x14ac:dyDescent="0.3">
      <c r="A1555"/>
      <c r="B1555"/>
      <c r="C1555" s="6"/>
    </row>
    <row r="1556" spans="1:3" x14ac:dyDescent="0.3">
      <c r="A1556"/>
      <c r="B1556"/>
      <c r="C1556" s="6"/>
    </row>
    <row r="1557" spans="1:3" x14ac:dyDescent="0.3">
      <c r="A1557"/>
      <c r="B1557"/>
      <c r="C1557" s="6"/>
    </row>
    <row r="1558" spans="1:3" x14ac:dyDescent="0.3">
      <c r="A1558"/>
      <c r="B1558"/>
      <c r="C1558" s="6"/>
    </row>
    <row r="1559" spans="1:3" x14ac:dyDescent="0.3">
      <c r="A1559"/>
      <c r="B1559"/>
      <c r="C1559" s="6"/>
    </row>
    <row r="1560" spans="1:3" x14ac:dyDescent="0.3">
      <c r="A1560"/>
      <c r="B1560"/>
      <c r="C1560" s="6"/>
    </row>
    <row r="1561" spans="1:3" x14ac:dyDescent="0.3">
      <c r="A1561"/>
      <c r="B1561"/>
      <c r="C1561" s="6"/>
    </row>
    <row r="1562" spans="1:3" x14ac:dyDescent="0.3">
      <c r="A1562"/>
      <c r="B1562"/>
      <c r="C1562" s="6"/>
    </row>
    <row r="1563" spans="1:3" x14ac:dyDescent="0.3">
      <c r="A1563"/>
      <c r="B1563"/>
      <c r="C1563" s="6"/>
    </row>
    <row r="1564" spans="1:3" x14ac:dyDescent="0.3">
      <c r="A1564"/>
      <c r="B1564"/>
      <c r="C1564" s="6"/>
    </row>
    <row r="1565" spans="1:3" x14ac:dyDescent="0.3">
      <c r="A1565"/>
      <c r="B1565"/>
      <c r="C1565" s="6"/>
    </row>
    <row r="1566" spans="1:3" x14ac:dyDescent="0.3">
      <c r="A1566"/>
      <c r="B1566"/>
      <c r="C1566" s="6"/>
    </row>
    <row r="1567" spans="1:3" x14ac:dyDescent="0.3">
      <c r="A1567"/>
      <c r="B1567"/>
      <c r="C1567" s="6"/>
    </row>
    <row r="1568" spans="1:3" x14ac:dyDescent="0.3">
      <c r="A1568"/>
      <c r="B1568"/>
      <c r="C1568" s="6"/>
    </row>
    <row r="1569" spans="1:3" x14ac:dyDescent="0.3">
      <c r="A1569"/>
      <c r="B1569"/>
      <c r="C1569" s="6"/>
    </row>
    <row r="1570" spans="1:3" x14ac:dyDescent="0.3">
      <c r="A1570"/>
      <c r="B1570"/>
      <c r="C1570" s="6"/>
    </row>
    <row r="1571" spans="1:3" x14ac:dyDescent="0.3">
      <c r="A1571"/>
      <c r="B1571"/>
      <c r="C1571" s="6"/>
    </row>
    <row r="1572" spans="1:3" x14ac:dyDescent="0.3">
      <c r="A1572"/>
      <c r="B1572"/>
      <c r="C1572" s="6"/>
    </row>
    <row r="1573" spans="1:3" x14ac:dyDescent="0.3">
      <c r="A1573"/>
      <c r="B1573"/>
      <c r="C1573" s="6"/>
    </row>
    <row r="1574" spans="1:3" x14ac:dyDescent="0.3">
      <c r="A1574"/>
      <c r="B1574"/>
      <c r="C1574" s="6"/>
    </row>
    <row r="1575" spans="1:3" x14ac:dyDescent="0.3">
      <c r="A1575"/>
      <c r="B1575"/>
      <c r="C1575" s="6"/>
    </row>
    <row r="1576" spans="1:3" x14ac:dyDescent="0.3">
      <c r="A1576"/>
      <c r="B1576"/>
      <c r="C1576" s="6"/>
    </row>
    <row r="1577" spans="1:3" x14ac:dyDescent="0.3">
      <c r="A1577"/>
      <c r="B1577"/>
      <c r="C1577" s="6"/>
    </row>
    <row r="1578" spans="1:3" x14ac:dyDescent="0.3">
      <c r="A1578"/>
      <c r="B1578"/>
      <c r="C1578" s="6"/>
    </row>
    <row r="1579" spans="1:3" x14ac:dyDescent="0.3">
      <c r="A1579"/>
      <c r="B1579"/>
      <c r="C1579" s="6"/>
    </row>
    <row r="1580" spans="1:3" x14ac:dyDescent="0.3">
      <c r="A1580"/>
      <c r="B1580"/>
      <c r="C1580" s="6"/>
    </row>
    <row r="1581" spans="1:3" x14ac:dyDescent="0.3">
      <c r="A1581"/>
      <c r="B1581"/>
      <c r="C1581" s="6"/>
    </row>
    <row r="1582" spans="1:3" x14ac:dyDescent="0.3">
      <c r="A1582"/>
      <c r="B1582"/>
      <c r="C1582" s="6"/>
    </row>
    <row r="1583" spans="1:3" x14ac:dyDescent="0.3">
      <c r="A1583"/>
      <c r="B1583"/>
      <c r="C1583" s="6"/>
    </row>
    <row r="1584" spans="1:3" x14ac:dyDescent="0.3">
      <c r="A1584"/>
      <c r="B1584"/>
      <c r="C1584" s="6"/>
    </row>
    <row r="1585" spans="1:3" x14ac:dyDescent="0.3">
      <c r="A1585"/>
      <c r="B1585"/>
      <c r="C1585" s="6"/>
    </row>
    <row r="1586" spans="1:3" x14ac:dyDescent="0.3">
      <c r="A1586"/>
      <c r="B1586"/>
      <c r="C1586" s="6"/>
    </row>
    <row r="1587" spans="1:3" x14ac:dyDescent="0.3">
      <c r="A1587"/>
      <c r="B1587"/>
      <c r="C1587" s="6"/>
    </row>
    <row r="1588" spans="1:3" x14ac:dyDescent="0.3">
      <c r="A1588"/>
      <c r="B1588"/>
      <c r="C1588" s="6"/>
    </row>
    <row r="1589" spans="1:3" x14ac:dyDescent="0.3">
      <c r="A1589"/>
      <c r="B1589"/>
      <c r="C1589" s="6"/>
    </row>
    <row r="1590" spans="1:3" x14ac:dyDescent="0.3">
      <c r="A1590"/>
      <c r="B1590"/>
      <c r="C1590" s="6"/>
    </row>
    <row r="1591" spans="1:3" x14ac:dyDescent="0.3">
      <c r="A1591"/>
      <c r="B1591"/>
      <c r="C1591" s="6"/>
    </row>
    <row r="1592" spans="1:3" x14ac:dyDescent="0.3">
      <c r="A1592"/>
      <c r="B1592"/>
      <c r="C1592" s="6"/>
    </row>
    <row r="1593" spans="1:3" x14ac:dyDescent="0.3">
      <c r="A1593"/>
      <c r="B1593"/>
      <c r="C1593" s="6"/>
    </row>
    <row r="1594" spans="1:3" x14ac:dyDescent="0.3">
      <c r="A1594"/>
      <c r="B1594"/>
      <c r="C1594" s="6"/>
    </row>
    <row r="1595" spans="1:3" x14ac:dyDescent="0.3">
      <c r="A1595"/>
      <c r="B1595"/>
      <c r="C1595" s="6"/>
    </row>
    <row r="1596" spans="1:3" x14ac:dyDescent="0.3">
      <c r="A1596"/>
      <c r="B1596"/>
      <c r="C1596" s="6"/>
    </row>
    <row r="1597" spans="1:3" x14ac:dyDescent="0.3">
      <c r="A1597"/>
      <c r="B1597"/>
      <c r="C1597" s="6"/>
    </row>
    <row r="1598" spans="1:3" x14ac:dyDescent="0.3">
      <c r="A1598"/>
      <c r="B1598"/>
      <c r="C1598" s="6"/>
    </row>
    <row r="1599" spans="1:3" x14ac:dyDescent="0.3">
      <c r="A1599"/>
      <c r="B1599"/>
      <c r="C1599" s="6"/>
    </row>
    <row r="1600" spans="1:3" x14ac:dyDescent="0.3">
      <c r="A1600"/>
      <c r="B1600"/>
      <c r="C1600" s="6"/>
    </row>
    <row r="1601" spans="1:3" x14ac:dyDescent="0.3">
      <c r="A1601"/>
      <c r="B1601"/>
      <c r="C1601" s="6"/>
    </row>
    <row r="1602" spans="1:3" x14ac:dyDescent="0.3">
      <c r="A1602"/>
      <c r="B1602"/>
      <c r="C1602" s="6"/>
    </row>
    <row r="1603" spans="1:3" x14ac:dyDescent="0.3">
      <c r="A1603"/>
      <c r="B1603"/>
      <c r="C1603" s="6"/>
    </row>
    <row r="1604" spans="1:3" x14ac:dyDescent="0.3">
      <c r="A1604"/>
      <c r="B1604"/>
      <c r="C1604" s="6"/>
    </row>
    <row r="1605" spans="1:3" x14ac:dyDescent="0.3">
      <c r="A1605"/>
      <c r="B1605"/>
      <c r="C1605" s="6"/>
    </row>
    <row r="1606" spans="1:3" x14ac:dyDescent="0.3">
      <c r="A1606"/>
      <c r="B1606"/>
      <c r="C1606" s="6"/>
    </row>
    <row r="1607" spans="1:3" x14ac:dyDescent="0.3">
      <c r="A1607"/>
      <c r="B1607"/>
      <c r="C1607" s="6"/>
    </row>
    <row r="1608" spans="1:3" x14ac:dyDescent="0.3">
      <c r="A1608"/>
      <c r="B1608"/>
      <c r="C1608" s="6"/>
    </row>
    <row r="1609" spans="1:3" x14ac:dyDescent="0.3">
      <c r="A1609"/>
      <c r="B1609"/>
      <c r="C1609" s="6"/>
    </row>
    <row r="1610" spans="1:3" x14ac:dyDescent="0.3">
      <c r="A1610"/>
      <c r="B1610"/>
      <c r="C1610" s="6"/>
    </row>
    <row r="1611" spans="1:3" x14ac:dyDescent="0.3">
      <c r="A1611"/>
      <c r="B1611"/>
      <c r="C1611" s="6"/>
    </row>
    <row r="1612" spans="1:3" x14ac:dyDescent="0.3">
      <c r="A1612"/>
      <c r="B1612"/>
      <c r="C1612" s="6"/>
    </row>
    <row r="1613" spans="1:3" x14ac:dyDescent="0.3">
      <c r="A1613"/>
      <c r="B1613"/>
      <c r="C1613" s="6"/>
    </row>
    <row r="1614" spans="1:3" x14ac:dyDescent="0.3">
      <c r="A1614"/>
      <c r="B1614"/>
      <c r="C1614" s="6"/>
    </row>
    <row r="1615" spans="1:3" x14ac:dyDescent="0.3">
      <c r="A1615"/>
      <c r="B1615"/>
      <c r="C1615" s="6"/>
    </row>
    <row r="1616" spans="1:3" x14ac:dyDescent="0.3">
      <c r="A1616"/>
      <c r="B1616"/>
      <c r="C1616" s="6"/>
    </row>
    <row r="1617" spans="1:3" x14ac:dyDescent="0.3">
      <c r="A1617"/>
      <c r="B1617"/>
      <c r="C1617" s="6"/>
    </row>
    <row r="1618" spans="1:3" x14ac:dyDescent="0.3">
      <c r="A1618"/>
      <c r="B1618"/>
      <c r="C1618" s="6"/>
    </row>
    <row r="1619" spans="1:3" x14ac:dyDescent="0.3">
      <c r="A1619"/>
      <c r="B1619"/>
      <c r="C1619" s="6"/>
    </row>
    <row r="1620" spans="1:3" x14ac:dyDescent="0.3">
      <c r="A1620"/>
      <c r="B1620"/>
      <c r="C1620" s="6"/>
    </row>
    <row r="1621" spans="1:3" x14ac:dyDescent="0.3">
      <c r="A1621"/>
      <c r="B1621"/>
      <c r="C1621" s="6"/>
    </row>
    <row r="1622" spans="1:3" x14ac:dyDescent="0.3">
      <c r="A1622"/>
      <c r="B1622"/>
      <c r="C1622" s="6"/>
    </row>
    <row r="1623" spans="1:3" x14ac:dyDescent="0.3">
      <c r="A1623"/>
      <c r="B1623"/>
      <c r="C1623" s="6"/>
    </row>
    <row r="1624" spans="1:3" x14ac:dyDescent="0.3">
      <c r="A1624"/>
      <c r="B1624"/>
      <c r="C1624" s="6"/>
    </row>
    <row r="1625" spans="1:3" x14ac:dyDescent="0.3">
      <c r="A1625"/>
      <c r="B1625"/>
      <c r="C1625" s="6"/>
    </row>
    <row r="1626" spans="1:3" x14ac:dyDescent="0.3">
      <c r="A1626"/>
      <c r="B1626"/>
      <c r="C1626" s="6"/>
    </row>
    <row r="1627" spans="1:3" x14ac:dyDescent="0.3">
      <c r="A1627"/>
      <c r="B1627"/>
      <c r="C1627" s="6"/>
    </row>
    <row r="1628" spans="1:3" x14ac:dyDescent="0.3">
      <c r="A1628"/>
      <c r="B1628"/>
      <c r="C1628" s="6"/>
    </row>
    <row r="1629" spans="1:3" x14ac:dyDescent="0.3">
      <c r="A1629"/>
      <c r="B1629"/>
      <c r="C1629" s="6"/>
    </row>
    <row r="1630" spans="1:3" x14ac:dyDescent="0.3">
      <c r="A1630"/>
      <c r="B1630"/>
      <c r="C1630" s="6"/>
    </row>
    <row r="1631" spans="1:3" x14ac:dyDescent="0.3">
      <c r="A1631"/>
      <c r="B1631"/>
      <c r="C1631" s="6"/>
    </row>
    <row r="1632" spans="1:3" x14ac:dyDescent="0.3">
      <c r="A1632"/>
      <c r="B1632"/>
      <c r="C1632" s="6"/>
    </row>
    <row r="1633" spans="1:3" x14ac:dyDescent="0.3">
      <c r="A1633"/>
      <c r="B1633"/>
      <c r="C1633" s="6"/>
    </row>
    <row r="1634" spans="1:3" x14ac:dyDescent="0.3">
      <c r="A1634"/>
      <c r="B1634"/>
      <c r="C1634" s="6"/>
    </row>
    <row r="1635" spans="1:3" x14ac:dyDescent="0.3">
      <c r="A1635"/>
      <c r="B1635"/>
      <c r="C1635" s="6"/>
    </row>
    <row r="1636" spans="1:3" x14ac:dyDescent="0.3">
      <c r="A1636"/>
      <c r="B1636"/>
      <c r="C1636" s="6"/>
    </row>
    <row r="1637" spans="1:3" x14ac:dyDescent="0.3">
      <c r="A1637"/>
      <c r="B1637"/>
      <c r="C1637" s="6"/>
    </row>
    <row r="1638" spans="1:3" x14ac:dyDescent="0.3">
      <c r="A1638"/>
      <c r="B1638"/>
      <c r="C1638" s="6"/>
    </row>
    <row r="1639" spans="1:3" x14ac:dyDescent="0.3">
      <c r="A1639"/>
      <c r="B1639"/>
      <c r="C1639" s="6"/>
    </row>
    <row r="1640" spans="1:3" x14ac:dyDescent="0.3">
      <c r="A1640"/>
      <c r="B1640"/>
      <c r="C1640" s="6"/>
    </row>
    <row r="1641" spans="1:3" x14ac:dyDescent="0.3">
      <c r="A1641"/>
      <c r="B1641"/>
      <c r="C1641" s="6"/>
    </row>
    <row r="1642" spans="1:3" x14ac:dyDescent="0.3">
      <c r="A1642"/>
      <c r="B1642"/>
      <c r="C1642" s="6"/>
    </row>
    <row r="1643" spans="1:3" x14ac:dyDescent="0.3">
      <c r="A1643"/>
      <c r="B1643"/>
      <c r="C1643" s="6"/>
    </row>
    <row r="1644" spans="1:3" x14ac:dyDescent="0.3">
      <c r="A1644"/>
      <c r="B1644"/>
      <c r="C1644" s="6"/>
    </row>
    <row r="1645" spans="1:3" x14ac:dyDescent="0.3">
      <c r="A1645"/>
      <c r="B1645"/>
      <c r="C1645" s="6"/>
    </row>
    <row r="1646" spans="1:3" x14ac:dyDescent="0.3">
      <c r="A1646"/>
      <c r="B1646"/>
      <c r="C1646" s="6"/>
    </row>
    <row r="1647" spans="1:3" x14ac:dyDescent="0.3">
      <c r="A1647"/>
      <c r="B1647"/>
      <c r="C1647" s="6"/>
    </row>
    <row r="1648" spans="1:3" x14ac:dyDescent="0.3">
      <c r="A1648"/>
      <c r="B1648"/>
      <c r="C1648" s="6"/>
    </row>
    <row r="1649" spans="1:3" x14ac:dyDescent="0.3">
      <c r="A1649"/>
      <c r="B1649"/>
      <c r="C1649" s="6"/>
    </row>
    <row r="1650" spans="1:3" x14ac:dyDescent="0.3">
      <c r="A1650"/>
      <c r="B1650"/>
      <c r="C1650" s="6"/>
    </row>
    <row r="1651" spans="1:3" x14ac:dyDescent="0.3">
      <c r="A1651"/>
      <c r="B1651"/>
      <c r="C1651" s="6"/>
    </row>
    <row r="1652" spans="1:3" x14ac:dyDescent="0.3">
      <c r="A1652"/>
      <c r="B1652"/>
      <c r="C1652" s="6"/>
    </row>
    <row r="1653" spans="1:3" x14ac:dyDescent="0.3">
      <c r="A1653"/>
      <c r="B1653"/>
      <c r="C1653" s="6"/>
    </row>
    <row r="1654" spans="1:3" x14ac:dyDescent="0.3">
      <c r="A1654"/>
      <c r="B1654"/>
      <c r="C1654" s="6"/>
    </row>
    <row r="1655" spans="1:3" x14ac:dyDescent="0.3">
      <c r="A1655"/>
      <c r="B1655"/>
      <c r="C1655" s="6"/>
    </row>
    <row r="1656" spans="1:3" x14ac:dyDescent="0.3">
      <c r="A1656"/>
      <c r="B1656"/>
      <c r="C1656" s="6"/>
    </row>
    <row r="1657" spans="1:3" x14ac:dyDescent="0.3">
      <c r="A1657"/>
      <c r="B1657"/>
      <c r="C1657" s="6"/>
    </row>
    <row r="1658" spans="1:3" x14ac:dyDescent="0.3">
      <c r="A1658"/>
      <c r="B1658"/>
      <c r="C1658" s="6"/>
    </row>
    <row r="1659" spans="1:3" x14ac:dyDescent="0.3">
      <c r="A1659"/>
      <c r="B1659"/>
      <c r="C1659" s="6"/>
    </row>
    <row r="1660" spans="1:3" x14ac:dyDescent="0.3">
      <c r="A1660"/>
      <c r="B1660"/>
      <c r="C1660" s="6"/>
    </row>
    <row r="1661" spans="1:3" x14ac:dyDescent="0.3">
      <c r="A1661"/>
      <c r="B1661"/>
      <c r="C1661" s="6"/>
    </row>
    <row r="1662" spans="1:3" x14ac:dyDescent="0.3">
      <c r="A1662"/>
      <c r="B1662"/>
      <c r="C1662" s="6"/>
    </row>
    <row r="1663" spans="1:3" x14ac:dyDescent="0.3">
      <c r="A1663"/>
      <c r="B1663"/>
      <c r="C1663" s="6"/>
    </row>
    <row r="1664" spans="1:3" x14ac:dyDescent="0.3">
      <c r="A1664"/>
      <c r="B1664"/>
      <c r="C1664" s="6"/>
    </row>
    <row r="1665" spans="1:3" x14ac:dyDescent="0.3">
      <c r="A1665"/>
      <c r="B1665"/>
      <c r="C1665" s="6"/>
    </row>
    <row r="1666" spans="1:3" x14ac:dyDescent="0.3">
      <c r="A1666"/>
      <c r="B1666"/>
      <c r="C1666" s="6"/>
    </row>
    <row r="1667" spans="1:3" x14ac:dyDescent="0.3">
      <c r="A1667"/>
      <c r="B1667"/>
      <c r="C1667" s="6"/>
    </row>
    <row r="1668" spans="1:3" x14ac:dyDescent="0.3">
      <c r="A1668"/>
      <c r="B1668"/>
      <c r="C1668" s="6"/>
    </row>
    <row r="1669" spans="1:3" x14ac:dyDescent="0.3">
      <c r="A1669"/>
      <c r="B1669"/>
      <c r="C1669" s="6"/>
    </row>
    <row r="1670" spans="1:3" x14ac:dyDescent="0.3">
      <c r="A1670"/>
      <c r="B1670"/>
      <c r="C1670" s="6"/>
    </row>
    <row r="1671" spans="1:3" x14ac:dyDescent="0.3">
      <c r="A1671"/>
      <c r="B1671"/>
      <c r="C1671" s="6"/>
    </row>
    <row r="1672" spans="1:3" x14ac:dyDescent="0.3">
      <c r="A1672"/>
      <c r="B1672"/>
      <c r="C1672" s="6"/>
    </row>
    <row r="1673" spans="1:3" x14ac:dyDescent="0.3">
      <c r="A1673"/>
      <c r="B1673"/>
      <c r="C1673" s="6"/>
    </row>
    <row r="1674" spans="1:3" x14ac:dyDescent="0.3">
      <c r="A1674"/>
      <c r="B1674"/>
      <c r="C1674" s="6"/>
    </row>
    <row r="1675" spans="1:3" x14ac:dyDescent="0.3">
      <c r="A1675"/>
      <c r="B1675"/>
      <c r="C1675" s="6"/>
    </row>
    <row r="1676" spans="1:3" x14ac:dyDescent="0.3">
      <c r="A1676"/>
      <c r="B1676"/>
      <c r="C1676" s="6"/>
    </row>
    <row r="1677" spans="1:3" x14ac:dyDescent="0.3">
      <c r="A1677"/>
      <c r="B1677"/>
      <c r="C1677" s="6"/>
    </row>
    <row r="1678" spans="1:3" x14ac:dyDescent="0.3">
      <c r="A1678"/>
      <c r="B1678"/>
      <c r="C1678" s="6"/>
    </row>
    <row r="1679" spans="1:3" x14ac:dyDescent="0.3">
      <c r="A1679"/>
      <c r="B1679"/>
      <c r="C1679" s="6"/>
    </row>
    <row r="1680" spans="1:3" x14ac:dyDescent="0.3">
      <c r="A1680"/>
      <c r="B1680"/>
      <c r="C1680" s="6"/>
    </row>
    <row r="1681" spans="1:3" x14ac:dyDescent="0.3">
      <c r="A1681"/>
      <c r="B1681"/>
      <c r="C1681" s="6"/>
    </row>
    <row r="1682" spans="1:3" x14ac:dyDescent="0.3">
      <c r="A1682"/>
      <c r="B1682"/>
      <c r="C1682" s="6"/>
    </row>
    <row r="1683" spans="1:3" x14ac:dyDescent="0.3">
      <c r="A1683"/>
      <c r="B1683"/>
      <c r="C1683" s="6"/>
    </row>
    <row r="1684" spans="1:3" x14ac:dyDescent="0.3">
      <c r="A1684"/>
      <c r="B1684"/>
      <c r="C1684" s="6"/>
    </row>
    <row r="1685" spans="1:3" x14ac:dyDescent="0.3">
      <c r="A1685"/>
      <c r="B1685"/>
      <c r="C1685" s="6"/>
    </row>
    <row r="1686" spans="1:3" x14ac:dyDescent="0.3">
      <c r="A1686"/>
      <c r="B1686"/>
      <c r="C1686" s="6"/>
    </row>
    <row r="1687" spans="1:3" x14ac:dyDescent="0.3">
      <c r="A1687"/>
      <c r="B1687"/>
      <c r="C1687" s="6"/>
    </row>
    <row r="1688" spans="1:3" x14ac:dyDescent="0.3">
      <c r="A1688"/>
      <c r="B1688"/>
      <c r="C1688" s="6"/>
    </row>
    <row r="1689" spans="1:3" x14ac:dyDescent="0.3">
      <c r="A1689"/>
      <c r="B1689"/>
      <c r="C1689" s="6"/>
    </row>
    <row r="1690" spans="1:3" x14ac:dyDescent="0.3">
      <c r="A1690"/>
      <c r="B1690"/>
      <c r="C1690" s="6"/>
    </row>
    <row r="1691" spans="1:3" x14ac:dyDescent="0.3">
      <c r="A1691"/>
      <c r="B1691"/>
      <c r="C1691" s="6"/>
    </row>
    <row r="1692" spans="1:3" x14ac:dyDescent="0.3">
      <c r="A1692"/>
      <c r="B1692"/>
      <c r="C1692" s="6"/>
    </row>
    <row r="1693" spans="1:3" x14ac:dyDescent="0.3">
      <c r="A1693"/>
      <c r="B1693"/>
      <c r="C1693" s="6"/>
    </row>
    <row r="1694" spans="1:3" x14ac:dyDescent="0.3">
      <c r="A1694"/>
      <c r="B1694"/>
      <c r="C1694" s="6"/>
    </row>
    <row r="1695" spans="1:3" x14ac:dyDescent="0.3">
      <c r="A1695"/>
      <c r="B1695"/>
      <c r="C1695" s="6"/>
    </row>
    <row r="1696" spans="1:3" x14ac:dyDescent="0.3">
      <c r="A1696"/>
      <c r="B1696"/>
      <c r="C1696" s="6"/>
    </row>
    <row r="1697" spans="1:3" x14ac:dyDescent="0.3">
      <c r="A1697"/>
      <c r="B1697"/>
      <c r="C1697" s="6"/>
    </row>
    <row r="1698" spans="1:3" x14ac:dyDescent="0.3">
      <c r="A1698"/>
      <c r="B1698"/>
      <c r="C1698" s="6"/>
    </row>
    <row r="1699" spans="1:3" x14ac:dyDescent="0.3">
      <c r="A1699"/>
      <c r="B1699"/>
      <c r="C1699" s="6"/>
    </row>
    <row r="1700" spans="1:3" x14ac:dyDescent="0.3">
      <c r="A1700"/>
      <c r="B1700"/>
      <c r="C1700" s="6"/>
    </row>
    <row r="1701" spans="1:3" x14ac:dyDescent="0.3">
      <c r="A1701"/>
      <c r="B1701"/>
      <c r="C1701" s="6"/>
    </row>
    <row r="1702" spans="1:3" x14ac:dyDescent="0.3">
      <c r="A1702"/>
      <c r="B1702"/>
      <c r="C1702" s="6"/>
    </row>
    <row r="1703" spans="1:3" x14ac:dyDescent="0.3">
      <c r="A1703"/>
      <c r="B1703"/>
      <c r="C1703" s="6"/>
    </row>
    <row r="1704" spans="1:3" x14ac:dyDescent="0.3">
      <c r="A1704"/>
      <c r="B1704"/>
      <c r="C1704" s="6"/>
    </row>
    <row r="1705" spans="1:3" x14ac:dyDescent="0.3">
      <c r="A1705"/>
      <c r="B1705"/>
      <c r="C1705" s="6"/>
    </row>
    <row r="1706" spans="1:3" x14ac:dyDescent="0.3">
      <c r="A1706"/>
      <c r="B1706"/>
      <c r="C1706" s="6"/>
    </row>
    <row r="1707" spans="1:3" x14ac:dyDescent="0.3">
      <c r="A1707"/>
      <c r="B1707"/>
      <c r="C1707" s="6"/>
    </row>
    <row r="1708" spans="1:3" x14ac:dyDescent="0.3">
      <c r="A1708"/>
      <c r="B1708"/>
      <c r="C1708" s="6"/>
    </row>
    <row r="1709" spans="1:3" x14ac:dyDescent="0.3">
      <c r="A1709"/>
      <c r="B1709"/>
      <c r="C1709" s="6"/>
    </row>
    <row r="1710" spans="1:3" x14ac:dyDescent="0.3">
      <c r="A1710"/>
      <c r="B1710"/>
      <c r="C1710" s="6"/>
    </row>
    <row r="1711" spans="1:3" x14ac:dyDescent="0.3">
      <c r="A1711"/>
      <c r="B1711"/>
      <c r="C1711" s="6"/>
    </row>
    <row r="1712" spans="1:3" x14ac:dyDescent="0.3">
      <c r="A1712"/>
      <c r="B1712"/>
      <c r="C1712" s="6"/>
    </row>
    <row r="1713" spans="1:3" x14ac:dyDescent="0.3">
      <c r="A1713"/>
      <c r="B1713"/>
      <c r="C1713" s="6"/>
    </row>
    <row r="1714" spans="1:3" x14ac:dyDescent="0.3">
      <c r="A1714"/>
      <c r="B1714"/>
      <c r="C1714" s="6"/>
    </row>
    <row r="1715" spans="1:3" x14ac:dyDescent="0.3">
      <c r="A1715"/>
      <c r="B1715"/>
      <c r="C1715" s="6"/>
    </row>
    <row r="1716" spans="1:3" x14ac:dyDescent="0.3">
      <c r="A1716"/>
      <c r="B1716"/>
      <c r="C1716" s="6"/>
    </row>
    <row r="1717" spans="1:3" x14ac:dyDescent="0.3">
      <c r="A1717"/>
      <c r="B1717"/>
      <c r="C1717" s="6"/>
    </row>
    <row r="1718" spans="1:3" x14ac:dyDescent="0.3">
      <c r="A1718"/>
      <c r="B1718"/>
      <c r="C1718" s="6"/>
    </row>
    <row r="1719" spans="1:3" x14ac:dyDescent="0.3">
      <c r="A1719"/>
      <c r="B1719"/>
      <c r="C1719" s="6"/>
    </row>
    <row r="1720" spans="1:3" x14ac:dyDescent="0.3">
      <c r="A1720"/>
      <c r="B1720"/>
      <c r="C1720" s="6"/>
    </row>
    <row r="1721" spans="1:3" x14ac:dyDescent="0.3">
      <c r="A1721"/>
      <c r="B1721"/>
      <c r="C1721" s="6"/>
    </row>
    <row r="1722" spans="1:3" x14ac:dyDescent="0.3">
      <c r="A1722"/>
      <c r="B1722"/>
      <c r="C1722" s="6"/>
    </row>
    <row r="1723" spans="1:3" x14ac:dyDescent="0.3">
      <c r="A1723"/>
      <c r="B1723"/>
      <c r="C1723" s="6"/>
    </row>
    <row r="1724" spans="1:3" x14ac:dyDescent="0.3">
      <c r="A1724"/>
      <c r="B1724"/>
      <c r="C1724" s="6"/>
    </row>
    <row r="1725" spans="1:3" x14ac:dyDescent="0.3">
      <c r="A1725"/>
      <c r="B1725"/>
      <c r="C1725" s="6"/>
    </row>
    <row r="1726" spans="1:3" x14ac:dyDescent="0.3">
      <c r="A1726"/>
      <c r="B1726"/>
      <c r="C1726" s="6"/>
    </row>
    <row r="1727" spans="1:3" x14ac:dyDescent="0.3">
      <c r="A1727"/>
      <c r="B1727"/>
      <c r="C1727" s="6"/>
    </row>
    <row r="1728" spans="1:3" x14ac:dyDescent="0.3">
      <c r="A1728"/>
      <c r="B1728"/>
      <c r="C1728" s="6"/>
    </row>
    <row r="1729" spans="1:3" x14ac:dyDescent="0.3">
      <c r="A1729"/>
      <c r="B1729"/>
      <c r="C1729" s="6"/>
    </row>
    <row r="1730" spans="1:3" x14ac:dyDescent="0.3">
      <c r="A1730"/>
      <c r="B1730"/>
      <c r="C1730" s="6"/>
    </row>
    <row r="1731" spans="1:3" x14ac:dyDescent="0.3">
      <c r="A1731"/>
      <c r="B1731"/>
      <c r="C1731" s="6"/>
    </row>
    <row r="1732" spans="1:3" x14ac:dyDescent="0.3">
      <c r="A1732"/>
      <c r="B1732"/>
      <c r="C1732" s="6"/>
    </row>
    <row r="1733" spans="1:3" x14ac:dyDescent="0.3">
      <c r="A1733"/>
      <c r="B1733"/>
      <c r="C1733" s="6"/>
    </row>
    <row r="1734" spans="1:3" x14ac:dyDescent="0.3">
      <c r="A1734"/>
      <c r="B1734"/>
      <c r="C1734" s="6"/>
    </row>
    <row r="1735" spans="1:3" x14ac:dyDescent="0.3">
      <c r="A1735"/>
      <c r="B1735"/>
      <c r="C1735" s="6"/>
    </row>
    <row r="1736" spans="1:3" x14ac:dyDescent="0.3">
      <c r="A1736"/>
      <c r="B1736"/>
      <c r="C1736" s="6"/>
    </row>
    <row r="1737" spans="1:3" x14ac:dyDescent="0.3">
      <c r="A1737"/>
      <c r="B1737"/>
      <c r="C1737" s="6"/>
    </row>
    <row r="1738" spans="1:3" x14ac:dyDescent="0.3">
      <c r="A1738"/>
      <c r="B1738"/>
      <c r="C1738" s="6"/>
    </row>
    <row r="1739" spans="1:3" x14ac:dyDescent="0.3">
      <c r="A1739"/>
      <c r="B1739"/>
      <c r="C1739" s="6"/>
    </row>
    <row r="1740" spans="1:3" x14ac:dyDescent="0.3">
      <c r="A1740"/>
      <c r="B1740"/>
      <c r="C1740" s="6"/>
    </row>
    <row r="1741" spans="1:3" x14ac:dyDescent="0.3">
      <c r="A1741"/>
      <c r="B1741"/>
      <c r="C1741" s="6"/>
    </row>
    <row r="1742" spans="1:3" x14ac:dyDescent="0.3">
      <c r="A1742"/>
      <c r="B1742"/>
      <c r="C1742" s="6"/>
    </row>
    <row r="1743" spans="1:3" x14ac:dyDescent="0.3">
      <c r="A1743"/>
      <c r="B1743"/>
      <c r="C1743" s="6"/>
    </row>
    <row r="1744" spans="1:3" x14ac:dyDescent="0.3">
      <c r="A1744"/>
      <c r="B1744"/>
      <c r="C1744" s="6"/>
    </row>
    <row r="1745" spans="1:3" x14ac:dyDescent="0.3">
      <c r="A1745"/>
      <c r="B1745"/>
      <c r="C1745" s="6"/>
    </row>
    <row r="1746" spans="1:3" x14ac:dyDescent="0.3">
      <c r="A1746"/>
      <c r="B1746"/>
      <c r="C1746" s="6"/>
    </row>
    <row r="1747" spans="1:3" x14ac:dyDescent="0.3">
      <c r="A1747"/>
      <c r="B1747"/>
      <c r="C1747" s="6"/>
    </row>
    <row r="1748" spans="1:3" x14ac:dyDescent="0.3">
      <c r="A1748"/>
      <c r="B1748"/>
      <c r="C1748" s="6"/>
    </row>
    <row r="1749" spans="1:3" x14ac:dyDescent="0.3">
      <c r="A1749"/>
      <c r="B1749"/>
      <c r="C1749" s="6"/>
    </row>
    <row r="1750" spans="1:3" x14ac:dyDescent="0.3">
      <c r="A1750"/>
      <c r="B1750"/>
      <c r="C1750" s="6"/>
    </row>
    <row r="1751" spans="1:3" x14ac:dyDescent="0.3">
      <c r="A1751"/>
      <c r="B1751"/>
      <c r="C1751" s="6"/>
    </row>
    <row r="1752" spans="1:3" x14ac:dyDescent="0.3">
      <c r="A1752"/>
      <c r="B1752"/>
      <c r="C1752" s="6"/>
    </row>
    <row r="1753" spans="1:3" x14ac:dyDescent="0.3">
      <c r="A1753"/>
      <c r="B1753"/>
      <c r="C1753" s="6"/>
    </row>
    <row r="1754" spans="1:3" x14ac:dyDescent="0.3">
      <c r="A1754"/>
      <c r="B1754"/>
      <c r="C1754" s="6"/>
    </row>
    <row r="1755" spans="1:3" x14ac:dyDescent="0.3">
      <c r="A1755"/>
      <c r="B1755"/>
      <c r="C1755" s="6"/>
    </row>
    <row r="1756" spans="1:3" x14ac:dyDescent="0.3">
      <c r="A1756"/>
      <c r="B1756"/>
      <c r="C1756" s="6"/>
    </row>
    <row r="1757" spans="1:3" x14ac:dyDescent="0.3">
      <c r="A1757"/>
      <c r="B1757"/>
      <c r="C1757" s="6"/>
    </row>
    <row r="1758" spans="1:3" x14ac:dyDescent="0.3">
      <c r="A1758"/>
      <c r="B1758"/>
      <c r="C1758" s="6"/>
    </row>
    <row r="1759" spans="1:3" x14ac:dyDescent="0.3">
      <c r="A1759"/>
      <c r="B1759"/>
      <c r="C1759" s="6"/>
    </row>
    <row r="1760" spans="1:3" x14ac:dyDescent="0.3">
      <c r="A1760"/>
      <c r="B1760"/>
      <c r="C1760" s="6"/>
    </row>
    <row r="1761" spans="1:3" x14ac:dyDescent="0.3">
      <c r="A1761"/>
      <c r="B1761"/>
      <c r="C1761" s="6"/>
    </row>
    <row r="1762" spans="1:3" x14ac:dyDescent="0.3">
      <c r="A1762"/>
      <c r="B1762"/>
      <c r="C1762" s="6"/>
    </row>
    <row r="1763" spans="1:3" x14ac:dyDescent="0.3">
      <c r="A1763"/>
      <c r="B1763"/>
      <c r="C1763" s="6"/>
    </row>
    <row r="1764" spans="1:3" x14ac:dyDescent="0.3">
      <c r="A1764"/>
      <c r="B1764"/>
      <c r="C1764" s="6"/>
    </row>
    <row r="1765" spans="1:3" x14ac:dyDescent="0.3">
      <c r="A1765"/>
      <c r="B1765"/>
      <c r="C1765" s="6"/>
    </row>
    <row r="1766" spans="1:3" x14ac:dyDescent="0.3">
      <c r="A1766"/>
      <c r="B1766"/>
      <c r="C1766" s="6"/>
    </row>
    <row r="1767" spans="1:3" x14ac:dyDescent="0.3">
      <c r="A1767"/>
      <c r="B1767"/>
      <c r="C1767" s="6"/>
    </row>
    <row r="1768" spans="1:3" x14ac:dyDescent="0.3">
      <c r="A1768"/>
      <c r="B1768"/>
      <c r="C1768" s="6"/>
    </row>
    <row r="1769" spans="1:3" x14ac:dyDescent="0.3">
      <c r="A1769"/>
      <c r="B1769"/>
      <c r="C1769" s="6"/>
    </row>
    <row r="1770" spans="1:3" x14ac:dyDescent="0.3">
      <c r="A1770"/>
      <c r="B1770"/>
      <c r="C1770" s="6"/>
    </row>
    <row r="1771" spans="1:3" x14ac:dyDescent="0.3">
      <c r="A1771"/>
      <c r="B1771"/>
      <c r="C1771" s="6"/>
    </row>
    <row r="1772" spans="1:3" x14ac:dyDescent="0.3">
      <c r="A1772"/>
      <c r="B1772"/>
      <c r="C1772" s="6"/>
    </row>
    <row r="1773" spans="1:3" x14ac:dyDescent="0.3">
      <c r="A1773"/>
      <c r="B1773"/>
      <c r="C1773" s="6"/>
    </row>
    <row r="1774" spans="1:3" x14ac:dyDescent="0.3">
      <c r="A1774"/>
      <c r="B1774"/>
      <c r="C1774" s="6"/>
    </row>
    <row r="1775" spans="1:3" x14ac:dyDescent="0.3">
      <c r="A1775"/>
      <c r="B1775"/>
      <c r="C1775" s="6"/>
    </row>
    <row r="1776" spans="1:3" x14ac:dyDescent="0.3">
      <c r="A1776"/>
      <c r="B1776"/>
      <c r="C1776" s="6"/>
    </row>
    <row r="1777" spans="1:3" x14ac:dyDescent="0.3">
      <c r="A1777"/>
      <c r="B1777"/>
      <c r="C1777" s="6"/>
    </row>
    <row r="1778" spans="1:3" x14ac:dyDescent="0.3">
      <c r="A1778"/>
      <c r="B1778"/>
      <c r="C1778" s="6"/>
    </row>
    <row r="1779" spans="1:3" x14ac:dyDescent="0.3">
      <c r="A1779"/>
      <c r="B1779"/>
      <c r="C1779" s="6"/>
    </row>
    <row r="1780" spans="1:3" x14ac:dyDescent="0.3">
      <c r="A1780"/>
      <c r="B1780"/>
      <c r="C1780" s="6"/>
    </row>
    <row r="1781" spans="1:3" x14ac:dyDescent="0.3">
      <c r="A1781"/>
      <c r="B1781"/>
      <c r="C1781" s="6"/>
    </row>
    <row r="1782" spans="1:3" x14ac:dyDescent="0.3">
      <c r="A1782"/>
      <c r="B1782"/>
      <c r="C1782" s="6"/>
    </row>
    <row r="1783" spans="1:3" x14ac:dyDescent="0.3">
      <c r="A1783"/>
      <c r="B1783"/>
      <c r="C1783" s="6"/>
    </row>
    <row r="1784" spans="1:3" x14ac:dyDescent="0.3">
      <c r="A1784"/>
      <c r="B1784"/>
      <c r="C1784" s="6"/>
    </row>
    <row r="1785" spans="1:3" x14ac:dyDescent="0.3">
      <c r="A1785"/>
      <c r="B1785"/>
      <c r="C1785" s="6"/>
    </row>
    <row r="1786" spans="1:3" x14ac:dyDescent="0.3">
      <c r="A1786"/>
      <c r="B1786"/>
      <c r="C1786" s="6"/>
    </row>
    <row r="1787" spans="1:3" x14ac:dyDescent="0.3">
      <c r="A1787"/>
      <c r="B1787"/>
      <c r="C1787" s="6"/>
    </row>
    <row r="1788" spans="1:3" x14ac:dyDescent="0.3">
      <c r="A1788"/>
      <c r="B1788"/>
      <c r="C1788" s="6"/>
    </row>
    <row r="1789" spans="1:3" x14ac:dyDescent="0.3">
      <c r="A1789"/>
      <c r="B1789"/>
      <c r="C1789" s="6"/>
    </row>
    <row r="1790" spans="1:3" x14ac:dyDescent="0.3">
      <c r="A1790"/>
      <c r="B1790"/>
      <c r="C1790" s="6"/>
    </row>
    <row r="1791" spans="1:3" x14ac:dyDescent="0.3">
      <c r="A1791"/>
      <c r="B1791"/>
      <c r="C1791" s="6"/>
    </row>
    <row r="1792" spans="1:3" x14ac:dyDescent="0.3">
      <c r="A1792"/>
      <c r="B1792"/>
      <c r="C1792" s="6"/>
    </row>
    <row r="1793" spans="1:3" x14ac:dyDescent="0.3">
      <c r="A1793"/>
      <c r="B1793"/>
      <c r="C1793" s="6"/>
    </row>
    <row r="1794" spans="1:3" x14ac:dyDescent="0.3">
      <c r="A1794"/>
      <c r="B1794"/>
      <c r="C1794" s="6"/>
    </row>
    <row r="1795" spans="1:3" x14ac:dyDescent="0.3">
      <c r="A1795"/>
      <c r="B1795"/>
      <c r="C1795" s="6"/>
    </row>
    <row r="1796" spans="1:3" x14ac:dyDescent="0.3">
      <c r="A1796"/>
      <c r="B1796"/>
      <c r="C1796" s="6"/>
    </row>
    <row r="1797" spans="1:3" x14ac:dyDescent="0.3">
      <c r="A1797"/>
      <c r="B1797"/>
      <c r="C1797" s="6"/>
    </row>
    <row r="1798" spans="1:3" x14ac:dyDescent="0.3">
      <c r="A1798"/>
      <c r="B1798"/>
      <c r="C1798" s="6"/>
    </row>
    <row r="1799" spans="1:3" x14ac:dyDescent="0.3">
      <c r="A1799"/>
      <c r="B1799"/>
      <c r="C1799" s="6"/>
    </row>
    <row r="1800" spans="1:3" x14ac:dyDescent="0.3">
      <c r="A1800"/>
      <c r="B1800"/>
      <c r="C1800" s="6"/>
    </row>
    <row r="1801" spans="1:3" x14ac:dyDescent="0.3">
      <c r="A1801"/>
      <c r="B1801"/>
      <c r="C1801" s="6"/>
    </row>
    <row r="1802" spans="1:3" x14ac:dyDescent="0.3">
      <c r="A1802"/>
      <c r="B1802"/>
      <c r="C1802" s="6"/>
    </row>
    <row r="1803" spans="1:3" x14ac:dyDescent="0.3">
      <c r="A1803"/>
      <c r="B1803"/>
      <c r="C1803" s="6"/>
    </row>
    <row r="1804" spans="1:3" x14ac:dyDescent="0.3">
      <c r="A1804"/>
      <c r="B1804"/>
      <c r="C1804" s="6"/>
    </row>
    <row r="1805" spans="1:3" x14ac:dyDescent="0.3">
      <c r="A1805"/>
      <c r="B1805"/>
      <c r="C1805" s="6"/>
    </row>
    <row r="1806" spans="1:3" x14ac:dyDescent="0.3">
      <c r="A1806"/>
      <c r="B1806"/>
      <c r="C1806" s="6"/>
    </row>
    <row r="1807" spans="1:3" x14ac:dyDescent="0.3">
      <c r="A1807"/>
      <c r="B1807"/>
      <c r="C1807" s="6"/>
    </row>
    <row r="1808" spans="1:3" x14ac:dyDescent="0.3">
      <c r="A1808"/>
      <c r="B1808"/>
      <c r="C1808" s="6"/>
    </row>
    <row r="1809" spans="1:3" x14ac:dyDescent="0.3">
      <c r="A1809"/>
      <c r="B1809"/>
      <c r="C1809" s="6"/>
    </row>
    <row r="1810" spans="1:3" x14ac:dyDescent="0.3">
      <c r="A1810"/>
      <c r="B1810"/>
      <c r="C1810" s="6"/>
    </row>
    <row r="1811" spans="1:3" x14ac:dyDescent="0.3">
      <c r="A1811"/>
      <c r="B1811"/>
      <c r="C1811" s="6"/>
    </row>
    <row r="1812" spans="1:3" x14ac:dyDescent="0.3">
      <c r="A1812"/>
      <c r="B1812"/>
      <c r="C1812" s="6"/>
    </row>
    <row r="1813" spans="1:3" x14ac:dyDescent="0.3">
      <c r="A1813"/>
      <c r="B1813"/>
      <c r="C1813" s="6"/>
    </row>
    <row r="1814" spans="1:3" x14ac:dyDescent="0.3">
      <c r="A1814"/>
      <c r="B1814"/>
      <c r="C1814" s="6"/>
    </row>
    <row r="1815" spans="1:3" x14ac:dyDescent="0.3">
      <c r="A1815"/>
      <c r="B1815"/>
      <c r="C1815" s="6"/>
    </row>
    <row r="1816" spans="1:3" x14ac:dyDescent="0.3">
      <c r="A1816"/>
      <c r="B1816"/>
      <c r="C1816" s="6"/>
    </row>
    <row r="1817" spans="1:3" x14ac:dyDescent="0.3">
      <c r="A1817"/>
      <c r="B1817"/>
      <c r="C1817" s="6"/>
    </row>
    <row r="1818" spans="1:3" x14ac:dyDescent="0.3">
      <c r="A1818"/>
      <c r="B1818"/>
      <c r="C1818" s="6"/>
    </row>
    <row r="1819" spans="1:3" x14ac:dyDescent="0.3">
      <c r="A1819"/>
      <c r="B1819"/>
      <c r="C1819" s="6"/>
    </row>
    <row r="1820" spans="1:3" x14ac:dyDescent="0.3">
      <c r="A1820"/>
      <c r="B1820"/>
      <c r="C1820" s="6"/>
    </row>
    <row r="1821" spans="1:3" x14ac:dyDescent="0.3">
      <c r="A1821"/>
      <c r="B1821"/>
      <c r="C1821" s="6"/>
    </row>
    <row r="1822" spans="1:3" x14ac:dyDescent="0.3">
      <c r="A1822"/>
      <c r="B1822"/>
      <c r="C1822" s="6"/>
    </row>
    <row r="1823" spans="1:3" x14ac:dyDescent="0.3">
      <c r="A1823"/>
      <c r="B1823"/>
      <c r="C1823" s="6"/>
    </row>
    <row r="1824" spans="1:3" x14ac:dyDescent="0.3">
      <c r="A1824"/>
      <c r="B1824"/>
      <c r="C1824" s="6"/>
    </row>
    <row r="1825" spans="1:3" x14ac:dyDescent="0.3">
      <c r="A1825"/>
      <c r="B1825"/>
      <c r="C1825" s="6"/>
    </row>
    <row r="1826" spans="1:3" x14ac:dyDescent="0.3">
      <c r="A1826"/>
      <c r="B1826"/>
      <c r="C1826" s="6"/>
    </row>
    <row r="1827" spans="1:3" x14ac:dyDescent="0.3">
      <c r="A1827"/>
      <c r="B1827"/>
      <c r="C1827" s="6"/>
    </row>
    <row r="1828" spans="1:3" x14ac:dyDescent="0.3">
      <c r="A1828"/>
      <c r="B1828"/>
      <c r="C1828" s="6"/>
    </row>
    <row r="1829" spans="1:3" x14ac:dyDescent="0.3">
      <c r="A1829"/>
      <c r="B1829"/>
      <c r="C1829" s="6"/>
    </row>
    <row r="1830" spans="1:3" x14ac:dyDescent="0.3">
      <c r="A1830"/>
      <c r="B1830"/>
      <c r="C1830" s="6"/>
    </row>
    <row r="1831" spans="1:3" x14ac:dyDescent="0.3">
      <c r="A1831"/>
      <c r="B1831"/>
      <c r="C1831" s="6"/>
    </row>
    <row r="1832" spans="1:3" x14ac:dyDescent="0.3">
      <c r="A1832"/>
      <c r="B1832"/>
      <c r="C1832" s="6"/>
    </row>
    <row r="1833" spans="1:3" x14ac:dyDescent="0.3">
      <c r="A1833"/>
      <c r="B1833"/>
      <c r="C1833" s="6"/>
    </row>
    <row r="1834" spans="1:3" x14ac:dyDescent="0.3">
      <c r="A1834"/>
      <c r="B1834"/>
      <c r="C1834" s="6"/>
    </row>
    <row r="1835" spans="1:3" x14ac:dyDescent="0.3">
      <c r="A1835"/>
      <c r="B1835"/>
      <c r="C1835" s="6"/>
    </row>
    <row r="1836" spans="1:3" x14ac:dyDescent="0.3">
      <c r="A1836"/>
      <c r="B1836"/>
      <c r="C1836" s="6"/>
    </row>
    <row r="1837" spans="1:3" x14ac:dyDescent="0.3">
      <c r="A1837"/>
      <c r="B1837"/>
      <c r="C1837" s="6"/>
    </row>
    <row r="1838" spans="1:3" x14ac:dyDescent="0.3">
      <c r="A1838"/>
      <c r="B1838"/>
      <c r="C1838" s="6"/>
    </row>
    <row r="1839" spans="1:3" x14ac:dyDescent="0.3">
      <c r="A1839"/>
      <c r="B1839"/>
      <c r="C1839" s="6"/>
    </row>
    <row r="1840" spans="1:3" x14ac:dyDescent="0.3">
      <c r="A1840"/>
      <c r="B1840"/>
      <c r="C1840" s="6"/>
    </row>
    <row r="1841" spans="1:3" x14ac:dyDescent="0.3">
      <c r="A1841"/>
      <c r="B1841"/>
      <c r="C1841" s="6"/>
    </row>
    <row r="1842" spans="1:3" x14ac:dyDescent="0.3">
      <c r="A1842"/>
      <c r="B1842"/>
      <c r="C1842" s="6"/>
    </row>
    <row r="1843" spans="1:3" x14ac:dyDescent="0.3">
      <c r="A1843"/>
      <c r="B1843"/>
      <c r="C1843" s="6"/>
    </row>
    <row r="1844" spans="1:3" x14ac:dyDescent="0.3">
      <c r="A1844"/>
      <c r="B1844"/>
      <c r="C1844" s="6"/>
    </row>
    <row r="1845" spans="1:3" x14ac:dyDescent="0.3">
      <c r="A1845"/>
      <c r="B1845"/>
      <c r="C1845" s="6"/>
    </row>
    <row r="1846" spans="1:3" x14ac:dyDescent="0.3">
      <c r="A1846"/>
      <c r="B1846"/>
      <c r="C1846" s="6"/>
    </row>
    <row r="1847" spans="1:3" x14ac:dyDescent="0.3">
      <c r="A1847"/>
      <c r="B1847"/>
      <c r="C1847" s="6"/>
    </row>
    <row r="1848" spans="1:3" x14ac:dyDescent="0.3">
      <c r="A1848"/>
      <c r="B1848"/>
      <c r="C1848" s="6"/>
    </row>
    <row r="1849" spans="1:3" x14ac:dyDescent="0.3">
      <c r="A1849"/>
      <c r="B1849"/>
      <c r="C1849" s="6"/>
    </row>
    <row r="1850" spans="1:3" x14ac:dyDescent="0.3">
      <c r="A1850"/>
      <c r="B1850"/>
      <c r="C1850" s="6"/>
    </row>
    <row r="1851" spans="1:3" x14ac:dyDescent="0.3">
      <c r="A1851"/>
      <c r="B1851"/>
      <c r="C1851" s="6"/>
    </row>
    <row r="1852" spans="1:3" x14ac:dyDescent="0.3">
      <c r="A1852"/>
      <c r="B1852"/>
      <c r="C1852" s="6"/>
    </row>
    <row r="1853" spans="1:3" x14ac:dyDescent="0.3">
      <c r="A1853"/>
      <c r="B1853"/>
      <c r="C1853" s="6"/>
    </row>
    <row r="1854" spans="1:3" x14ac:dyDescent="0.3">
      <c r="A1854"/>
      <c r="B1854"/>
      <c r="C1854" s="6"/>
    </row>
    <row r="1855" spans="1:3" x14ac:dyDescent="0.3">
      <c r="A1855"/>
      <c r="B1855"/>
      <c r="C1855" s="6"/>
    </row>
    <row r="1856" spans="1:3" x14ac:dyDescent="0.3">
      <c r="A1856"/>
      <c r="B1856"/>
      <c r="C1856" s="6"/>
    </row>
    <row r="1857" spans="1:3" x14ac:dyDescent="0.3">
      <c r="A1857"/>
      <c r="B1857"/>
      <c r="C1857" s="6"/>
    </row>
    <row r="1858" spans="1:3" x14ac:dyDescent="0.3">
      <c r="A1858"/>
      <c r="B1858"/>
      <c r="C1858" s="6"/>
    </row>
    <row r="1859" spans="1:3" x14ac:dyDescent="0.3">
      <c r="A1859"/>
      <c r="B1859"/>
      <c r="C1859" s="6"/>
    </row>
    <row r="1860" spans="1:3" x14ac:dyDescent="0.3">
      <c r="A1860"/>
      <c r="B1860"/>
      <c r="C1860" s="6"/>
    </row>
    <row r="1861" spans="1:3" x14ac:dyDescent="0.3">
      <c r="A1861"/>
      <c r="B1861"/>
      <c r="C1861" s="6"/>
    </row>
    <row r="1862" spans="1:3" x14ac:dyDescent="0.3">
      <c r="A1862"/>
      <c r="B1862"/>
      <c r="C1862" s="6"/>
    </row>
    <row r="1863" spans="1:3" x14ac:dyDescent="0.3">
      <c r="A1863"/>
      <c r="B1863"/>
      <c r="C1863" s="6"/>
    </row>
    <row r="1864" spans="1:3" x14ac:dyDescent="0.3">
      <c r="A1864"/>
      <c r="B1864"/>
      <c r="C1864" s="6"/>
    </row>
    <row r="1865" spans="1:3" x14ac:dyDescent="0.3">
      <c r="A1865"/>
      <c r="B1865"/>
      <c r="C1865" s="6"/>
    </row>
    <row r="1866" spans="1:3" x14ac:dyDescent="0.3">
      <c r="A1866"/>
      <c r="B1866"/>
      <c r="C1866" s="6"/>
    </row>
    <row r="1867" spans="1:3" x14ac:dyDescent="0.3">
      <c r="A1867"/>
      <c r="B1867"/>
      <c r="C1867" s="6"/>
    </row>
    <row r="1868" spans="1:3" x14ac:dyDescent="0.3">
      <c r="A1868"/>
      <c r="B1868"/>
      <c r="C1868" s="6"/>
    </row>
    <row r="1869" spans="1:3" x14ac:dyDescent="0.3">
      <c r="A1869"/>
      <c r="B1869"/>
      <c r="C1869" s="6"/>
    </row>
    <row r="1870" spans="1:3" x14ac:dyDescent="0.3">
      <c r="A1870"/>
      <c r="B1870"/>
      <c r="C1870" s="6"/>
    </row>
    <row r="1871" spans="1:3" x14ac:dyDescent="0.3">
      <c r="A1871"/>
      <c r="B1871"/>
      <c r="C1871" s="6"/>
    </row>
    <row r="1872" spans="1:3" x14ac:dyDescent="0.3">
      <c r="A1872"/>
      <c r="B1872"/>
      <c r="C1872" s="6"/>
    </row>
    <row r="1873" spans="1:3" x14ac:dyDescent="0.3">
      <c r="A1873"/>
      <c r="B1873"/>
      <c r="C1873" s="6"/>
    </row>
    <row r="1874" spans="1:3" x14ac:dyDescent="0.3">
      <c r="A1874"/>
      <c r="B1874"/>
      <c r="C1874" s="6"/>
    </row>
    <row r="1875" spans="1:3" x14ac:dyDescent="0.3">
      <c r="A1875"/>
      <c r="B1875"/>
      <c r="C1875" s="6"/>
    </row>
    <row r="1876" spans="1:3" x14ac:dyDescent="0.3">
      <c r="A1876"/>
      <c r="B1876"/>
      <c r="C1876" s="6"/>
    </row>
    <row r="1877" spans="1:3" x14ac:dyDescent="0.3">
      <c r="A1877"/>
      <c r="B1877"/>
      <c r="C1877" s="6"/>
    </row>
    <row r="1878" spans="1:3" x14ac:dyDescent="0.3">
      <c r="A1878"/>
      <c r="B1878"/>
      <c r="C1878" s="6"/>
    </row>
    <row r="1879" spans="1:3" x14ac:dyDescent="0.3">
      <c r="A1879"/>
      <c r="B1879"/>
      <c r="C1879" s="6"/>
    </row>
    <row r="1880" spans="1:3" x14ac:dyDescent="0.3">
      <c r="A1880"/>
      <c r="B1880"/>
      <c r="C1880" s="6"/>
    </row>
    <row r="1881" spans="1:3" x14ac:dyDescent="0.3">
      <c r="A1881"/>
      <c r="B1881"/>
      <c r="C1881" s="6"/>
    </row>
    <row r="1882" spans="1:3" x14ac:dyDescent="0.3">
      <c r="A1882"/>
      <c r="B1882"/>
      <c r="C1882" s="6"/>
    </row>
    <row r="1883" spans="1:3" x14ac:dyDescent="0.3">
      <c r="A1883"/>
      <c r="B1883"/>
      <c r="C1883" s="6"/>
    </row>
    <row r="1884" spans="1:3" x14ac:dyDescent="0.3">
      <c r="A1884"/>
      <c r="B1884"/>
      <c r="C1884" s="6"/>
    </row>
    <row r="1885" spans="1:3" x14ac:dyDescent="0.3">
      <c r="A1885"/>
      <c r="B1885"/>
      <c r="C1885" s="6"/>
    </row>
    <row r="1886" spans="1:3" x14ac:dyDescent="0.3">
      <c r="A1886"/>
      <c r="B1886"/>
      <c r="C1886" s="6"/>
    </row>
    <row r="1887" spans="1:3" x14ac:dyDescent="0.3">
      <c r="A1887"/>
      <c r="B1887"/>
      <c r="C1887" s="6"/>
    </row>
    <row r="1888" spans="1:3" x14ac:dyDescent="0.3">
      <c r="A1888"/>
      <c r="B1888"/>
      <c r="C1888" s="6"/>
    </row>
    <row r="1889" spans="1:3" x14ac:dyDescent="0.3">
      <c r="A1889"/>
      <c r="B1889"/>
      <c r="C1889" s="6"/>
    </row>
    <row r="1890" spans="1:3" x14ac:dyDescent="0.3">
      <c r="A1890"/>
      <c r="B1890"/>
      <c r="C1890" s="6"/>
    </row>
    <row r="1891" spans="1:3" x14ac:dyDescent="0.3">
      <c r="A1891"/>
      <c r="B1891"/>
      <c r="C1891" s="6"/>
    </row>
    <row r="1892" spans="1:3" x14ac:dyDescent="0.3">
      <c r="A1892"/>
      <c r="B1892"/>
      <c r="C1892" s="6"/>
    </row>
    <row r="1893" spans="1:3" x14ac:dyDescent="0.3">
      <c r="A1893"/>
      <c r="B1893"/>
      <c r="C1893" s="6"/>
    </row>
    <row r="1894" spans="1:3" x14ac:dyDescent="0.3">
      <c r="A1894"/>
      <c r="B1894"/>
      <c r="C1894" s="6"/>
    </row>
    <row r="1895" spans="1:3" x14ac:dyDescent="0.3">
      <c r="A1895"/>
      <c r="B1895"/>
      <c r="C1895" s="6"/>
    </row>
    <row r="1896" spans="1:3" x14ac:dyDescent="0.3">
      <c r="A1896"/>
      <c r="B1896"/>
      <c r="C1896" s="6"/>
    </row>
    <row r="1897" spans="1:3" x14ac:dyDescent="0.3">
      <c r="A1897"/>
      <c r="B1897"/>
      <c r="C1897" s="6"/>
    </row>
    <row r="1898" spans="1:3" x14ac:dyDescent="0.3">
      <c r="A1898"/>
      <c r="B1898"/>
      <c r="C1898" s="6"/>
    </row>
    <row r="1899" spans="1:3" x14ac:dyDescent="0.3">
      <c r="A1899"/>
      <c r="B1899"/>
      <c r="C1899" s="6"/>
    </row>
    <row r="1900" spans="1:3" x14ac:dyDescent="0.3">
      <c r="A1900"/>
      <c r="B1900"/>
      <c r="C1900" s="6"/>
    </row>
    <row r="1901" spans="1:3" x14ac:dyDescent="0.3">
      <c r="A1901"/>
      <c r="B1901"/>
      <c r="C1901" s="6"/>
    </row>
    <row r="1902" spans="1:3" x14ac:dyDescent="0.3">
      <c r="A1902"/>
      <c r="B1902"/>
      <c r="C1902" s="6"/>
    </row>
    <row r="1903" spans="1:3" x14ac:dyDescent="0.3">
      <c r="A1903"/>
      <c r="B1903"/>
      <c r="C1903" s="6"/>
    </row>
    <row r="1904" spans="1:3" x14ac:dyDescent="0.3">
      <c r="A1904"/>
      <c r="B1904"/>
      <c r="C1904" s="6"/>
    </row>
    <row r="1905" spans="1:3" x14ac:dyDescent="0.3">
      <c r="A1905"/>
      <c r="B1905"/>
      <c r="C1905" s="6"/>
    </row>
    <row r="1906" spans="1:3" x14ac:dyDescent="0.3">
      <c r="A1906"/>
      <c r="B1906"/>
      <c r="C1906" s="6"/>
    </row>
    <row r="1907" spans="1:3" x14ac:dyDescent="0.3">
      <c r="A1907"/>
      <c r="B1907"/>
      <c r="C1907" s="6"/>
    </row>
    <row r="1908" spans="1:3" x14ac:dyDescent="0.3">
      <c r="A1908"/>
      <c r="B1908"/>
      <c r="C1908" s="6"/>
    </row>
    <row r="1909" spans="1:3" x14ac:dyDescent="0.3">
      <c r="A1909"/>
      <c r="B1909"/>
      <c r="C1909" s="6"/>
    </row>
    <row r="1910" spans="1:3" x14ac:dyDescent="0.3">
      <c r="A1910"/>
      <c r="B1910"/>
      <c r="C1910" s="6"/>
    </row>
    <row r="1911" spans="1:3" x14ac:dyDescent="0.3">
      <c r="A1911"/>
      <c r="B1911"/>
      <c r="C1911" s="6"/>
    </row>
    <row r="1912" spans="1:3" x14ac:dyDescent="0.3">
      <c r="A1912"/>
      <c r="B1912"/>
      <c r="C1912" s="6"/>
    </row>
    <row r="1913" spans="1:3" x14ac:dyDescent="0.3">
      <c r="A1913"/>
      <c r="B1913"/>
      <c r="C1913" s="6"/>
    </row>
    <row r="1914" spans="1:3" x14ac:dyDescent="0.3">
      <c r="A1914"/>
      <c r="B1914"/>
      <c r="C1914" s="6"/>
    </row>
    <row r="1915" spans="1:3" x14ac:dyDescent="0.3">
      <c r="A1915"/>
      <c r="B1915"/>
      <c r="C1915" s="6"/>
    </row>
    <row r="1916" spans="1:3" x14ac:dyDescent="0.3">
      <c r="A1916"/>
      <c r="B1916"/>
      <c r="C1916" s="6"/>
    </row>
    <row r="1917" spans="1:3" x14ac:dyDescent="0.3">
      <c r="A1917"/>
      <c r="B1917"/>
      <c r="C1917" s="6"/>
    </row>
    <row r="1918" spans="1:3" x14ac:dyDescent="0.3">
      <c r="A1918"/>
      <c r="B1918"/>
      <c r="C1918" s="6"/>
    </row>
    <row r="1919" spans="1:3" x14ac:dyDescent="0.3">
      <c r="A1919"/>
      <c r="B1919"/>
      <c r="C1919" s="6"/>
    </row>
    <row r="1920" spans="1:3" x14ac:dyDescent="0.3">
      <c r="A1920"/>
      <c r="B1920"/>
      <c r="C1920" s="6"/>
    </row>
    <row r="1921" spans="1:3" x14ac:dyDescent="0.3">
      <c r="A1921"/>
      <c r="B1921"/>
      <c r="C1921" s="6"/>
    </row>
    <row r="1922" spans="1:3" x14ac:dyDescent="0.3">
      <c r="A1922"/>
      <c r="B1922"/>
      <c r="C1922" s="6"/>
    </row>
    <row r="1923" spans="1:3" x14ac:dyDescent="0.3">
      <c r="A1923"/>
      <c r="B1923"/>
      <c r="C1923" s="6"/>
    </row>
    <row r="1924" spans="1:3" x14ac:dyDescent="0.3">
      <c r="A1924"/>
      <c r="B1924"/>
      <c r="C1924" s="6"/>
    </row>
    <row r="1925" spans="1:3" x14ac:dyDescent="0.3">
      <c r="A1925"/>
      <c r="B1925"/>
      <c r="C1925" s="6"/>
    </row>
    <row r="1926" spans="1:3" x14ac:dyDescent="0.3">
      <c r="A1926"/>
      <c r="B1926"/>
      <c r="C1926" s="6"/>
    </row>
    <row r="1927" spans="1:3" x14ac:dyDescent="0.3">
      <c r="A1927"/>
      <c r="B1927"/>
      <c r="C1927" s="6"/>
    </row>
    <row r="1928" spans="1:3" x14ac:dyDescent="0.3">
      <c r="A1928"/>
      <c r="B1928"/>
      <c r="C1928" s="6"/>
    </row>
    <row r="1929" spans="1:3" x14ac:dyDescent="0.3">
      <c r="A1929"/>
      <c r="B1929"/>
      <c r="C1929" s="6"/>
    </row>
    <row r="1930" spans="1:3" x14ac:dyDescent="0.3">
      <c r="A1930"/>
      <c r="B1930"/>
      <c r="C1930" s="6"/>
    </row>
    <row r="1931" spans="1:3" x14ac:dyDescent="0.3">
      <c r="A1931"/>
      <c r="B1931"/>
      <c r="C1931" s="6"/>
    </row>
    <row r="1932" spans="1:3" x14ac:dyDescent="0.3">
      <c r="A1932"/>
      <c r="B1932"/>
      <c r="C1932" s="6"/>
    </row>
    <row r="1933" spans="1:3" x14ac:dyDescent="0.3">
      <c r="A1933"/>
      <c r="B1933"/>
      <c r="C1933" s="6"/>
    </row>
    <row r="1934" spans="1:3" x14ac:dyDescent="0.3">
      <c r="A1934"/>
      <c r="B1934"/>
      <c r="C1934" s="6"/>
    </row>
    <row r="1935" spans="1:3" x14ac:dyDescent="0.3">
      <c r="A1935"/>
      <c r="B1935"/>
      <c r="C1935" s="6"/>
    </row>
    <row r="1936" spans="1:3" x14ac:dyDescent="0.3">
      <c r="A1936"/>
      <c r="B1936"/>
      <c r="C1936" s="6"/>
    </row>
    <row r="1937" spans="1:3" x14ac:dyDescent="0.3">
      <c r="A1937"/>
      <c r="B1937"/>
      <c r="C1937" s="6"/>
    </row>
    <row r="1938" spans="1:3" x14ac:dyDescent="0.3">
      <c r="A1938"/>
      <c r="B1938"/>
      <c r="C1938" s="6"/>
    </row>
    <row r="1939" spans="1:3" x14ac:dyDescent="0.3">
      <c r="A1939"/>
      <c r="B1939"/>
      <c r="C1939" s="6"/>
    </row>
    <row r="1940" spans="1:3" x14ac:dyDescent="0.3">
      <c r="A1940"/>
      <c r="B1940"/>
      <c r="C1940" s="6"/>
    </row>
    <row r="1941" spans="1:3" x14ac:dyDescent="0.3">
      <c r="A1941"/>
      <c r="B1941"/>
      <c r="C1941" s="6"/>
    </row>
    <row r="1942" spans="1:3" x14ac:dyDescent="0.3">
      <c r="A1942"/>
      <c r="B1942"/>
      <c r="C1942" s="6"/>
    </row>
    <row r="1943" spans="1:3" x14ac:dyDescent="0.3">
      <c r="A1943"/>
      <c r="B1943"/>
      <c r="C1943" s="6"/>
    </row>
    <row r="1944" spans="1:3" x14ac:dyDescent="0.3">
      <c r="A1944"/>
      <c r="B1944"/>
      <c r="C1944" s="6"/>
    </row>
    <row r="1945" spans="1:3" x14ac:dyDescent="0.3">
      <c r="A1945"/>
      <c r="B1945"/>
      <c r="C1945" s="6"/>
    </row>
    <row r="1946" spans="1:3" x14ac:dyDescent="0.3">
      <c r="A1946"/>
      <c r="B1946"/>
      <c r="C1946" s="6"/>
    </row>
    <row r="1947" spans="1:3" x14ac:dyDescent="0.3">
      <c r="A1947"/>
      <c r="B1947"/>
      <c r="C1947" s="6"/>
    </row>
    <row r="1948" spans="1:3" x14ac:dyDescent="0.3">
      <c r="A1948"/>
      <c r="B1948"/>
      <c r="C1948" s="6"/>
    </row>
    <row r="1949" spans="1:3" x14ac:dyDescent="0.3">
      <c r="A1949"/>
      <c r="B1949"/>
      <c r="C1949" s="6"/>
    </row>
    <row r="1950" spans="1:3" x14ac:dyDescent="0.3">
      <c r="A1950"/>
      <c r="B1950"/>
      <c r="C1950" s="6"/>
    </row>
    <row r="1951" spans="1:3" x14ac:dyDescent="0.3">
      <c r="A1951"/>
      <c r="B1951"/>
      <c r="C1951" s="6"/>
    </row>
    <row r="1952" spans="1:3" x14ac:dyDescent="0.3">
      <c r="A1952"/>
      <c r="B1952"/>
      <c r="C1952" s="6"/>
    </row>
    <row r="1953" spans="1:3" x14ac:dyDescent="0.3">
      <c r="A1953"/>
      <c r="B1953"/>
      <c r="C1953" s="6"/>
    </row>
    <row r="1954" spans="1:3" x14ac:dyDescent="0.3">
      <c r="A1954"/>
      <c r="B1954"/>
      <c r="C1954" s="6"/>
    </row>
    <row r="1955" spans="1:3" x14ac:dyDescent="0.3">
      <c r="A1955"/>
      <c r="B1955"/>
      <c r="C1955" s="6"/>
    </row>
    <row r="1956" spans="1:3" x14ac:dyDescent="0.3">
      <c r="A1956"/>
      <c r="B1956"/>
      <c r="C1956" s="6"/>
    </row>
    <row r="1957" spans="1:3" x14ac:dyDescent="0.3">
      <c r="A1957"/>
      <c r="B1957"/>
      <c r="C1957" s="6"/>
    </row>
    <row r="1958" spans="1:3" x14ac:dyDescent="0.3">
      <c r="A1958"/>
      <c r="B1958"/>
      <c r="C1958" s="6"/>
    </row>
    <row r="1959" spans="1:3" x14ac:dyDescent="0.3">
      <c r="A1959"/>
      <c r="B1959"/>
      <c r="C1959" s="6"/>
    </row>
    <row r="1960" spans="1:3" x14ac:dyDescent="0.3">
      <c r="A1960"/>
      <c r="B1960"/>
      <c r="C1960" s="6"/>
    </row>
    <row r="1961" spans="1:3" x14ac:dyDescent="0.3">
      <c r="A1961"/>
      <c r="B1961"/>
      <c r="C1961" s="6"/>
    </row>
    <row r="1962" spans="1:3" x14ac:dyDescent="0.3">
      <c r="A1962"/>
      <c r="B1962"/>
      <c r="C1962" s="6"/>
    </row>
    <row r="1963" spans="1:3" x14ac:dyDescent="0.3">
      <c r="A1963"/>
      <c r="B1963"/>
      <c r="C1963" s="6"/>
    </row>
    <row r="1964" spans="1:3" x14ac:dyDescent="0.3">
      <c r="A1964"/>
      <c r="B1964"/>
      <c r="C1964" s="6"/>
    </row>
    <row r="1965" spans="1:3" x14ac:dyDescent="0.3">
      <c r="A1965"/>
      <c r="B1965"/>
      <c r="C1965" s="6"/>
    </row>
    <row r="1966" spans="1:3" x14ac:dyDescent="0.3">
      <c r="A1966"/>
      <c r="B1966"/>
      <c r="C1966" s="6"/>
    </row>
    <row r="1967" spans="1:3" x14ac:dyDescent="0.3">
      <c r="A1967"/>
      <c r="B1967"/>
      <c r="C1967" s="6"/>
    </row>
    <row r="1968" spans="1:3" x14ac:dyDescent="0.3">
      <c r="A1968"/>
      <c r="B1968"/>
      <c r="C1968" s="6"/>
    </row>
    <row r="1969" spans="1:3" x14ac:dyDescent="0.3">
      <c r="A1969"/>
      <c r="B1969"/>
      <c r="C1969" s="6"/>
    </row>
    <row r="1970" spans="1:3" x14ac:dyDescent="0.3">
      <c r="A1970"/>
      <c r="B1970"/>
      <c r="C1970" s="6"/>
    </row>
    <row r="1971" spans="1:3" x14ac:dyDescent="0.3">
      <c r="A1971"/>
      <c r="B1971"/>
      <c r="C1971" s="6"/>
    </row>
    <row r="1972" spans="1:3" x14ac:dyDescent="0.3">
      <c r="A1972"/>
      <c r="B1972"/>
      <c r="C1972" s="6"/>
    </row>
    <row r="1973" spans="1:3" x14ac:dyDescent="0.3">
      <c r="A1973"/>
      <c r="B1973"/>
      <c r="C1973" s="6"/>
    </row>
    <row r="1974" spans="1:3" x14ac:dyDescent="0.3">
      <c r="A1974"/>
      <c r="B1974"/>
      <c r="C1974" s="6"/>
    </row>
    <row r="1975" spans="1:3" x14ac:dyDescent="0.3">
      <c r="A1975"/>
      <c r="B1975"/>
      <c r="C1975" s="6"/>
    </row>
    <row r="1976" spans="1:3" x14ac:dyDescent="0.3">
      <c r="A1976"/>
      <c r="B1976"/>
      <c r="C1976" s="6"/>
    </row>
    <row r="1977" spans="1:3" x14ac:dyDescent="0.3">
      <c r="A1977"/>
      <c r="B1977"/>
      <c r="C1977" s="6"/>
    </row>
    <row r="1978" spans="1:3" x14ac:dyDescent="0.3">
      <c r="A1978"/>
      <c r="B1978"/>
      <c r="C1978" s="6"/>
    </row>
    <row r="1979" spans="1:3" x14ac:dyDescent="0.3">
      <c r="A1979"/>
      <c r="B1979"/>
      <c r="C1979" s="6"/>
    </row>
    <row r="1980" spans="1:3" x14ac:dyDescent="0.3">
      <c r="A1980"/>
      <c r="B1980"/>
      <c r="C1980" s="6"/>
    </row>
    <row r="1981" spans="1:3" x14ac:dyDescent="0.3">
      <c r="A1981"/>
      <c r="B1981"/>
      <c r="C1981" s="6"/>
    </row>
    <row r="1982" spans="1:3" x14ac:dyDescent="0.3">
      <c r="A1982"/>
      <c r="B1982"/>
      <c r="C1982" s="6"/>
    </row>
    <row r="1983" spans="1:3" x14ac:dyDescent="0.3">
      <c r="A1983"/>
      <c r="B1983"/>
      <c r="C1983" s="6"/>
    </row>
    <row r="1984" spans="1:3" x14ac:dyDescent="0.3">
      <c r="A1984"/>
      <c r="B1984"/>
      <c r="C1984" s="6"/>
    </row>
    <row r="1985" spans="1:3" x14ac:dyDescent="0.3">
      <c r="A1985"/>
      <c r="B1985"/>
      <c r="C1985" s="6"/>
    </row>
    <row r="1986" spans="1:3" x14ac:dyDescent="0.3">
      <c r="A1986"/>
      <c r="B1986"/>
      <c r="C1986" s="6"/>
    </row>
    <row r="1987" spans="1:3" x14ac:dyDescent="0.3">
      <c r="A1987"/>
      <c r="B1987"/>
      <c r="C1987" s="6"/>
    </row>
    <row r="1988" spans="1:3" x14ac:dyDescent="0.3">
      <c r="A1988"/>
      <c r="B1988"/>
      <c r="C1988" s="6"/>
    </row>
    <row r="1989" spans="1:3" x14ac:dyDescent="0.3">
      <c r="A1989"/>
      <c r="B1989"/>
      <c r="C1989" s="6"/>
    </row>
    <row r="1990" spans="1:3" x14ac:dyDescent="0.3">
      <c r="A1990"/>
      <c r="B1990"/>
      <c r="C1990" s="6"/>
    </row>
    <row r="1991" spans="1:3" x14ac:dyDescent="0.3">
      <c r="A1991"/>
      <c r="B1991"/>
      <c r="C1991" s="6"/>
    </row>
    <row r="1992" spans="1:3" x14ac:dyDescent="0.3">
      <c r="A1992"/>
      <c r="B1992"/>
      <c r="C1992" s="6"/>
    </row>
    <row r="1993" spans="1:3" x14ac:dyDescent="0.3">
      <c r="A1993"/>
      <c r="B1993"/>
      <c r="C1993" s="6"/>
    </row>
    <row r="1994" spans="1:3" x14ac:dyDescent="0.3">
      <c r="A1994"/>
      <c r="B1994"/>
      <c r="C1994" s="6"/>
    </row>
    <row r="1995" spans="1:3" x14ac:dyDescent="0.3">
      <c r="A1995"/>
      <c r="B1995"/>
      <c r="C1995" s="6"/>
    </row>
    <row r="1996" spans="1:3" x14ac:dyDescent="0.3">
      <c r="A1996"/>
      <c r="B1996"/>
      <c r="C1996" s="6"/>
    </row>
    <row r="1997" spans="1:3" x14ac:dyDescent="0.3">
      <c r="A1997"/>
      <c r="B1997"/>
      <c r="C1997" s="6"/>
    </row>
    <row r="1998" spans="1:3" x14ac:dyDescent="0.3">
      <c r="A1998"/>
      <c r="B1998"/>
      <c r="C1998" s="6"/>
    </row>
    <row r="1999" spans="1:3" x14ac:dyDescent="0.3">
      <c r="A1999"/>
      <c r="B1999"/>
      <c r="C1999" s="6"/>
    </row>
    <row r="2000" spans="1:3" x14ac:dyDescent="0.3">
      <c r="A2000"/>
      <c r="B2000"/>
      <c r="C2000" s="6"/>
    </row>
    <row r="2001" spans="1:3" x14ac:dyDescent="0.3">
      <c r="A2001"/>
      <c r="B2001"/>
      <c r="C2001" s="6"/>
    </row>
    <row r="2002" spans="1:3" x14ac:dyDescent="0.3">
      <c r="A2002"/>
      <c r="B2002"/>
      <c r="C2002" s="6"/>
    </row>
    <row r="2003" spans="1:3" x14ac:dyDescent="0.3">
      <c r="A2003"/>
      <c r="B2003"/>
      <c r="C2003" s="6"/>
    </row>
    <row r="2004" spans="1:3" x14ac:dyDescent="0.3">
      <c r="A2004"/>
      <c r="B2004"/>
      <c r="C2004" s="6"/>
    </row>
    <row r="2005" spans="1:3" x14ac:dyDescent="0.3">
      <c r="A2005"/>
      <c r="B2005"/>
      <c r="C2005" s="6"/>
    </row>
    <row r="2006" spans="1:3" x14ac:dyDescent="0.3">
      <c r="A2006"/>
      <c r="B2006"/>
      <c r="C2006" s="6"/>
    </row>
    <row r="2007" spans="1:3" x14ac:dyDescent="0.3">
      <c r="A2007"/>
      <c r="B2007"/>
      <c r="C2007" s="6"/>
    </row>
    <row r="2008" spans="1:3" x14ac:dyDescent="0.3">
      <c r="A2008"/>
      <c r="B2008"/>
      <c r="C2008" s="6"/>
    </row>
    <row r="2009" spans="1:3" x14ac:dyDescent="0.3">
      <c r="A2009"/>
      <c r="B2009"/>
      <c r="C2009" s="6"/>
    </row>
    <row r="2010" spans="1:3" x14ac:dyDescent="0.3">
      <c r="A2010"/>
      <c r="B2010"/>
      <c r="C2010" s="6"/>
    </row>
    <row r="2011" spans="1:3" x14ac:dyDescent="0.3">
      <c r="A2011"/>
      <c r="B2011"/>
      <c r="C2011" s="6"/>
    </row>
    <row r="2012" spans="1:3" x14ac:dyDescent="0.3">
      <c r="A2012"/>
      <c r="B2012"/>
      <c r="C2012" s="6"/>
    </row>
    <row r="2013" spans="1:3" x14ac:dyDescent="0.3">
      <c r="A2013"/>
      <c r="B2013"/>
      <c r="C2013" s="6"/>
    </row>
    <row r="2014" spans="1:3" x14ac:dyDescent="0.3">
      <c r="A2014"/>
      <c r="B2014"/>
      <c r="C2014" s="6"/>
    </row>
    <row r="2015" spans="1:3" x14ac:dyDescent="0.3">
      <c r="A2015"/>
      <c r="B2015"/>
      <c r="C2015" s="6"/>
    </row>
    <row r="2016" spans="1:3" x14ac:dyDescent="0.3">
      <c r="A2016"/>
      <c r="B2016"/>
      <c r="C2016" s="6"/>
    </row>
    <row r="2017" spans="1:3" x14ac:dyDescent="0.3">
      <c r="A2017"/>
      <c r="B2017"/>
      <c r="C2017" s="6"/>
    </row>
    <row r="2018" spans="1:3" x14ac:dyDescent="0.3">
      <c r="A2018"/>
      <c r="B2018"/>
      <c r="C2018" s="6"/>
    </row>
    <row r="2019" spans="1:3" x14ac:dyDescent="0.3">
      <c r="A2019"/>
      <c r="B2019"/>
      <c r="C2019" s="6"/>
    </row>
    <row r="2020" spans="1:3" x14ac:dyDescent="0.3">
      <c r="A2020"/>
      <c r="B2020"/>
      <c r="C2020" s="6"/>
    </row>
    <row r="2021" spans="1:3" x14ac:dyDescent="0.3">
      <c r="A2021"/>
      <c r="B2021"/>
      <c r="C2021" s="6"/>
    </row>
    <row r="2022" spans="1:3" x14ac:dyDescent="0.3">
      <c r="A2022"/>
      <c r="B2022"/>
      <c r="C2022" s="6"/>
    </row>
    <row r="2023" spans="1:3" x14ac:dyDescent="0.3">
      <c r="A2023"/>
      <c r="B2023"/>
      <c r="C2023" s="6"/>
    </row>
    <row r="2024" spans="1:3" x14ac:dyDescent="0.3">
      <c r="A2024"/>
      <c r="B2024"/>
      <c r="C2024" s="6"/>
    </row>
    <row r="2025" spans="1:3" x14ac:dyDescent="0.3">
      <c r="A2025"/>
      <c r="B2025"/>
      <c r="C2025" s="6"/>
    </row>
    <row r="2026" spans="1:3" x14ac:dyDescent="0.3">
      <c r="A2026"/>
      <c r="B2026"/>
      <c r="C2026" s="6"/>
    </row>
    <row r="2027" spans="1:3" x14ac:dyDescent="0.3">
      <c r="A2027"/>
      <c r="B2027"/>
      <c r="C2027" s="6"/>
    </row>
    <row r="2028" spans="1:3" x14ac:dyDescent="0.3">
      <c r="A2028"/>
      <c r="B2028"/>
      <c r="C2028" s="6"/>
    </row>
    <row r="2029" spans="1:3" x14ac:dyDescent="0.3">
      <c r="A2029"/>
      <c r="B2029"/>
      <c r="C2029" s="6"/>
    </row>
    <row r="2030" spans="1:3" x14ac:dyDescent="0.3">
      <c r="A2030"/>
      <c r="B2030"/>
      <c r="C2030" s="6"/>
    </row>
    <row r="2031" spans="1:3" x14ac:dyDescent="0.3">
      <c r="A2031"/>
      <c r="B2031"/>
      <c r="C2031" s="6"/>
    </row>
    <row r="2032" spans="1:3" x14ac:dyDescent="0.3">
      <c r="A2032"/>
      <c r="B2032"/>
      <c r="C2032" s="6"/>
    </row>
    <row r="2033" spans="1:3" x14ac:dyDescent="0.3">
      <c r="A2033"/>
      <c r="B2033"/>
      <c r="C2033" s="6"/>
    </row>
    <row r="2034" spans="1:3" x14ac:dyDescent="0.3">
      <c r="A2034"/>
      <c r="B2034"/>
      <c r="C2034" s="6"/>
    </row>
    <row r="2035" spans="1:3" x14ac:dyDescent="0.3">
      <c r="A2035"/>
      <c r="B2035"/>
      <c r="C2035" s="6"/>
    </row>
    <row r="2036" spans="1:3" x14ac:dyDescent="0.3">
      <c r="A2036"/>
      <c r="B2036"/>
      <c r="C2036" s="6"/>
    </row>
    <row r="2037" spans="1:3" x14ac:dyDescent="0.3">
      <c r="A2037"/>
      <c r="B2037"/>
      <c r="C2037" s="6"/>
    </row>
    <row r="2038" spans="1:3" x14ac:dyDescent="0.3">
      <c r="A2038"/>
      <c r="B2038"/>
      <c r="C2038" s="6"/>
    </row>
    <row r="2039" spans="1:3" x14ac:dyDescent="0.3">
      <c r="A2039"/>
      <c r="B2039"/>
      <c r="C2039" s="6"/>
    </row>
    <row r="2040" spans="1:3" x14ac:dyDescent="0.3">
      <c r="A2040"/>
      <c r="B2040"/>
      <c r="C2040" s="6"/>
    </row>
    <row r="2041" spans="1:3" x14ac:dyDescent="0.3">
      <c r="A2041"/>
      <c r="B2041"/>
      <c r="C2041" s="6"/>
    </row>
    <row r="2042" spans="1:3" x14ac:dyDescent="0.3">
      <c r="A2042"/>
      <c r="B2042"/>
      <c r="C2042" s="6"/>
    </row>
    <row r="2043" spans="1:3" x14ac:dyDescent="0.3">
      <c r="A2043"/>
      <c r="B2043"/>
      <c r="C2043" s="6"/>
    </row>
    <row r="2044" spans="1:3" x14ac:dyDescent="0.3">
      <c r="A2044"/>
      <c r="B2044"/>
      <c r="C2044" s="6"/>
    </row>
    <row r="2045" spans="1:3" x14ac:dyDescent="0.3">
      <c r="A2045"/>
      <c r="B2045"/>
      <c r="C2045" s="6"/>
    </row>
    <row r="2046" spans="1:3" x14ac:dyDescent="0.3">
      <c r="A2046"/>
      <c r="B2046"/>
      <c r="C2046" s="6"/>
    </row>
    <row r="2047" spans="1:3" x14ac:dyDescent="0.3">
      <c r="A2047"/>
      <c r="B2047"/>
      <c r="C2047" s="6"/>
    </row>
    <row r="2048" spans="1:3" x14ac:dyDescent="0.3">
      <c r="A2048"/>
      <c r="B2048"/>
      <c r="C2048" s="6"/>
    </row>
    <row r="2049" spans="1:3" x14ac:dyDescent="0.3">
      <c r="A2049"/>
      <c r="B2049"/>
      <c r="C2049" s="6"/>
    </row>
    <row r="2050" spans="1:3" x14ac:dyDescent="0.3">
      <c r="A2050"/>
      <c r="B2050"/>
      <c r="C2050" s="6"/>
    </row>
    <row r="2051" spans="1:3" x14ac:dyDescent="0.3">
      <c r="A2051"/>
      <c r="B2051"/>
      <c r="C2051" s="6"/>
    </row>
    <row r="2052" spans="1:3" x14ac:dyDescent="0.3">
      <c r="A2052"/>
      <c r="B2052"/>
      <c r="C2052" s="6"/>
    </row>
    <row r="2053" spans="1:3" x14ac:dyDescent="0.3">
      <c r="A2053"/>
      <c r="B2053"/>
      <c r="C2053" s="6"/>
    </row>
    <row r="2054" spans="1:3" x14ac:dyDescent="0.3">
      <c r="A2054"/>
      <c r="B2054"/>
      <c r="C2054" s="6"/>
    </row>
    <row r="2055" spans="1:3" x14ac:dyDescent="0.3">
      <c r="A2055"/>
      <c r="B2055"/>
      <c r="C2055" s="6"/>
    </row>
    <row r="2056" spans="1:3" x14ac:dyDescent="0.3">
      <c r="A2056"/>
      <c r="B2056"/>
      <c r="C2056" s="6"/>
    </row>
    <row r="2057" spans="1:3" x14ac:dyDescent="0.3">
      <c r="A2057"/>
      <c r="B2057"/>
      <c r="C2057" s="6"/>
    </row>
    <row r="2058" spans="1:3" x14ac:dyDescent="0.3">
      <c r="A2058"/>
      <c r="B2058"/>
      <c r="C2058" s="6"/>
    </row>
    <row r="2059" spans="1:3" x14ac:dyDescent="0.3">
      <c r="A2059"/>
      <c r="B2059"/>
      <c r="C2059" s="6"/>
    </row>
    <row r="2060" spans="1:3" x14ac:dyDescent="0.3">
      <c r="A2060"/>
      <c r="B2060"/>
      <c r="C2060" s="6"/>
    </row>
    <row r="2061" spans="1:3" x14ac:dyDescent="0.3">
      <c r="A2061"/>
      <c r="B2061"/>
      <c r="C2061" s="6"/>
    </row>
    <row r="2062" spans="1:3" x14ac:dyDescent="0.3">
      <c r="A2062"/>
      <c r="B2062"/>
      <c r="C2062" s="6"/>
    </row>
    <row r="2063" spans="1:3" x14ac:dyDescent="0.3">
      <c r="A2063"/>
      <c r="B2063"/>
      <c r="C2063" s="6"/>
    </row>
    <row r="2064" spans="1:3" x14ac:dyDescent="0.3">
      <c r="A2064"/>
      <c r="B2064"/>
      <c r="C2064" s="6"/>
    </row>
    <row r="2065" spans="1:3" x14ac:dyDescent="0.3">
      <c r="A2065"/>
      <c r="B2065"/>
      <c r="C2065" s="6"/>
    </row>
    <row r="2066" spans="1:3" x14ac:dyDescent="0.3">
      <c r="A2066"/>
      <c r="B2066"/>
      <c r="C2066" s="6"/>
    </row>
    <row r="2067" spans="1:3" x14ac:dyDescent="0.3">
      <c r="A2067"/>
      <c r="B2067"/>
      <c r="C2067" s="6"/>
    </row>
    <row r="2068" spans="1:3" x14ac:dyDescent="0.3">
      <c r="A2068"/>
      <c r="B2068"/>
      <c r="C2068" s="6"/>
    </row>
    <row r="2069" spans="1:3" x14ac:dyDescent="0.3">
      <c r="A2069"/>
      <c r="B2069"/>
      <c r="C2069" s="6"/>
    </row>
    <row r="2070" spans="1:3" x14ac:dyDescent="0.3">
      <c r="A2070"/>
      <c r="B2070"/>
      <c r="C2070" s="6"/>
    </row>
    <row r="2071" spans="1:3" x14ac:dyDescent="0.3">
      <c r="A2071"/>
      <c r="B2071"/>
      <c r="C2071" s="6"/>
    </row>
    <row r="2072" spans="1:3" x14ac:dyDescent="0.3">
      <c r="A2072"/>
      <c r="B2072"/>
      <c r="C2072" s="6"/>
    </row>
    <row r="2073" spans="1:3" x14ac:dyDescent="0.3">
      <c r="A2073"/>
      <c r="B2073"/>
      <c r="C2073" s="6"/>
    </row>
    <row r="2074" spans="1:3" x14ac:dyDescent="0.3">
      <c r="A2074"/>
      <c r="B2074"/>
      <c r="C2074" s="6"/>
    </row>
    <row r="2075" spans="1:3" x14ac:dyDescent="0.3">
      <c r="A2075"/>
      <c r="B2075"/>
      <c r="C2075" s="6"/>
    </row>
    <row r="2076" spans="1:3" x14ac:dyDescent="0.3">
      <c r="A2076"/>
      <c r="B2076"/>
      <c r="C2076" s="6"/>
    </row>
    <row r="2077" spans="1:3" x14ac:dyDescent="0.3">
      <c r="A2077"/>
      <c r="B2077"/>
      <c r="C2077" s="6"/>
    </row>
    <row r="2078" spans="1:3" x14ac:dyDescent="0.3">
      <c r="A2078"/>
      <c r="B2078"/>
      <c r="C2078" s="6"/>
    </row>
    <row r="2079" spans="1:3" x14ac:dyDescent="0.3">
      <c r="A2079"/>
      <c r="B2079"/>
      <c r="C2079" s="6"/>
    </row>
    <row r="2080" spans="1:3" x14ac:dyDescent="0.3">
      <c r="A2080"/>
      <c r="B2080"/>
      <c r="C2080" s="6"/>
    </row>
    <row r="2081" spans="1:3" x14ac:dyDescent="0.3">
      <c r="A2081"/>
      <c r="B2081"/>
      <c r="C2081" s="6"/>
    </row>
    <row r="2082" spans="1:3" x14ac:dyDescent="0.3">
      <c r="A2082"/>
      <c r="B2082"/>
      <c r="C2082" s="6"/>
    </row>
    <row r="2083" spans="1:3" x14ac:dyDescent="0.3">
      <c r="A2083"/>
      <c r="B2083"/>
      <c r="C2083" s="6"/>
    </row>
    <row r="2084" spans="1:3" x14ac:dyDescent="0.3">
      <c r="A2084"/>
      <c r="B2084"/>
      <c r="C2084" s="6"/>
    </row>
    <row r="2085" spans="1:3" x14ac:dyDescent="0.3">
      <c r="A2085"/>
      <c r="B2085"/>
      <c r="C2085" s="6"/>
    </row>
    <row r="2086" spans="1:3" x14ac:dyDescent="0.3">
      <c r="A2086"/>
      <c r="B2086"/>
      <c r="C2086" s="6"/>
    </row>
    <row r="2087" spans="1:3" x14ac:dyDescent="0.3">
      <c r="A2087"/>
      <c r="B2087"/>
      <c r="C2087" s="6"/>
    </row>
    <row r="2088" spans="1:3" x14ac:dyDescent="0.3">
      <c r="A2088"/>
      <c r="B2088"/>
      <c r="C2088" s="6"/>
    </row>
    <row r="2089" spans="1:3" x14ac:dyDescent="0.3">
      <c r="A2089"/>
      <c r="B2089"/>
      <c r="C2089" s="6"/>
    </row>
    <row r="2090" spans="1:3" x14ac:dyDescent="0.3">
      <c r="A2090"/>
      <c r="B2090"/>
      <c r="C2090" s="6"/>
    </row>
    <row r="2091" spans="1:3" x14ac:dyDescent="0.3">
      <c r="A2091"/>
      <c r="B2091"/>
      <c r="C2091" s="6"/>
    </row>
    <row r="2092" spans="1:3" x14ac:dyDescent="0.3">
      <c r="A2092"/>
      <c r="B2092"/>
      <c r="C2092" s="6"/>
    </row>
    <row r="2093" spans="1:3" x14ac:dyDescent="0.3">
      <c r="A2093"/>
      <c r="B2093"/>
      <c r="C2093" s="6"/>
    </row>
    <row r="2094" spans="1:3" x14ac:dyDescent="0.3">
      <c r="A2094"/>
      <c r="B2094"/>
      <c r="C2094" s="6"/>
    </row>
    <row r="2095" spans="1:3" x14ac:dyDescent="0.3">
      <c r="A2095"/>
      <c r="B2095"/>
      <c r="C2095" s="6"/>
    </row>
    <row r="2096" spans="1:3" x14ac:dyDescent="0.3">
      <c r="A2096"/>
      <c r="B2096"/>
      <c r="C2096" s="6"/>
    </row>
    <row r="2097" spans="1:3" x14ac:dyDescent="0.3">
      <c r="A2097"/>
      <c r="B2097"/>
      <c r="C2097" s="6"/>
    </row>
    <row r="2098" spans="1:3" x14ac:dyDescent="0.3">
      <c r="A2098"/>
      <c r="B2098"/>
      <c r="C2098" s="6"/>
    </row>
    <row r="2099" spans="1:3" x14ac:dyDescent="0.3">
      <c r="A2099"/>
      <c r="B2099"/>
      <c r="C2099" s="6"/>
    </row>
    <row r="2100" spans="1:3" x14ac:dyDescent="0.3">
      <c r="A2100"/>
      <c r="B2100"/>
      <c r="C2100" s="6"/>
    </row>
    <row r="2101" spans="1:3" x14ac:dyDescent="0.3">
      <c r="A2101"/>
      <c r="B2101"/>
      <c r="C2101" s="6"/>
    </row>
    <row r="2102" spans="1:3" x14ac:dyDescent="0.3">
      <c r="A2102"/>
      <c r="B2102"/>
      <c r="C2102" s="6"/>
    </row>
    <row r="2103" spans="1:3" x14ac:dyDescent="0.3">
      <c r="A2103"/>
      <c r="B2103"/>
      <c r="C2103" s="6"/>
    </row>
    <row r="2104" spans="1:3" x14ac:dyDescent="0.3">
      <c r="A2104"/>
      <c r="B2104"/>
      <c r="C2104" s="6"/>
    </row>
    <row r="2105" spans="1:3" x14ac:dyDescent="0.3">
      <c r="A2105"/>
      <c r="B2105"/>
      <c r="C2105" s="6"/>
    </row>
    <row r="2106" spans="1:3" x14ac:dyDescent="0.3">
      <c r="A2106"/>
      <c r="B2106"/>
      <c r="C2106" s="6"/>
    </row>
    <row r="2107" spans="1:3" x14ac:dyDescent="0.3">
      <c r="A2107"/>
      <c r="B2107"/>
      <c r="C2107" s="6"/>
    </row>
    <row r="2108" spans="1:3" x14ac:dyDescent="0.3">
      <c r="A2108"/>
      <c r="B2108"/>
      <c r="C2108" s="6"/>
    </row>
    <row r="2109" spans="1:3" x14ac:dyDescent="0.3">
      <c r="A2109"/>
      <c r="B2109"/>
      <c r="C2109" s="6"/>
    </row>
    <row r="2110" spans="1:3" x14ac:dyDescent="0.3">
      <c r="A2110"/>
      <c r="B2110"/>
      <c r="C2110" s="6"/>
    </row>
    <row r="2111" spans="1:3" x14ac:dyDescent="0.3">
      <c r="A2111"/>
      <c r="B2111"/>
      <c r="C2111" s="6"/>
    </row>
    <row r="2112" spans="1:3" x14ac:dyDescent="0.3">
      <c r="A2112"/>
      <c r="B2112"/>
      <c r="C2112" s="6"/>
    </row>
    <row r="2113" spans="1:3" x14ac:dyDescent="0.3">
      <c r="A2113"/>
      <c r="B2113"/>
      <c r="C2113" s="6"/>
    </row>
    <row r="2114" spans="1:3" x14ac:dyDescent="0.3">
      <c r="A2114"/>
      <c r="B2114"/>
      <c r="C2114" s="6"/>
    </row>
    <row r="2115" spans="1:3" x14ac:dyDescent="0.3">
      <c r="A2115"/>
      <c r="B2115"/>
      <c r="C2115" s="6"/>
    </row>
    <row r="2116" spans="1:3" x14ac:dyDescent="0.3">
      <c r="A2116"/>
      <c r="B2116"/>
      <c r="C2116" s="6"/>
    </row>
    <row r="2117" spans="1:3" x14ac:dyDescent="0.3">
      <c r="A2117"/>
      <c r="B2117"/>
      <c r="C2117" s="6"/>
    </row>
    <row r="2118" spans="1:3" x14ac:dyDescent="0.3">
      <c r="A2118"/>
      <c r="B2118"/>
      <c r="C2118" s="6"/>
    </row>
    <row r="2119" spans="1:3" x14ac:dyDescent="0.3">
      <c r="A2119"/>
      <c r="B2119"/>
      <c r="C2119" s="6"/>
    </row>
    <row r="2120" spans="1:3" x14ac:dyDescent="0.3">
      <c r="A2120"/>
      <c r="B2120"/>
      <c r="C2120" s="6"/>
    </row>
    <row r="2121" spans="1:3" x14ac:dyDescent="0.3">
      <c r="A2121"/>
      <c r="B2121"/>
      <c r="C2121" s="6"/>
    </row>
    <row r="2122" spans="1:3" x14ac:dyDescent="0.3">
      <c r="A2122"/>
      <c r="B2122"/>
      <c r="C2122" s="6"/>
    </row>
    <row r="2123" spans="1:3" x14ac:dyDescent="0.3">
      <c r="A2123"/>
      <c r="B2123"/>
      <c r="C2123" s="6"/>
    </row>
    <row r="2124" spans="1:3" x14ac:dyDescent="0.3">
      <c r="A2124"/>
      <c r="B2124"/>
      <c r="C2124" s="6"/>
    </row>
    <row r="2125" spans="1:3" x14ac:dyDescent="0.3">
      <c r="A2125"/>
      <c r="B2125"/>
      <c r="C2125" s="6"/>
    </row>
    <row r="2126" spans="1:3" x14ac:dyDescent="0.3">
      <c r="A2126"/>
      <c r="B2126"/>
      <c r="C2126" s="6"/>
    </row>
    <row r="2127" spans="1:3" x14ac:dyDescent="0.3">
      <c r="A2127"/>
      <c r="B2127"/>
      <c r="C2127" s="6"/>
    </row>
    <row r="2128" spans="1:3" x14ac:dyDescent="0.3">
      <c r="A2128"/>
      <c r="B2128"/>
      <c r="C2128" s="6"/>
    </row>
    <row r="2129" spans="1:3" x14ac:dyDescent="0.3">
      <c r="A2129"/>
      <c r="B2129"/>
      <c r="C2129" s="6"/>
    </row>
    <row r="2130" spans="1:3" x14ac:dyDescent="0.3">
      <c r="A2130"/>
      <c r="B2130"/>
      <c r="C2130" s="6"/>
    </row>
    <row r="2131" spans="1:3" x14ac:dyDescent="0.3">
      <c r="A2131"/>
      <c r="B2131"/>
      <c r="C2131" s="6"/>
    </row>
    <row r="2132" spans="1:3" x14ac:dyDescent="0.3">
      <c r="A2132"/>
      <c r="B2132"/>
      <c r="C2132" s="6"/>
    </row>
    <row r="2133" spans="1:3" x14ac:dyDescent="0.3">
      <c r="A2133"/>
      <c r="B2133"/>
      <c r="C2133" s="6"/>
    </row>
    <row r="2134" spans="1:3" x14ac:dyDescent="0.3">
      <c r="A2134"/>
      <c r="B2134"/>
      <c r="C2134" s="6"/>
    </row>
    <row r="2135" spans="1:3" x14ac:dyDescent="0.3">
      <c r="A2135"/>
      <c r="B2135"/>
      <c r="C2135" s="6"/>
    </row>
    <row r="2136" spans="1:3" x14ac:dyDescent="0.3">
      <c r="A2136"/>
      <c r="B2136"/>
      <c r="C2136" s="6"/>
    </row>
    <row r="2137" spans="1:3" x14ac:dyDescent="0.3">
      <c r="A2137"/>
      <c r="B2137"/>
      <c r="C2137" s="6"/>
    </row>
    <row r="2138" spans="1:3" x14ac:dyDescent="0.3">
      <c r="A2138"/>
      <c r="B2138"/>
      <c r="C2138" s="6"/>
    </row>
    <row r="2139" spans="1:3" x14ac:dyDescent="0.3">
      <c r="A2139"/>
      <c r="B2139"/>
      <c r="C2139" s="6"/>
    </row>
    <row r="2140" spans="1:3" x14ac:dyDescent="0.3">
      <c r="A2140"/>
      <c r="B2140"/>
      <c r="C2140" s="6"/>
    </row>
    <row r="2141" spans="1:3" x14ac:dyDescent="0.3">
      <c r="A2141"/>
      <c r="B2141"/>
      <c r="C2141" s="6"/>
    </row>
    <row r="2142" spans="1:3" x14ac:dyDescent="0.3">
      <c r="A2142"/>
      <c r="B2142"/>
      <c r="C2142" s="6"/>
    </row>
    <row r="2143" spans="1:3" x14ac:dyDescent="0.3">
      <c r="A2143"/>
      <c r="B2143"/>
      <c r="C2143" s="6"/>
    </row>
    <row r="2144" spans="1:3" x14ac:dyDescent="0.3">
      <c r="A2144"/>
      <c r="B2144"/>
      <c r="C2144" s="6"/>
    </row>
    <row r="2145" spans="1:3" x14ac:dyDescent="0.3">
      <c r="A2145"/>
      <c r="B2145"/>
      <c r="C2145" s="6"/>
    </row>
    <row r="2146" spans="1:3" x14ac:dyDescent="0.3">
      <c r="A2146"/>
      <c r="B2146"/>
      <c r="C2146" s="6"/>
    </row>
    <row r="2147" spans="1:3" x14ac:dyDescent="0.3">
      <c r="A2147"/>
      <c r="B2147"/>
      <c r="C2147" s="6"/>
    </row>
    <row r="2148" spans="1:3" x14ac:dyDescent="0.3">
      <c r="A2148"/>
      <c r="B2148"/>
      <c r="C2148" s="6"/>
    </row>
    <row r="2149" spans="1:3" x14ac:dyDescent="0.3">
      <c r="A2149"/>
      <c r="B2149"/>
      <c r="C2149" s="6"/>
    </row>
    <row r="2150" spans="1:3" x14ac:dyDescent="0.3">
      <c r="A2150"/>
      <c r="B2150"/>
      <c r="C2150" s="6"/>
    </row>
    <row r="2151" spans="1:3" x14ac:dyDescent="0.3">
      <c r="A2151"/>
      <c r="B2151"/>
      <c r="C2151" s="6"/>
    </row>
    <row r="2152" spans="1:3" x14ac:dyDescent="0.3">
      <c r="A2152"/>
      <c r="B2152"/>
      <c r="C2152" s="6"/>
    </row>
    <row r="2153" spans="1:3" x14ac:dyDescent="0.3">
      <c r="A2153"/>
      <c r="B2153"/>
      <c r="C2153" s="6"/>
    </row>
    <row r="2154" spans="1:3" x14ac:dyDescent="0.3">
      <c r="A2154"/>
      <c r="B2154"/>
      <c r="C2154" s="6"/>
    </row>
    <row r="2155" spans="1:3" x14ac:dyDescent="0.3">
      <c r="A2155"/>
      <c r="B2155"/>
      <c r="C2155" s="6"/>
    </row>
    <row r="2156" spans="1:3" x14ac:dyDescent="0.3">
      <c r="A2156"/>
      <c r="B2156"/>
      <c r="C2156" s="6"/>
    </row>
    <row r="2157" spans="1:3" x14ac:dyDescent="0.3">
      <c r="A2157"/>
      <c r="B2157"/>
      <c r="C2157" s="6"/>
    </row>
    <row r="2158" spans="1:3" x14ac:dyDescent="0.3">
      <c r="A2158"/>
      <c r="B2158"/>
      <c r="C2158" s="6"/>
    </row>
    <row r="2159" spans="1:3" x14ac:dyDescent="0.3">
      <c r="A2159"/>
      <c r="B2159"/>
      <c r="C2159" s="6"/>
    </row>
    <row r="2160" spans="1:3" x14ac:dyDescent="0.3">
      <c r="A2160"/>
      <c r="B2160"/>
      <c r="C2160" s="6"/>
    </row>
    <row r="2161" spans="1:3" x14ac:dyDescent="0.3">
      <c r="A2161"/>
      <c r="B2161"/>
      <c r="C2161" s="6"/>
    </row>
    <row r="2162" spans="1:3" x14ac:dyDescent="0.3">
      <c r="A2162"/>
      <c r="B2162"/>
      <c r="C2162" s="6"/>
    </row>
    <row r="2163" spans="1:3" x14ac:dyDescent="0.3">
      <c r="A2163"/>
      <c r="B2163"/>
      <c r="C2163" s="6"/>
    </row>
    <row r="2164" spans="1:3" x14ac:dyDescent="0.3">
      <c r="A2164"/>
      <c r="B2164"/>
      <c r="C2164" s="6"/>
    </row>
    <row r="2165" spans="1:3" x14ac:dyDescent="0.3">
      <c r="A2165"/>
      <c r="B2165"/>
      <c r="C2165" s="6"/>
    </row>
    <row r="2166" spans="1:3" x14ac:dyDescent="0.3">
      <c r="A2166"/>
      <c r="B2166"/>
      <c r="C2166" s="6"/>
    </row>
    <row r="2167" spans="1:3" x14ac:dyDescent="0.3">
      <c r="A2167"/>
      <c r="B2167"/>
      <c r="C2167" s="6"/>
    </row>
    <row r="2168" spans="1:3" x14ac:dyDescent="0.3">
      <c r="A2168"/>
      <c r="B2168"/>
      <c r="C2168" s="6"/>
    </row>
    <row r="2169" spans="1:3" x14ac:dyDescent="0.3">
      <c r="A2169"/>
      <c r="B2169"/>
      <c r="C2169" s="6"/>
    </row>
    <row r="2170" spans="1:3" x14ac:dyDescent="0.3">
      <c r="A2170"/>
      <c r="B2170"/>
      <c r="C2170" s="6"/>
    </row>
    <row r="2171" spans="1:3" x14ac:dyDescent="0.3">
      <c r="A2171"/>
      <c r="B2171"/>
      <c r="C2171" s="6"/>
    </row>
    <row r="2172" spans="1:3" x14ac:dyDescent="0.3">
      <c r="A2172"/>
      <c r="B2172"/>
      <c r="C2172" s="6"/>
    </row>
    <row r="2173" spans="1:3" x14ac:dyDescent="0.3">
      <c r="A2173"/>
      <c r="B2173"/>
      <c r="C2173" s="6"/>
    </row>
    <row r="2174" spans="1:3" x14ac:dyDescent="0.3">
      <c r="A2174"/>
      <c r="B2174"/>
      <c r="C2174" s="6"/>
    </row>
    <row r="2175" spans="1:3" x14ac:dyDescent="0.3">
      <c r="A2175"/>
      <c r="B2175"/>
      <c r="C2175" s="6"/>
    </row>
    <row r="2176" spans="1:3" x14ac:dyDescent="0.3">
      <c r="A2176"/>
      <c r="B2176"/>
      <c r="C2176" s="6"/>
    </row>
    <row r="2177" spans="1:3" x14ac:dyDescent="0.3">
      <c r="A2177"/>
      <c r="B2177"/>
      <c r="C2177" s="6"/>
    </row>
    <row r="2178" spans="1:3" x14ac:dyDescent="0.3">
      <c r="A2178"/>
      <c r="B2178"/>
      <c r="C2178" s="6"/>
    </row>
    <row r="2179" spans="1:3" x14ac:dyDescent="0.3">
      <c r="A2179"/>
      <c r="B2179"/>
      <c r="C2179" s="6"/>
    </row>
    <row r="2180" spans="1:3" x14ac:dyDescent="0.3">
      <c r="A2180"/>
      <c r="B2180"/>
      <c r="C2180" s="6"/>
    </row>
    <row r="2181" spans="1:3" x14ac:dyDescent="0.3">
      <c r="A2181"/>
      <c r="B2181"/>
      <c r="C2181" s="6"/>
    </row>
    <row r="2182" spans="1:3" x14ac:dyDescent="0.3">
      <c r="A2182"/>
      <c r="B2182"/>
      <c r="C2182" s="6"/>
    </row>
    <row r="2183" spans="1:3" x14ac:dyDescent="0.3">
      <c r="A2183"/>
      <c r="B2183"/>
      <c r="C2183" s="6"/>
    </row>
    <row r="2184" spans="1:3" x14ac:dyDescent="0.3">
      <c r="A2184"/>
      <c r="B2184"/>
      <c r="C2184" s="6"/>
    </row>
    <row r="2185" spans="1:3" x14ac:dyDescent="0.3">
      <c r="A2185"/>
      <c r="B2185"/>
      <c r="C2185" s="6"/>
    </row>
    <row r="2186" spans="1:3" x14ac:dyDescent="0.3">
      <c r="A2186"/>
      <c r="B2186"/>
      <c r="C2186" s="6"/>
    </row>
    <row r="2187" spans="1:3" x14ac:dyDescent="0.3">
      <c r="A2187"/>
      <c r="B2187"/>
      <c r="C2187" s="6"/>
    </row>
    <row r="2188" spans="1:3" x14ac:dyDescent="0.3">
      <c r="A2188"/>
      <c r="B2188"/>
      <c r="C2188" s="6"/>
    </row>
    <row r="2189" spans="1:3" x14ac:dyDescent="0.3">
      <c r="A2189"/>
      <c r="B2189"/>
      <c r="C2189" s="6"/>
    </row>
    <row r="2190" spans="1:3" x14ac:dyDescent="0.3">
      <c r="A2190"/>
      <c r="B2190"/>
      <c r="C2190" s="6"/>
    </row>
    <row r="2191" spans="1:3" x14ac:dyDescent="0.3">
      <c r="A2191"/>
      <c r="B2191"/>
      <c r="C2191" s="6"/>
    </row>
    <row r="2192" spans="1:3" x14ac:dyDescent="0.3">
      <c r="A2192"/>
      <c r="B2192"/>
      <c r="C2192" s="6"/>
    </row>
    <row r="2193" spans="1:3" x14ac:dyDescent="0.3">
      <c r="A2193"/>
      <c r="B2193"/>
      <c r="C2193" s="6"/>
    </row>
    <row r="2194" spans="1:3" x14ac:dyDescent="0.3">
      <c r="A2194"/>
      <c r="B2194"/>
      <c r="C2194" s="6"/>
    </row>
    <row r="2195" spans="1:3" x14ac:dyDescent="0.3">
      <c r="A2195"/>
      <c r="B2195"/>
      <c r="C2195" s="6"/>
    </row>
    <row r="2196" spans="1:3" x14ac:dyDescent="0.3">
      <c r="A2196"/>
      <c r="B2196"/>
      <c r="C2196" s="6"/>
    </row>
    <row r="2197" spans="1:3" x14ac:dyDescent="0.3">
      <c r="A2197"/>
      <c r="B2197"/>
      <c r="C2197" s="6"/>
    </row>
    <row r="2198" spans="1:3" x14ac:dyDescent="0.3">
      <c r="A2198"/>
      <c r="B2198"/>
      <c r="C2198" s="6"/>
    </row>
    <row r="2199" spans="1:3" x14ac:dyDescent="0.3">
      <c r="A2199"/>
      <c r="B2199"/>
      <c r="C2199" s="6"/>
    </row>
    <row r="2200" spans="1:3" x14ac:dyDescent="0.3">
      <c r="A2200"/>
      <c r="B2200"/>
      <c r="C2200" s="6"/>
    </row>
    <row r="2201" spans="1:3" x14ac:dyDescent="0.3">
      <c r="A2201"/>
      <c r="B2201"/>
      <c r="C2201" s="6"/>
    </row>
    <row r="2202" spans="1:3" x14ac:dyDescent="0.3">
      <c r="A2202"/>
      <c r="B2202"/>
      <c r="C2202" s="6"/>
    </row>
    <row r="2203" spans="1:3" x14ac:dyDescent="0.3">
      <c r="A2203"/>
      <c r="B2203"/>
      <c r="C2203" s="6"/>
    </row>
    <row r="2204" spans="1:3" x14ac:dyDescent="0.3">
      <c r="A2204"/>
      <c r="B2204"/>
      <c r="C2204" s="6"/>
    </row>
    <row r="2205" spans="1:3" x14ac:dyDescent="0.3">
      <c r="A2205"/>
      <c r="B2205"/>
      <c r="C2205" s="6"/>
    </row>
    <row r="2206" spans="1:3" x14ac:dyDescent="0.3">
      <c r="A2206"/>
      <c r="B2206"/>
      <c r="C2206" s="6"/>
    </row>
    <row r="2207" spans="1:3" x14ac:dyDescent="0.3">
      <c r="A2207"/>
      <c r="B2207"/>
      <c r="C2207" s="6"/>
    </row>
    <row r="2208" spans="1:3" x14ac:dyDescent="0.3">
      <c r="A2208"/>
      <c r="B2208"/>
      <c r="C2208" s="6"/>
    </row>
    <row r="2209" spans="1:3" x14ac:dyDescent="0.3">
      <c r="A2209"/>
      <c r="B2209"/>
      <c r="C2209" s="6"/>
    </row>
    <row r="2210" spans="1:3" x14ac:dyDescent="0.3">
      <c r="A2210"/>
      <c r="B2210"/>
      <c r="C2210" s="6"/>
    </row>
    <row r="2211" spans="1:3" x14ac:dyDescent="0.3">
      <c r="A2211"/>
      <c r="B2211"/>
      <c r="C2211" s="6"/>
    </row>
    <row r="2212" spans="1:3" x14ac:dyDescent="0.3">
      <c r="A2212"/>
      <c r="B2212"/>
      <c r="C2212" s="6"/>
    </row>
    <row r="2213" spans="1:3" x14ac:dyDescent="0.3">
      <c r="A2213"/>
      <c r="B2213"/>
      <c r="C2213" s="6"/>
    </row>
    <row r="2214" spans="1:3" x14ac:dyDescent="0.3">
      <c r="A2214"/>
      <c r="B2214"/>
      <c r="C2214" s="6"/>
    </row>
    <row r="2215" spans="1:3" x14ac:dyDescent="0.3">
      <c r="A2215"/>
      <c r="B2215"/>
      <c r="C2215" s="6"/>
    </row>
    <row r="2216" spans="1:3" x14ac:dyDescent="0.3">
      <c r="A2216"/>
      <c r="B2216"/>
      <c r="C2216" s="6"/>
    </row>
    <row r="2217" spans="1:3" x14ac:dyDescent="0.3">
      <c r="A2217"/>
      <c r="B2217"/>
      <c r="C2217" s="6"/>
    </row>
    <row r="2218" spans="1:3" x14ac:dyDescent="0.3">
      <c r="A2218"/>
      <c r="B2218"/>
      <c r="C2218" s="6"/>
    </row>
    <row r="2219" spans="1:3" x14ac:dyDescent="0.3">
      <c r="A2219"/>
      <c r="B2219"/>
      <c r="C2219" s="6"/>
    </row>
    <row r="2220" spans="1:3" x14ac:dyDescent="0.3">
      <c r="A2220"/>
      <c r="B2220"/>
      <c r="C2220" s="6"/>
    </row>
    <row r="2221" spans="1:3" x14ac:dyDescent="0.3">
      <c r="A2221"/>
      <c r="B2221"/>
      <c r="C2221" s="6"/>
    </row>
    <row r="2222" spans="1:3" x14ac:dyDescent="0.3">
      <c r="A2222"/>
      <c r="B2222"/>
      <c r="C2222" s="6"/>
    </row>
    <row r="2223" spans="1:3" x14ac:dyDescent="0.3">
      <c r="A2223"/>
      <c r="B2223"/>
      <c r="C2223" s="6"/>
    </row>
    <row r="2224" spans="1:3" x14ac:dyDescent="0.3">
      <c r="A2224"/>
      <c r="B2224"/>
      <c r="C2224" s="6"/>
    </row>
    <row r="2225" spans="1:3" x14ac:dyDescent="0.3">
      <c r="A2225"/>
      <c r="B2225"/>
      <c r="C2225" s="6"/>
    </row>
    <row r="2226" spans="1:3" x14ac:dyDescent="0.3">
      <c r="A2226"/>
      <c r="B2226"/>
      <c r="C2226" s="6"/>
    </row>
    <row r="2227" spans="1:3" x14ac:dyDescent="0.3">
      <c r="A2227"/>
      <c r="B2227"/>
      <c r="C2227" s="6"/>
    </row>
    <row r="2228" spans="1:3" x14ac:dyDescent="0.3">
      <c r="A2228"/>
      <c r="B2228"/>
      <c r="C2228" s="6"/>
    </row>
    <row r="2229" spans="1:3" x14ac:dyDescent="0.3">
      <c r="A2229"/>
      <c r="B2229"/>
      <c r="C2229" s="6"/>
    </row>
    <row r="2230" spans="1:3" x14ac:dyDescent="0.3">
      <c r="A2230"/>
      <c r="B2230"/>
      <c r="C2230" s="6"/>
    </row>
    <row r="2231" spans="1:3" x14ac:dyDescent="0.3">
      <c r="A2231"/>
      <c r="B2231"/>
      <c r="C2231" s="6"/>
    </row>
    <row r="2232" spans="1:3" x14ac:dyDescent="0.3">
      <c r="A2232"/>
      <c r="B2232"/>
      <c r="C2232" s="6"/>
    </row>
    <row r="2233" spans="1:3" x14ac:dyDescent="0.3">
      <c r="A2233"/>
      <c r="B2233"/>
      <c r="C2233" s="6"/>
    </row>
    <row r="2234" spans="1:3" x14ac:dyDescent="0.3">
      <c r="A2234"/>
      <c r="B2234"/>
      <c r="C2234" s="6"/>
    </row>
    <row r="2235" spans="1:3" x14ac:dyDescent="0.3">
      <c r="A2235"/>
      <c r="B2235"/>
      <c r="C2235" s="6"/>
    </row>
    <row r="2236" spans="1:3" x14ac:dyDescent="0.3">
      <c r="A2236"/>
      <c r="B2236"/>
      <c r="C2236" s="6"/>
    </row>
    <row r="2237" spans="1:3" x14ac:dyDescent="0.3">
      <c r="A2237"/>
      <c r="B2237"/>
      <c r="C2237" s="6"/>
    </row>
    <row r="2238" spans="1:3" x14ac:dyDescent="0.3">
      <c r="A2238"/>
      <c r="B2238"/>
      <c r="C2238" s="6"/>
    </row>
    <row r="2239" spans="1:3" x14ac:dyDescent="0.3">
      <c r="A2239"/>
      <c r="B2239"/>
      <c r="C2239" s="6"/>
    </row>
    <row r="2240" spans="1:3" x14ac:dyDescent="0.3">
      <c r="A2240"/>
      <c r="B2240"/>
      <c r="C2240" s="6"/>
    </row>
    <row r="2241" spans="1:3" x14ac:dyDescent="0.3">
      <c r="A2241"/>
      <c r="B2241"/>
      <c r="C2241" s="6"/>
    </row>
    <row r="2242" spans="1:3" x14ac:dyDescent="0.3">
      <c r="A2242"/>
      <c r="B2242"/>
      <c r="C2242" s="6"/>
    </row>
    <row r="2243" spans="1:3" x14ac:dyDescent="0.3">
      <c r="A2243"/>
      <c r="B2243"/>
      <c r="C2243" s="6"/>
    </row>
    <row r="2244" spans="1:3" x14ac:dyDescent="0.3">
      <c r="A2244"/>
      <c r="B2244"/>
      <c r="C2244" s="6"/>
    </row>
    <row r="2245" spans="1:3" x14ac:dyDescent="0.3">
      <c r="A2245"/>
      <c r="B2245"/>
      <c r="C2245" s="6"/>
    </row>
    <row r="2246" spans="1:3" x14ac:dyDescent="0.3">
      <c r="A2246"/>
      <c r="B2246"/>
      <c r="C2246" s="6"/>
    </row>
    <row r="2247" spans="1:3" x14ac:dyDescent="0.3">
      <c r="A2247"/>
      <c r="B2247"/>
      <c r="C2247" s="6"/>
    </row>
    <row r="2248" spans="1:3" x14ac:dyDescent="0.3">
      <c r="A2248"/>
      <c r="B2248"/>
      <c r="C2248" s="6"/>
    </row>
    <row r="2249" spans="1:3" x14ac:dyDescent="0.3">
      <c r="A2249"/>
      <c r="B2249"/>
      <c r="C2249" s="6"/>
    </row>
    <row r="2250" spans="1:3" x14ac:dyDescent="0.3">
      <c r="A2250"/>
      <c r="B2250"/>
      <c r="C2250" s="6"/>
    </row>
    <row r="2251" spans="1:3" x14ac:dyDescent="0.3">
      <c r="A2251"/>
      <c r="B2251"/>
      <c r="C2251" s="6"/>
    </row>
    <row r="2252" spans="1:3" x14ac:dyDescent="0.3">
      <c r="A2252"/>
      <c r="B2252"/>
      <c r="C2252" s="6"/>
    </row>
    <row r="2253" spans="1:3" x14ac:dyDescent="0.3">
      <c r="A2253"/>
      <c r="B2253"/>
      <c r="C2253" s="6"/>
    </row>
    <row r="2254" spans="1:3" x14ac:dyDescent="0.3">
      <c r="A2254"/>
      <c r="B2254"/>
      <c r="C2254" s="6"/>
    </row>
    <row r="2255" spans="1:3" x14ac:dyDescent="0.3">
      <c r="A2255"/>
      <c r="B2255"/>
      <c r="C2255" s="6"/>
    </row>
    <row r="2256" spans="1:3" x14ac:dyDescent="0.3">
      <c r="A2256"/>
      <c r="B2256"/>
      <c r="C2256" s="6"/>
    </row>
    <row r="2257" spans="1:3" x14ac:dyDescent="0.3">
      <c r="A2257"/>
      <c r="B2257"/>
      <c r="C2257" s="6"/>
    </row>
    <row r="2258" spans="1:3" x14ac:dyDescent="0.3">
      <c r="A2258"/>
      <c r="B2258"/>
      <c r="C2258" s="6"/>
    </row>
    <row r="2259" spans="1:3" x14ac:dyDescent="0.3">
      <c r="A2259"/>
      <c r="B2259"/>
      <c r="C2259" s="6"/>
    </row>
    <row r="2260" spans="1:3" x14ac:dyDescent="0.3">
      <c r="A2260"/>
      <c r="B2260"/>
      <c r="C2260" s="6"/>
    </row>
    <row r="2261" spans="1:3" x14ac:dyDescent="0.3">
      <c r="A2261"/>
      <c r="B2261"/>
      <c r="C2261" s="6"/>
    </row>
    <row r="2262" spans="1:3" x14ac:dyDescent="0.3">
      <c r="A2262"/>
      <c r="B2262"/>
      <c r="C2262" s="6"/>
    </row>
    <row r="2263" spans="1:3" x14ac:dyDescent="0.3">
      <c r="A2263"/>
      <c r="B2263"/>
      <c r="C2263" s="6"/>
    </row>
    <row r="2264" spans="1:3" x14ac:dyDescent="0.3">
      <c r="A2264"/>
      <c r="B2264"/>
      <c r="C2264" s="6"/>
    </row>
    <row r="2265" spans="1:3" x14ac:dyDescent="0.3">
      <c r="A2265"/>
      <c r="B2265"/>
      <c r="C2265" s="6"/>
    </row>
    <row r="2266" spans="1:3" x14ac:dyDescent="0.3">
      <c r="A2266"/>
      <c r="B2266"/>
      <c r="C2266" s="6"/>
    </row>
    <row r="2267" spans="1:3" x14ac:dyDescent="0.3">
      <c r="A2267"/>
      <c r="B2267"/>
      <c r="C2267" s="6"/>
    </row>
    <row r="2268" spans="1:3" x14ac:dyDescent="0.3">
      <c r="A2268"/>
      <c r="B2268"/>
      <c r="C2268" s="6"/>
    </row>
    <row r="2269" spans="1:3" x14ac:dyDescent="0.3">
      <c r="A2269"/>
      <c r="B2269"/>
      <c r="C2269" s="6"/>
    </row>
    <row r="2270" spans="1:3" x14ac:dyDescent="0.3">
      <c r="A2270"/>
      <c r="B2270"/>
      <c r="C2270" s="6"/>
    </row>
    <row r="2271" spans="1:3" x14ac:dyDescent="0.3">
      <c r="A2271"/>
      <c r="B2271"/>
      <c r="C2271" s="6"/>
    </row>
    <row r="2272" spans="1:3" x14ac:dyDescent="0.3">
      <c r="A2272"/>
      <c r="B2272"/>
      <c r="C2272" s="6"/>
    </row>
    <row r="2273" spans="1:3" x14ac:dyDescent="0.3">
      <c r="A2273"/>
      <c r="B2273"/>
      <c r="C2273" s="6"/>
    </row>
    <row r="2274" spans="1:3" x14ac:dyDescent="0.3">
      <c r="A2274"/>
      <c r="B2274"/>
      <c r="C2274" s="6"/>
    </row>
    <row r="2275" spans="1:3" x14ac:dyDescent="0.3">
      <c r="A2275"/>
      <c r="B2275"/>
      <c r="C2275" s="6"/>
    </row>
    <row r="2276" spans="1:3" x14ac:dyDescent="0.3">
      <c r="A2276"/>
      <c r="B2276"/>
      <c r="C2276" s="6"/>
    </row>
    <row r="2277" spans="1:3" x14ac:dyDescent="0.3">
      <c r="A2277"/>
      <c r="B2277"/>
      <c r="C2277" s="6"/>
    </row>
    <row r="2278" spans="1:3" x14ac:dyDescent="0.3">
      <c r="A2278"/>
      <c r="B2278"/>
      <c r="C2278" s="6"/>
    </row>
    <row r="2279" spans="1:3" x14ac:dyDescent="0.3">
      <c r="A2279"/>
      <c r="B2279"/>
      <c r="C2279" s="6"/>
    </row>
    <row r="2280" spans="1:3" x14ac:dyDescent="0.3">
      <c r="A2280"/>
      <c r="B2280"/>
      <c r="C2280" s="6"/>
    </row>
    <row r="2281" spans="1:3" x14ac:dyDescent="0.3">
      <c r="A2281"/>
      <c r="B2281"/>
      <c r="C2281" s="6"/>
    </row>
    <row r="2282" spans="1:3" x14ac:dyDescent="0.3">
      <c r="A2282"/>
      <c r="B2282"/>
      <c r="C2282" s="6"/>
    </row>
    <row r="2283" spans="1:3" x14ac:dyDescent="0.3">
      <c r="A2283"/>
      <c r="B2283"/>
      <c r="C2283" s="6"/>
    </row>
    <row r="2284" spans="1:3" x14ac:dyDescent="0.3">
      <c r="A2284"/>
      <c r="B2284"/>
      <c r="C2284" s="6"/>
    </row>
    <row r="2285" spans="1:3" x14ac:dyDescent="0.3">
      <c r="A2285"/>
      <c r="B2285"/>
      <c r="C2285" s="6"/>
    </row>
    <row r="2286" spans="1:3" x14ac:dyDescent="0.3">
      <c r="A2286"/>
      <c r="B2286"/>
      <c r="C2286" s="6"/>
    </row>
    <row r="2287" spans="1:3" x14ac:dyDescent="0.3">
      <c r="A2287"/>
      <c r="B2287"/>
      <c r="C2287" s="6"/>
    </row>
    <row r="2288" spans="1:3" x14ac:dyDescent="0.3">
      <c r="A2288"/>
      <c r="B2288"/>
      <c r="C2288" s="6"/>
    </row>
    <row r="2289" spans="1:3" x14ac:dyDescent="0.3">
      <c r="A2289"/>
      <c r="B2289"/>
      <c r="C2289" s="6"/>
    </row>
    <row r="2290" spans="1:3" x14ac:dyDescent="0.3">
      <c r="A2290"/>
      <c r="B2290"/>
      <c r="C2290" s="6"/>
    </row>
    <row r="2291" spans="1:3" x14ac:dyDescent="0.3">
      <c r="A2291"/>
      <c r="B2291"/>
      <c r="C2291" s="6"/>
    </row>
    <row r="2292" spans="1:3" x14ac:dyDescent="0.3">
      <c r="A2292"/>
      <c r="B2292"/>
      <c r="C2292" s="6"/>
    </row>
    <row r="2293" spans="1:3" x14ac:dyDescent="0.3">
      <c r="A2293"/>
      <c r="B2293"/>
      <c r="C2293" s="6"/>
    </row>
    <row r="2294" spans="1:3" x14ac:dyDescent="0.3">
      <c r="A2294"/>
      <c r="B2294"/>
      <c r="C2294" s="6"/>
    </row>
    <row r="2295" spans="1:3" x14ac:dyDescent="0.3">
      <c r="A2295"/>
      <c r="B2295"/>
      <c r="C2295" s="6"/>
    </row>
    <row r="2296" spans="1:3" x14ac:dyDescent="0.3">
      <c r="A2296"/>
      <c r="B2296"/>
      <c r="C2296" s="6"/>
    </row>
    <row r="2297" spans="1:3" x14ac:dyDescent="0.3">
      <c r="A2297"/>
      <c r="B2297"/>
      <c r="C2297" s="6"/>
    </row>
    <row r="2298" spans="1:3" x14ac:dyDescent="0.3">
      <c r="A2298"/>
      <c r="B2298"/>
      <c r="C2298" s="6"/>
    </row>
    <row r="2299" spans="1:3" x14ac:dyDescent="0.3">
      <c r="A2299"/>
      <c r="B2299"/>
      <c r="C2299" s="6"/>
    </row>
    <row r="2300" spans="1:3" x14ac:dyDescent="0.3">
      <c r="A2300"/>
      <c r="B2300"/>
      <c r="C2300" s="6"/>
    </row>
    <row r="2301" spans="1:3" x14ac:dyDescent="0.3">
      <c r="A2301"/>
      <c r="B2301"/>
      <c r="C2301" s="6"/>
    </row>
    <row r="2302" spans="1:3" x14ac:dyDescent="0.3">
      <c r="A2302"/>
      <c r="B2302"/>
      <c r="C2302" s="6"/>
    </row>
    <row r="2303" spans="1:3" x14ac:dyDescent="0.3">
      <c r="A2303"/>
      <c r="B2303"/>
      <c r="C2303" s="6"/>
    </row>
    <row r="2304" spans="1:3" x14ac:dyDescent="0.3">
      <c r="A2304"/>
      <c r="B2304"/>
      <c r="C2304" s="6"/>
    </row>
    <row r="2305" spans="1:3" x14ac:dyDescent="0.3">
      <c r="A2305"/>
      <c r="B2305"/>
      <c r="C2305" s="6"/>
    </row>
    <row r="2306" spans="1:3" x14ac:dyDescent="0.3">
      <c r="A2306"/>
      <c r="B2306"/>
      <c r="C2306" s="6"/>
    </row>
    <row r="2307" spans="1:3" x14ac:dyDescent="0.3">
      <c r="A2307"/>
      <c r="B2307"/>
      <c r="C2307" s="6"/>
    </row>
    <row r="2308" spans="1:3" x14ac:dyDescent="0.3">
      <c r="A2308"/>
      <c r="B2308"/>
      <c r="C2308" s="6"/>
    </row>
    <row r="2309" spans="1:3" x14ac:dyDescent="0.3">
      <c r="A2309"/>
      <c r="B2309"/>
      <c r="C2309" s="6"/>
    </row>
    <row r="2310" spans="1:3" x14ac:dyDescent="0.3">
      <c r="A2310"/>
      <c r="B2310"/>
      <c r="C2310" s="6"/>
    </row>
    <row r="2311" spans="1:3" x14ac:dyDescent="0.3">
      <c r="A2311"/>
      <c r="B2311"/>
      <c r="C2311" s="6"/>
    </row>
    <row r="2312" spans="1:3" x14ac:dyDescent="0.3">
      <c r="A2312"/>
      <c r="B2312"/>
      <c r="C2312" s="6"/>
    </row>
    <row r="2313" spans="1:3" x14ac:dyDescent="0.3">
      <c r="A2313"/>
      <c r="B2313"/>
      <c r="C2313" s="6"/>
    </row>
    <row r="2314" spans="1:3" x14ac:dyDescent="0.3">
      <c r="A2314"/>
      <c r="B2314"/>
      <c r="C2314" s="6"/>
    </row>
    <row r="2315" spans="1:3" x14ac:dyDescent="0.3">
      <c r="A2315"/>
      <c r="B2315"/>
      <c r="C2315" s="6"/>
    </row>
    <row r="2316" spans="1:3" x14ac:dyDescent="0.3">
      <c r="A2316"/>
      <c r="B2316"/>
      <c r="C2316" s="6"/>
    </row>
    <row r="2317" spans="1:3" x14ac:dyDescent="0.3">
      <c r="A2317"/>
      <c r="B2317"/>
      <c r="C2317" s="6"/>
    </row>
    <row r="2318" spans="1:3" x14ac:dyDescent="0.3">
      <c r="A2318"/>
      <c r="B2318"/>
      <c r="C2318" s="6"/>
    </row>
    <row r="2319" spans="1:3" x14ac:dyDescent="0.3">
      <c r="A2319"/>
      <c r="B2319"/>
      <c r="C2319" s="6"/>
    </row>
    <row r="2320" spans="1:3" x14ac:dyDescent="0.3">
      <c r="A2320"/>
      <c r="B2320"/>
      <c r="C2320" s="6"/>
    </row>
    <row r="2321" spans="1:3" x14ac:dyDescent="0.3">
      <c r="A2321"/>
      <c r="B2321"/>
      <c r="C2321" s="6"/>
    </row>
    <row r="2322" spans="1:3" x14ac:dyDescent="0.3">
      <c r="A2322"/>
      <c r="B2322"/>
      <c r="C2322" s="6"/>
    </row>
    <row r="2323" spans="1:3" x14ac:dyDescent="0.3">
      <c r="A2323"/>
      <c r="B2323"/>
      <c r="C2323" s="6"/>
    </row>
    <row r="2324" spans="1:3" x14ac:dyDescent="0.3">
      <c r="A2324"/>
      <c r="B2324"/>
      <c r="C2324" s="6"/>
    </row>
    <row r="2325" spans="1:3" x14ac:dyDescent="0.3">
      <c r="A2325"/>
      <c r="B2325"/>
      <c r="C2325" s="6"/>
    </row>
    <row r="2326" spans="1:3" x14ac:dyDescent="0.3">
      <c r="A2326"/>
      <c r="B2326"/>
      <c r="C2326" s="6"/>
    </row>
    <row r="2327" spans="1:3" x14ac:dyDescent="0.3">
      <c r="A2327"/>
      <c r="B2327"/>
      <c r="C2327" s="6"/>
    </row>
    <row r="2328" spans="1:3" x14ac:dyDescent="0.3">
      <c r="A2328"/>
      <c r="B2328"/>
      <c r="C2328" s="6"/>
    </row>
    <row r="2329" spans="1:3" x14ac:dyDescent="0.3">
      <c r="A2329"/>
      <c r="B2329"/>
      <c r="C2329" s="6"/>
    </row>
    <row r="2330" spans="1:3" x14ac:dyDescent="0.3">
      <c r="A2330"/>
      <c r="B2330"/>
      <c r="C2330" s="6"/>
    </row>
    <row r="2331" spans="1:3" x14ac:dyDescent="0.3">
      <c r="A2331"/>
      <c r="B2331"/>
      <c r="C2331" s="6"/>
    </row>
    <row r="2332" spans="1:3" x14ac:dyDescent="0.3">
      <c r="A2332"/>
      <c r="B2332"/>
      <c r="C2332" s="6"/>
    </row>
    <row r="2333" spans="1:3" x14ac:dyDescent="0.3">
      <c r="A2333"/>
      <c r="B2333"/>
      <c r="C2333" s="6"/>
    </row>
    <row r="2334" spans="1:3" x14ac:dyDescent="0.3">
      <c r="A2334"/>
      <c r="B2334"/>
      <c r="C2334" s="6"/>
    </row>
    <row r="2335" spans="1:3" x14ac:dyDescent="0.3">
      <c r="A2335"/>
      <c r="B2335"/>
      <c r="C2335" s="6"/>
    </row>
    <row r="2336" spans="1:3" x14ac:dyDescent="0.3">
      <c r="A2336"/>
      <c r="B2336"/>
      <c r="C2336" s="6"/>
    </row>
    <row r="2337" spans="1:3" x14ac:dyDescent="0.3">
      <c r="A2337"/>
      <c r="B2337"/>
      <c r="C2337" s="6"/>
    </row>
    <row r="2338" spans="1:3" x14ac:dyDescent="0.3">
      <c r="A2338"/>
      <c r="B2338"/>
      <c r="C2338" s="6"/>
    </row>
    <row r="2339" spans="1:3" x14ac:dyDescent="0.3">
      <c r="A2339"/>
      <c r="B2339"/>
      <c r="C2339" s="6"/>
    </row>
    <row r="2340" spans="1:3" x14ac:dyDescent="0.3">
      <c r="A2340"/>
      <c r="B2340"/>
      <c r="C2340" s="6"/>
    </row>
    <row r="2341" spans="1:3" x14ac:dyDescent="0.3">
      <c r="A2341"/>
      <c r="B2341"/>
      <c r="C2341" s="6"/>
    </row>
    <row r="2342" spans="1:3" x14ac:dyDescent="0.3">
      <c r="A2342"/>
      <c r="B2342"/>
      <c r="C2342" s="6"/>
    </row>
    <row r="2343" spans="1:3" x14ac:dyDescent="0.3">
      <c r="A2343"/>
      <c r="B2343"/>
      <c r="C2343" s="6"/>
    </row>
    <row r="2344" spans="1:3" x14ac:dyDescent="0.3">
      <c r="A2344"/>
      <c r="B2344"/>
      <c r="C2344" s="6"/>
    </row>
    <row r="2345" spans="1:3" x14ac:dyDescent="0.3">
      <c r="A2345"/>
      <c r="B2345"/>
      <c r="C2345" s="6"/>
    </row>
    <row r="2346" spans="1:3" x14ac:dyDescent="0.3">
      <c r="A2346"/>
      <c r="B2346"/>
      <c r="C2346" s="6"/>
    </row>
    <row r="2347" spans="1:3" x14ac:dyDescent="0.3">
      <c r="A2347"/>
      <c r="B2347"/>
      <c r="C2347" s="6"/>
    </row>
    <row r="2348" spans="1:3" x14ac:dyDescent="0.3">
      <c r="A2348"/>
      <c r="B2348"/>
      <c r="C2348" s="6"/>
    </row>
    <row r="2349" spans="1:3" x14ac:dyDescent="0.3">
      <c r="A2349"/>
      <c r="B2349"/>
      <c r="C2349" s="6"/>
    </row>
    <row r="2350" spans="1:3" x14ac:dyDescent="0.3">
      <c r="A2350"/>
      <c r="B2350"/>
      <c r="C2350" s="6"/>
    </row>
    <row r="2351" spans="1:3" x14ac:dyDescent="0.3">
      <c r="A2351"/>
      <c r="B2351"/>
      <c r="C2351" s="6"/>
    </row>
    <row r="2352" spans="1:3" x14ac:dyDescent="0.3">
      <c r="A2352"/>
      <c r="B2352"/>
      <c r="C2352" s="6"/>
    </row>
    <row r="2353" spans="1:3" x14ac:dyDescent="0.3">
      <c r="A2353"/>
      <c r="B2353"/>
      <c r="C2353" s="6"/>
    </row>
    <row r="2354" spans="1:3" x14ac:dyDescent="0.3">
      <c r="A2354"/>
      <c r="B2354"/>
      <c r="C2354" s="6"/>
    </row>
    <row r="2355" spans="1:3" x14ac:dyDescent="0.3">
      <c r="A2355"/>
      <c r="B2355"/>
      <c r="C2355" s="6"/>
    </row>
    <row r="2356" spans="1:3" x14ac:dyDescent="0.3">
      <c r="A2356"/>
      <c r="B2356"/>
      <c r="C2356" s="6"/>
    </row>
    <row r="2357" spans="1:3" x14ac:dyDescent="0.3">
      <c r="A2357"/>
      <c r="B2357"/>
      <c r="C2357" s="6"/>
    </row>
    <row r="2358" spans="1:3" x14ac:dyDescent="0.3">
      <c r="A2358"/>
      <c r="B2358"/>
      <c r="C2358" s="6"/>
    </row>
    <row r="2359" spans="1:3" x14ac:dyDescent="0.3">
      <c r="A2359"/>
      <c r="B2359"/>
      <c r="C2359" s="6"/>
    </row>
    <row r="2360" spans="1:3" x14ac:dyDescent="0.3">
      <c r="A2360"/>
      <c r="B2360"/>
      <c r="C2360" s="6"/>
    </row>
    <row r="2361" spans="1:3" x14ac:dyDescent="0.3">
      <c r="A2361"/>
      <c r="B2361"/>
      <c r="C2361" s="6"/>
    </row>
    <row r="2362" spans="1:3" x14ac:dyDescent="0.3">
      <c r="A2362"/>
      <c r="B2362"/>
      <c r="C2362" s="6"/>
    </row>
    <row r="2363" spans="1:3" x14ac:dyDescent="0.3">
      <c r="A2363"/>
      <c r="B2363"/>
      <c r="C2363" s="6"/>
    </row>
    <row r="2364" spans="1:3" x14ac:dyDescent="0.3">
      <c r="A2364"/>
      <c r="B2364"/>
      <c r="C2364" s="6"/>
    </row>
    <row r="2365" spans="1:3" x14ac:dyDescent="0.3">
      <c r="A2365"/>
      <c r="B2365"/>
      <c r="C2365" s="6"/>
    </row>
    <row r="2366" spans="1:3" x14ac:dyDescent="0.3">
      <c r="A2366"/>
      <c r="B2366"/>
      <c r="C2366" s="6"/>
    </row>
    <row r="2367" spans="1:3" x14ac:dyDescent="0.3">
      <c r="A2367"/>
      <c r="B2367"/>
      <c r="C2367" s="6"/>
    </row>
    <row r="2368" spans="1:3" x14ac:dyDescent="0.3">
      <c r="A2368"/>
      <c r="B2368"/>
      <c r="C2368" s="6"/>
    </row>
    <row r="2369" spans="1:3" x14ac:dyDescent="0.3">
      <c r="A2369"/>
      <c r="B2369"/>
      <c r="C2369" s="6"/>
    </row>
    <row r="2370" spans="1:3" x14ac:dyDescent="0.3">
      <c r="A2370"/>
      <c r="B2370"/>
      <c r="C2370" s="6"/>
    </row>
    <row r="2371" spans="1:3" x14ac:dyDescent="0.3">
      <c r="A2371"/>
      <c r="B2371"/>
      <c r="C2371" s="6"/>
    </row>
    <row r="2372" spans="1:3" x14ac:dyDescent="0.3">
      <c r="A2372"/>
      <c r="B2372"/>
      <c r="C2372" s="6"/>
    </row>
    <row r="2373" spans="1:3" x14ac:dyDescent="0.3">
      <c r="A2373"/>
      <c r="B2373"/>
      <c r="C2373" s="6"/>
    </row>
    <row r="2374" spans="1:3" x14ac:dyDescent="0.3">
      <c r="A2374"/>
      <c r="B2374"/>
      <c r="C2374" s="6"/>
    </row>
    <row r="2375" spans="1:3" x14ac:dyDescent="0.3">
      <c r="A2375"/>
      <c r="B2375"/>
      <c r="C2375" s="6"/>
    </row>
    <row r="2376" spans="1:3" x14ac:dyDescent="0.3">
      <c r="A2376"/>
      <c r="B2376"/>
      <c r="C2376" s="6"/>
    </row>
    <row r="2377" spans="1:3" x14ac:dyDescent="0.3">
      <c r="A2377"/>
      <c r="B2377"/>
      <c r="C2377" s="6"/>
    </row>
    <row r="2378" spans="1:3" x14ac:dyDescent="0.3">
      <c r="A2378"/>
      <c r="B2378"/>
      <c r="C2378" s="6"/>
    </row>
    <row r="2379" spans="1:3" x14ac:dyDescent="0.3">
      <c r="A2379"/>
      <c r="B2379"/>
      <c r="C2379" s="6"/>
    </row>
    <row r="2380" spans="1:3" x14ac:dyDescent="0.3">
      <c r="A2380"/>
      <c r="B2380"/>
      <c r="C2380" s="6"/>
    </row>
    <row r="2381" spans="1:3" x14ac:dyDescent="0.3">
      <c r="A2381"/>
      <c r="B2381"/>
      <c r="C2381" s="6"/>
    </row>
    <row r="2382" spans="1:3" x14ac:dyDescent="0.3">
      <c r="A2382"/>
      <c r="B2382"/>
      <c r="C2382" s="6"/>
    </row>
    <row r="2383" spans="1:3" x14ac:dyDescent="0.3">
      <c r="A2383"/>
      <c r="B2383"/>
      <c r="C2383" s="6"/>
    </row>
    <row r="2384" spans="1:3" x14ac:dyDescent="0.3">
      <c r="A2384"/>
      <c r="B2384"/>
      <c r="C2384" s="6"/>
    </row>
    <row r="2385" spans="1:3" x14ac:dyDescent="0.3">
      <c r="A2385"/>
      <c r="B2385"/>
      <c r="C2385" s="6"/>
    </row>
    <row r="2386" spans="1:3" x14ac:dyDescent="0.3">
      <c r="A2386"/>
      <c r="B2386"/>
      <c r="C2386" s="6"/>
    </row>
    <row r="2387" spans="1:3" x14ac:dyDescent="0.3">
      <c r="A2387"/>
      <c r="B2387"/>
      <c r="C2387" s="6"/>
    </row>
    <row r="2388" spans="1:3" x14ac:dyDescent="0.3">
      <c r="A2388"/>
      <c r="B2388"/>
      <c r="C2388" s="6"/>
    </row>
    <row r="2389" spans="1:3" x14ac:dyDescent="0.3">
      <c r="A2389"/>
      <c r="B2389"/>
      <c r="C2389" s="6"/>
    </row>
    <row r="2390" spans="1:3" x14ac:dyDescent="0.3">
      <c r="A2390"/>
      <c r="B2390"/>
      <c r="C2390" s="6"/>
    </row>
    <row r="2391" spans="1:3" x14ac:dyDescent="0.3">
      <c r="A2391"/>
      <c r="B2391"/>
      <c r="C2391" s="6"/>
    </row>
    <row r="2392" spans="1:3" x14ac:dyDescent="0.3">
      <c r="A2392"/>
      <c r="B2392"/>
      <c r="C2392" s="6"/>
    </row>
    <row r="2393" spans="1:3" x14ac:dyDescent="0.3">
      <c r="A2393"/>
      <c r="B2393"/>
      <c r="C2393" s="6"/>
    </row>
    <row r="2394" spans="1:3" x14ac:dyDescent="0.3">
      <c r="A2394"/>
      <c r="B2394"/>
      <c r="C2394" s="6"/>
    </row>
    <row r="2395" spans="1:3" x14ac:dyDescent="0.3">
      <c r="A2395"/>
      <c r="B2395"/>
      <c r="C2395" s="6"/>
    </row>
    <row r="2396" spans="1:3" x14ac:dyDescent="0.3">
      <c r="A2396"/>
      <c r="B2396"/>
      <c r="C2396" s="6"/>
    </row>
    <row r="2397" spans="1:3" x14ac:dyDescent="0.3">
      <c r="A2397"/>
      <c r="B2397"/>
      <c r="C2397" s="6"/>
    </row>
    <row r="2398" spans="1:3" x14ac:dyDescent="0.3">
      <c r="A2398"/>
      <c r="B2398"/>
      <c r="C2398" s="6"/>
    </row>
    <row r="2399" spans="1:3" x14ac:dyDescent="0.3">
      <c r="A2399"/>
      <c r="B2399"/>
      <c r="C2399" s="6"/>
    </row>
    <row r="2400" spans="1:3" x14ac:dyDescent="0.3">
      <c r="A2400"/>
      <c r="B2400"/>
      <c r="C2400" s="6"/>
    </row>
    <row r="2401" spans="1:3" x14ac:dyDescent="0.3">
      <c r="A2401"/>
      <c r="B2401"/>
      <c r="C2401" s="6"/>
    </row>
    <row r="2402" spans="1:3" x14ac:dyDescent="0.3">
      <c r="A2402"/>
      <c r="B2402"/>
      <c r="C2402" s="6"/>
    </row>
    <row r="2403" spans="1:3" x14ac:dyDescent="0.3">
      <c r="A2403"/>
      <c r="B2403"/>
      <c r="C2403" s="6"/>
    </row>
    <row r="2404" spans="1:3" x14ac:dyDescent="0.3">
      <c r="A2404"/>
      <c r="B2404"/>
      <c r="C2404" s="6"/>
    </row>
    <row r="2405" spans="1:3" x14ac:dyDescent="0.3">
      <c r="A2405"/>
      <c r="B2405"/>
      <c r="C2405" s="6"/>
    </row>
    <row r="2406" spans="1:3" x14ac:dyDescent="0.3">
      <c r="A2406"/>
      <c r="B2406"/>
      <c r="C2406" s="6"/>
    </row>
    <row r="2407" spans="1:3" x14ac:dyDescent="0.3">
      <c r="A2407"/>
      <c r="B2407"/>
      <c r="C2407" s="6"/>
    </row>
    <row r="2408" spans="1:3" x14ac:dyDescent="0.3">
      <c r="A2408"/>
      <c r="B2408"/>
      <c r="C2408" s="6"/>
    </row>
    <row r="2409" spans="1:3" x14ac:dyDescent="0.3">
      <c r="A2409"/>
      <c r="B2409"/>
      <c r="C2409" s="6"/>
    </row>
    <row r="2410" spans="1:3" x14ac:dyDescent="0.3">
      <c r="A2410"/>
      <c r="B2410"/>
      <c r="C2410" s="6"/>
    </row>
    <row r="2411" spans="1:3" x14ac:dyDescent="0.3">
      <c r="A2411"/>
      <c r="B2411"/>
      <c r="C2411" s="6"/>
    </row>
    <row r="2412" spans="1:3" x14ac:dyDescent="0.3">
      <c r="A2412"/>
      <c r="B2412"/>
      <c r="C2412" s="6"/>
    </row>
    <row r="2413" spans="1:3" x14ac:dyDescent="0.3">
      <c r="A2413"/>
      <c r="B2413"/>
      <c r="C2413" s="6"/>
    </row>
    <row r="2414" spans="1:3" x14ac:dyDescent="0.3">
      <c r="A2414"/>
      <c r="B2414"/>
      <c r="C2414" s="6"/>
    </row>
    <row r="2415" spans="1:3" x14ac:dyDescent="0.3">
      <c r="A2415"/>
      <c r="B2415"/>
      <c r="C2415" s="6"/>
    </row>
    <row r="2416" spans="1:3" x14ac:dyDescent="0.3">
      <c r="A2416"/>
      <c r="B2416"/>
      <c r="C2416" s="6"/>
    </row>
    <row r="2417" spans="1:3" x14ac:dyDescent="0.3">
      <c r="A2417"/>
      <c r="B2417"/>
      <c r="C2417" s="6"/>
    </row>
    <row r="2418" spans="1:3" x14ac:dyDescent="0.3">
      <c r="A2418"/>
      <c r="B2418"/>
      <c r="C2418" s="6"/>
    </row>
    <row r="2419" spans="1:3" x14ac:dyDescent="0.3">
      <c r="A2419"/>
      <c r="B2419"/>
      <c r="C2419" s="6"/>
    </row>
    <row r="2420" spans="1:3" x14ac:dyDescent="0.3">
      <c r="A2420"/>
      <c r="B2420"/>
      <c r="C2420" s="6"/>
    </row>
    <row r="2421" spans="1:3" x14ac:dyDescent="0.3">
      <c r="A2421"/>
      <c r="B2421"/>
      <c r="C2421" s="6"/>
    </row>
    <row r="2422" spans="1:3" x14ac:dyDescent="0.3">
      <c r="A2422"/>
      <c r="B2422"/>
      <c r="C2422" s="6"/>
    </row>
    <row r="2423" spans="1:3" x14ac:dyDescent="0.3">
      <c r="A2423"/>
      <c r="B2423"/>
      <c r="C2423" s="6"/>
    </row>
    <row r="2424" spans="1:3" x14ac:dyDescent="0.3">
      <c r="A2424"/>
      <c r="B2424"/>
      <c r="C2424" s="6"/>
    </row>
    <row r="2425" spans="1:3" x14ac:dyDescent="0.3">
      <c r="A2425"/>
      <c r="B2425"/>
      <c r="C2425" s="6"/>
    </row>
    <row r="2426" spans="1:3" x14ac:dyDescent="0.3">
      <c r="A2426"/>
      <c r="B2426"/>
      <c r="C2426" s="6"/>
    </row>
    <row r="2427" spans="1:3" x14ac:dyDescent="0.3">
      <c r="A2427"/>
      <c r="B2427"/>
      <c r="C2427" s="6"/>
    </row>
    <row r="2428" spans="1:3" x14ac:dyDescent="0.3">
      <c r="A2428"/>
      <c r="B2428"/>
      <c r="C2428" s="6"/>
    </row>
    <row r="2429" spans="1:3" x14ac:dyDescent="0.3">
      <c r="A2429"/>
      <c r="B2429"/>
      <c r="C2429" s="6"/>
    </row>
    <row r="2430" spans="1:3" x14ac:dyDescent="0.3">
      <c r="A2430"/>
      <c r="B2430"/>
      <c r="C2430" s="6"/>
    </row>
    <row r="2431" spans="1:3" x14ac:dyDescent="0.3">
      <c r="A2431"/>
      <c r="B2431"/>
      <c r="C2431" s="6"/>
    </row>
    <row r="2432" spans="1:3" x14ac:dyDescent="0.3">
      <c r="A2432"/>
      <c r="B2432"/>
      <c r="C2432" s="6"/>
    </row>
    <row r="2433" spans="1:3" x14ac:dyDescent="0.3">
      <c r="A2433"/>
      <c r="B2433"/>
      <c r="C2433" s="6"/>
    </row>
    <row r="2434" spans="1:3" x14ac:dyDescent="0.3">
      <c r="A2434"/>
      <c r="B2434"/>
      <c r="C2434" s="6"/>
    </row>
    <row r="2435" spans="1:3" x14ac:dyDescent="0.3">
      <c r="A2435"/>
      <c r="B2435"/>
      <c r="C2435" s="6"/>
    </row>
    <row r="2436" spans="1:3" x14ac:dyDescent="0.3">
      <c r="A2436"/>
      <c r="B2436"/>
      <c r="C2436" s="6"/>
    </row>
    <row r="2437" spans="1:3" x14ac:dyDescent="0.3">
      <c r="A2437"/>
      <c r="B2437"/>
      <c r="C2437" s="6"/>
    </row>
    <row r="2438" spans="1:3" x14ac:dyDescent="0.3">
      <c r="A2438"/>
      <c r="B2438"/>
      <c r="C2438" s="6"/>
    </row>
    <row r="2439" spans="1:3" x14ac:dyDescent="0.3">
      <c r="A2439"/>
      <c r="B2439"/>
      <c r="C2439" s="6"/>
    </row>
    <row r="2440" spans="1:3" x14ac:dyDescent="0.3">
      <c r="A2440"/>
      <c r="B2440"/>
      <c r="C2440" s="6"/>
    </row>
    <row r="2441" spans="1:3" x14ac:dyDescent="0.3">
      <c r="A2441"/>
      <c r="B2441"/>
      <c r="C2441" s="6"/>
    </row>
    <row r="2442" spans="1:3" x14ac:dyDescent="0.3">
      <c r="A2442"/>
      <c r="B2442"/>
      <c r="C2442" s="6"/>
    </row>
    <row r="2443" spans="1:3" x14ac:dyDescent="0.3">
      <c r="A2443"/>
      <c r="B2443"/>
      <c r="C2443" s="6"/>
    </row>
    <row r="2444" spans="1:3" x14ac:dyDescent="0.3">
      <c r="A2444"/>
      <c r="B2444"/>
      <c r="C2444" s="6"/>
    </row>
    <row r="2445" spans="1:3" x14ac:dyDescent="0.3">
      <c r="A2445"/>
      <c r="B2445"/>
      <c r="C2445" s="6"/>
    </row>
    <row r="2446" spans="1:3" x14ac:dyDescent="0.3">
      <c r="A2446"/>
      <c r="B2446"/>
      <c r="C2446" s="6"/>
    </row>
    <row r="2447" spans="1:3" x14ac:dyDescent="0.3">
      <c r="A2447"/>
      <c r="B2447"/>
      <c r="C2447" s="6"/>
    </row>
    <row r="2448" spans="1:3" x14ac:dyDescent="0.3">
      <c r="A2448"/>
      <c r="B2448"/>
      <c r="C2448" s="6"/>
    </row>
    <row r="2449" spans="1:3" x14ac:dyDescent="0.3">
      <c r="A2449"/>
      <c r="B2449"/>
      <c r="C2449" s="6"/>
    </row>
    <row r="2450" spans="1:3" x14ac:dyDescent="0.3">
      <c r="A2450"/>
      <c r="B2450"/>
      <c r="C2450" s="6"/>
    </row>
    <row r="2451" spans="1:3" x14ac:dyDescent="0.3">
      <c r="A2451"/>
      <c r="B2451"/>
      <c r="C2451" s="6"/>
    </row>
    <row r="2452" spans="1:3" x14ac:dyDescent="0.3">
      <c r="A2452"/>
      <c r="B2452"/>
      <c r="C2452" s="6"/>
    </row>
    <row r="2453" spans="1:3" x14ac:dyDescent="0.3">
      <c r="A2453"/>
      <c r="B2453"/>
      <c r="C2453" s="6"/>
    </row>
    <row r="2454" spans="1:3" x14ac:dyDescent="0.3">
      <c r="A2454"/>
      <c r="B2454"/>
      <c r="C2454" s="6"/>
    </row>
    <row r="2455" spans="1:3" x14ac:dyDescent="0.3">
      <c r="A2455"/>
      <c r="B2455"/>
      <c r="C2455" s="6"/>
    </row>
    <row r="2456" spans="1:3" x14ac:dyDescent="0.3">
      <c r="A2456"/>
      <c r="B2456"/>
      <c r="C2456" s="6"/>
    </row>
    <row r="2457" spans="1:3" x14ac:dyDescent="0.3">
      <c r="A2457"/>
      <c r="B2457"/>
      <c r="C2457" s="6"/>
    </row>
    <row r="2458" spans="1:3" x14ac:dyDescent="0.3">
      <c r="A2458"/>
      <c r="B2458"/>
      <c r="C2458" s="6"/>
    </row>
    <row r="2459" spans="1:3" x14ac:dyDescent="0.3">
      <c r="A2459"/>
      <c r="B2459"/>
      <c r="C2459" s="6"/>
    </row>
    <row r="2460" spans="1:3" x14ac:dyDescent="0.3">
      <c r="A2460"/>
      <c r="B2460"/>
      <c r="C2460" s="6"/>
    </row>
    <row r="2461" spans="1:3" x14ac:dyDescent="0.3">
      <c r="A2461"/>
      <c r="B2461"/>
      <c r="C2461" s="6"/>
    </row>
    <row r="2462" spans="1:3" x14ac:dyDescent="0.3">
      <c r="A2462"/>
      <c r="B2462"/>
      <c r="C2462" s="6"/>
    </row>
    <row r="2463" spans="1:3" x14ac:dyDescent="0.3">
      <c r="A2463"/>
      <c r="B2463"/>
      <c r="C2463" s="6"/>
    </row>
    <row r="2464" spans="1:3" x14ac:dyDescent="0.3">
      <c r="A2464"/>
      <c r="B2464"/>
      <c r="C2464" s="6"/>
    </row>
    <row r="2465" spans="1:3" x14ac:dyDescent="0.3">
      <c r="A2465"/>
      <c r="B2465"/>
      <c r="C2465" s="6"/>
    </row>
    <row r="2466" spans="1:3" x14ac:dyDescent="0.3">
      <c r="A2466"/>
      <c r="B2466"/>
      <c r="C2466" s="6"/>
    </row>
    <row r="2467" spans="1:3" x14ac:dyDescent="0.3">
      <c r="A2467"/>
      <c r="B2467"/>
      <c r="C2467" s="6"/>
    </row>
    <row r="2468" spans="1:3" x14ac:dyDescent="0.3">
      <c r="A2468"/>
      <c r="B2468"/>
      <c r="C2468" s="6"/>
    </row>
    <row r="2469" spans="1:3" x14ac:dyDescent="0.3">
      <c r="A2469"/>
      <c r="B2469"/>
      <c r="C2469" s="6"/>
    </row>
    <row r="2470" spans="1:3" x14ac:dyDescent="0.3">
      <c r="A2470"/>
      <c r="B2470"/>
      <c r="C2470" s="6"/>
    </row>
    <row r="2471" spans="1:3" x14ac:dyDescent="0.3">
      <c r="A2471"/>
      <c r="B2471"/>
      <c r="C2471" s="6"/>
    </row>
    <row r="2472" spans="1:3" x14ac:dyDescent="0.3">
      <c r="A2472"/>
      <c r="B2472"/>
      <c r="C2472" s="6"/>
    </row>
    <row r="2473" spans="1:3" x14ac:dyDescent="0.3">
      <c r="A2473"/>
      <c r="B2473"/>
      <c r="C2473" s="6"/>
    </row>
    <row r="2474" spans="1:3" x14ac:dyDescent="0.3">
      <c r="A2474"/>
      <c r="B2474"/>
      <c r="C2474" s="6"/>
    </row>
    <row r="2475" spans="1:3" x14ac:dyDescent="0.3">
      <c r="A2475"/>
      <c r="B2475"/>
      <c r="C2475" s="6"/>
    </row>
    <row r="2476" spans="1:3" x14ac:dyDescent="0.3">
      <c r="A2476"/>
      <c r="B2476"/>
      <c r="C2476" s="6"/>
    </row>
    <row r="2477" spans="1:3" x14ac:dyDescent="0.3">
      <c r="A2477"/>
      <c r="B2477"/>
      <c r="C2477" s="6"/>
    </row>
    <row r="2478" spans="1:3" x14ac:dyDescent="0.3">
      <c r="A2478"/>
      <c r="B2478"/>
      <c r="C2478" s="6"/>
    </row>
    <row r="2479" spans="1:3" x14ac:dyDescent="0.3">
      <c r="A2479"/>
      <c r="B2479"/>
      <c r="C2479" s="6"/>
    </row>
    <row r="2480" spans="1:3" x14ac:dyDescent="0.3">
      <c r="A2480"/>
      <c r="B2480"/>
      <c r="C2480" s="6"/>
    </row>
    <row r="2481" spans="1:3" x14ac:dyDescent="0.3">
      <c r="A2481"/>
      <c r="B2481"/>
      <c r="C2481" s="6"/>
    </row>
    <row r="2482" spans="1:3" x14ac:dyDescent="0.3">
      <c r="A2482"/>
      <c r="B2482"/>
      <c r="C2482" s="6"/>
    </row>
    <row r="2483" spans="1:3" x14ac:dyDescent="0.3">
      <c r="A2483"/>
      <c r="B2483"/>
      <c r="C2483" s="6"/>
    </row>
    <row r="2484" spans="1:3" x14ac:dyDescent="0.3">
      <c r="A2484"/>
      <c r="B2484"/>
      <c r="C2484" s="6"/>
    </row>
    <row r="2485" spans="1:3" x14ac:dyDescent="0.3">
      <c r="A2485"/>
      <c r="B2485"/>
      <c r="C2485" s="6"/>
    </row>
    <row r="2486" spans="1:3" x14ac:dyDescent="0.3">
      <c r="A2486"/>
      <c r="B2486"/>
      <c r="C2486" s="6"/>
    </row>
    <row r="2487" spans="1:3" x14ac:dyDescent="0.3">
      <c r="A2487"/>
      <c r="B2487"/>
      <c r="C2487" s="6"/>
    </row>
    <row r="2488" spans="1:3" x14ac:dyDescent="0.3">
      <c r="A2488"/>
      <c r="B2488"/>
      <c r="C2488" s="6"/>
    </row>
    <row r="2489" spans="1:3" x14ac:dyDescent="0.3">
      <c r="A2489"/>
      <c r="B2489"/>
      <c r="C2489" s="6"/>
    </row>
    <row r="2490" spans="1:3" x14ac:dyDescent="0.3">
      <c r="A2490"/>
      <c r="B2490"/>
      <c r="C2490" s="6"/>
    </row>
    <row r="2491" spans="1:3" x14ac:dyDescent="0.3">
      <c r="A2491"/>
      <c r="B2491"/>
      <c r="C2491" s="6"/>
    </row>
    <row r="2492" spans="1:3" x14ac:dyDescent="0.3">
      <c r="A2492"/>
      <c r="B2492"/>
      <c r="C2492" s="6"/>
    </row>
    <row r="2493" spans="1:3" x14ac:dyDescent="0.3">
      <c r="A2493"/>
      <c r="B2493"/>
      <c r="C2493" s="6"/>
    </row>
    <row r="2494" spans="1:3" x14ac:dyDescent="0.3">
      <c r="A2494"/>
      <c r="B2494"/>
      <c r="C2494" s="6"/>
    </row>
    <row r="2495" spans="1:3" x14ac:dyDescent="0.3">
      <c r="A2495"/>
      <c r="B2495"/>
      <c r="C2495" s="6"/>
    </row>
    <row r="2496" spans="1:3" x14ac:dyDescent="0.3">
      <c r="A2496"/>
      <c r="B2496"/>
      <c r="C2496" s="6"/>
    </row>
    <row r="2497" spans="1:3" x14ac:dyDescent="0.3">
      <c r="A2497"/>
      <c r="B2497"/>
      <c r="C2497" s="6"/>
    </row>
    <row r="2498" spans="1:3" x14ac:dyDescent="0.3">
      <c r="A2498"/>
      <c r="B2498"/>
      <c r="C2498" s="6"/>
    </row>
    <row r="2499" spans="1:3" x14ac:dyDescent="0.3">
      <c r="A2499"/>
      <c r="B2499"/>
      <c r="C2499" s="6"/>
    </row>
    <row r="2500" spans="1:3" x14ac:dyDescent="0.3">
      <c r="A2500"/>
      <c r="B2500"/>
      <c r="C2500" s="6"/>
    </row>
    <row r="2501" spans="1:3" x14ac:dyDescent="0.3">
      <c r="A2501"/>
      <c r="B2501"/>
      <c r="C2501" s="6"/>
    </row>
    <row r="2502" spans="1:3" x14ac:dyDescent="0.3">
      <c r="A2502"/>
      <c r="B2502"/>
      <c r="C2502" s="6"/>
    </row>
    <row r="2503" spans="1:3" x14ac:dyDescent="0.3">
      <c r="A2503"/>
      <c r="B2503"/>
      <c r="C2503" s="6"/>
    </row>
    <row r="2504" spans="1:3" x14ac:dyDescent="0.3">
      <c r="A2504"/>
      <c r="B2504"/>
      <c r="C2504" s="6"/>
    </row>
    <row r="2505" spans="1:3" x14ac:dyDescent="0.3">
      <c r="A2505"/>
      <c r="B2505"/>
      <c r="C2505" s="6"/>
    </row>
    <row r="2506" spans="1:3" x14ac:dyDescent="0.3">
      <c r="A2506"/>
      <c r="B2506"/>
      <c r="C2506" s="6"/>
    </row>
    <row r="2507" spans="1:3" x14ac:dyDescent="0.3">
      <c r="A2507"/>
      <c r="B2507"/>
      <c r="C2507" s="6"/>
    </row>
    <row r="2508" spans="1:3" x14ac:dyDescent="0.3">
      <c r="A2508"/>
      <c r="B2508"/>
      <c r="C2508" s="6"/>
    </row>
    <row r="2509" spans="1:3" x14ac:dyDescent="0.3">
      <c r="A2509"/>
      <c r="B2509"/>
      <c r="C2509" s="6"/>
    </row>
    <row r="2510" spans="1:3" x14ac:dyDescent="0.3">
      <c r="A2510"/>
      <c r="B2510"/>
      <c r="C2510" s="6"/>
    </row>
    <row r="2511" spans="1:3" x14ac:dyDescent="0.3">
      <c r="A2511"/>
      <c r="B2511"/>
      <c r="C2511" s="6"/>
    </row>
    <row r="2512" spans="1:3" x14ac:dyDescent="0.3">
      <c r="A2512"/>
      <c r="B2512"/>
      <c r="C2512" s="6"/>
    </row>
    <row r="2513" spans="1:3" x14ac:dyDescent="0.3">
      <c r="A2513"/>
      <c r="B2513"/>
      <c r="C2513" s="6"/>
    </row>
    <row r="2514" spans="1:3" x14ac:dyDescent="0.3">
      <c r="A2514"/>
      <c r="B2514"/>
      <c r="C2514" s="6"/>
    </row>
    <row r="2515" spans="1:3" x14ac:dyDescent="0.3">
      <c r="A2515"/>
      <c r="B2515"/>
      <c r="C2515" s="6"/>
    </row>
    <row r="2516" spans="1:3" x14ac:dyDescent="0.3">
      <c r="A2516"/>
      <c r="B2516"/>
      <c r="C2516" s="6"/>
    </row>
    <row r="2517" spans="1:3" x14ac:dyDescent="0.3">
      <c r="A2517"/>
      <c r="B2517"/>
      <c r="C2517" s="6"/>
    </row>
    <row r="2518" spans="1:3" x14ac:dyDescent="0.3">
      <c r="A2518"/>
      <c r="B2518"/>
      <c r="C2518" s="6"/>
    </row>
    <row r="2519" spans="1:3" x14ac:dyDescent="0.3">
      <c r="A2519"/>
      <c r="B2519"/>
      <c r="C2519" s="6"/>
    </row>
    <row r="2520" spans="1:3" x14ac:dyDescent="0.3">
      <c r="A2520"/>
      <c r="B2520"/>
      <c r="C2520" s="6"/>
    </row>
    <row r="2521" spans="1:3" x14ac:dyDescent="0.3">
      <c r="A2521"/>
      <c r="B2521"/>
      <c r="C2521" s="6"/>
    </row>
    <row r="2522" spans="1:3" x14ac:dyDescent="0.3">
      <c r="A2522"/>
      <c r="B2522"/>
      <c r="C2522" s="6"/>
    </row>
    <row r="2523" spans="1:3" x14ac:dyDescent="0.3">
      <c r="A2523"/>
      <c r="B2523"/>
      <c r="C2523" s="6"/>
    </row>
    <row r="2524" spans="1:3" x14ac:dyDescent="0.3">
      <c r="A2524"/>
      <c r="B2524"/>
      <c r="C2524" s="6"/>
    </row>
    <row r="2525" spans="1:3" x14ac:dyDescent="0.3">
      <c r="A2525"/>
      <c r="B2525"/>
      <c r="C2525" s="6"/>
    </row>
    <row r="2526" spans="1:3" x14ac:dyDescent="0.3">
      <c r="A2526"/>
      <c r="B2526"/>
      <c r="C2526" s="6"/>
    </row>
    <row r="2527" spans="1:3" x14ac:dyDescent="0.3">
      <c r="A2527"/>
      <c r="B2527"/>
      <c r="C2527" s="6"/>
    </row>
    <row r="2528" spans="1:3" x14ac:dyDescent="0.3">
      <c r="A2528"/>
      <c r="B2528"/>
      <c r="C2528" s="6"/>
    </row>
    <row r="2529" spans="1:3" x14ac:dyDescent="0.3">
      <c r="A2529"/>
      <c r="B2529"/>
      <c r="C2529" s="6"/>
    </row>
    <row r="2530" spans="1:3" x14ac:dyDescent="0.3">
      <c r="A2530"/>
      <c r="B2530"/>
      <c r="C2530" s="6"/>
    </row>
    <row r="2531" spans="1:3" x14ac:dyDescent="0.3">
      <c r="A2531"/>
      <c r="B2531"/>
      <c r="C2531" s="6"/>
    </row>
    <row r="2532" spans="1:3" x14ac:dyDescent="0.3">
      <c r="A2532"/>
      <c r="B2532"/>
      <c r="C2532" s="6"/>
    </row>
    <row r="2533" spans="1:3" x14ac:dyDescent="0.3">
      <c r="A2533"/>
      <c r="B2533"/>
      <c r="C2533" s="6"/>
    </row>
    <row r="2534" spans="1:3" x14ac:dyDescent="0.3">
      <c r="A2534"/>
      <c r="B2534"/>
      <c r="C2534" s="6"/>
    </row>
    <row r="2535" spans="1:3" x14ac:dyDescent="0.3">
      <c r="A2535"/>
      <c r="B2535"/>
      <c r="C2535" s="6"/>
    </row>
    <row r="2536" spans="1:3" x14ac:dyDescent="0.3">
      <c r="A2536"/>
      <c r="B2536"/>
      <c r="C2536" s="6"/>
    </row>
    <row r="2537" spans="1:3" x14ac:dyDescent="0.3">
      <c r="A2537"/>
      <c r="B2537"/>
      <c r="C2537" s="6"/>
    </row>
    <row r="2538" spans="1:3" x14ac:dyDescent="0.3">
      <c r="A2538"/>
      <c r="B2538"/>
      <c r="C2538" s="6"/>
    </row>
    <row r="2539" spans="1:3" x14ac:dyDescent="0.3">
      <c r="A2539"/>
      <c r="B2539"/>
      <c r="C2539" s="6"/>
    </row>
    <row r="2540" spans="1:3" x14ac:dyDescent="0.3">
      <c r="A2540"/>
      <c r="B2540"/>
      <c r="C2540" s="6"/>
    </row>
    <row r="2541" spans="1:3" x14ac:dyDescent="0.3">
      <c r="A2541"/>
      <c r="B2541"/>
      <c r="C2541" s="6"/>
    </row>
    <row r="2542" spans="1:3" x14ac:dyDescent="0.3">
      <c r="A2542"/>
      <c r="B2542"/>
      <c r="C2542" s="6"/>
    </row>
    <row r="2543" spans="1:3" x14ac:dyDescent="0.3">
      <c r="A2543"/>
      <c r="B2543"/>
      <c r="C2543" s="6"/>
    </row>
    <row r="2544" spans="1:3" x14ac:dyDescent="0.3">
      <c r="A2544"/>
      <c r="B2544"/>
      <c r="C2544" s="6"/>
    </row>
    <row r="2545" spans="1:3" x14ac:dyDescent="0.3">
      <c r="A2545"/>
      <c r="B2545"/>
      <c r="C2545" s="6"/>
    </row>
    <row r="2546" spans="1:3" x14ac:dyDescent="0.3">
      <c r="A2546"/>
      <c r="B2546"/>
      <c r="C2546" s="6"/>
    </row>
    <row r="2547" spans="1:3" x14ac:dyDescent="0.3">
      <c r="A2547"/>
      <c r="B2547"/>
      <c r="C2547" s="6"/>
    </row>
    <row r="2548" spans="1:3" x14ac:dyDescent="0.3">
      <c r="A2548"/>
      <c r="B2548"/>
      <c r="C2548" s="6"/>
    </row>
    <row r="2549" spans="1:3" x14ac:dyDescent="0.3">
      <c r="A2549"/>
      <c r="B2549"/>
      <c r="C2549" s="6"/>
    </row>
    <row r="2550" spans="1:3" x14ac:dyDescent="0.3">
      <c r="A2550"/>
      <c r="B2550"/>
      <c r="C2550" s="6"/>
    </row>
    <row r="2551" spans="1:3" x14ac:dyDescent="0.3">
      <c r="A2551"/>
      <c r="B2551"/>
      <c r="C2551" s="6"/>
    </row>
    <row r="2552" spans="1:3" x14ac:dyDescent="0.3">
      <c r="A2552"/>
      <c r="B2552"/>
      <c r="C2552" s="6"/>
    </row>
    <row r="2553" spans="1:3" x14ac:dyDescent="0.3">
      <c r="A2553"/>
      <c r="B2553"/>
      <c r="C2553" s="6"/>
    </row>
    <row r="2554" spans="1:3" x14ac:dyDescent="0.3">
      <c r="A2554"/>
      <c r="B2554"/>
      <c r="C2554" s="6"/>
    </row>
    <row r="2555" spans="1:3" x14ac:dyDescent="0.3">
      <c r="A2555"/>
      <c r="B2555"/>
      <c r="C2555" s="6"/>
    </row>
    <row r="2556" spans="1:3" x14ac:dyDescent="0.3">
      <c r="A2556"/>
      <c r="B2556"/>
      <c r="C2556" s="6"/>
    </row>
    <row r="2557" spans="1:3" x14ac:dyDescent="0.3">
      <c r="A2557"/>
      <c r="B2557"/>
      <c r="C2557" s="6"/>
    </row>
    <row r="2558" spans="1:3" x14ac:dyDescent="0.3">
      <c r="A2558"/>
      <c r="B2558"/>
      <c r="C2558" s="6"/>
    </row>
    <row r="2559" spans="1:3" x14ac:dyDescent="0.3">
      <c r="A2559"/>
      <c r="B2559"/>
      <c r="C2559" s="6"/>
    </row>
    <row r="2560" spans="1:3" x14ac:dyDescent="0.3">
      <c r="A2560"/>
      <c r="B2560"/>
      <c r="C2560" s="6"/>
    </row>
    <row r="2561" spans="1:3" x14ac:dyDescent="0.3">
      <c r="A2561"/>
      <c r="B2561"/>
      <c r="C2561" s="6"/>
    </row>
    <row r="2562" spans="1:3" x14ac:dyDescent="0.3">
      <c r="A2562"/>
      <c r="B2562"/>
      <c r="C2562" s="6"/>
    </row>
    <row r="2563" spans="1:3" x14ac:dyDescent="0.3">
      <c r="A2563"/>
      <c r="B2563"/>
      <c r="C2563" s="6"/>
    </row>
    <row r="2564" spans="1:3" x14ac:dyDescent="0.3">
      <c r="A2564"/>
      <c r="B2564"/>
      <c r="C2564" s="6"/>
    </row>
    <row r="2565" spans="1:3" x14ac:dyDescent="0.3">
      <c r="A2565"/>
      <c r="B2565"/>
      <c r="C2565" s="6"/>
    </row>
    <row r="2566" spans="1:3" x14ac:dyDescent="0.3">
      <c r="A2566"/>
      <c r="B2566"/>
      <c r="C2566" s="6"/>
    </row>
    <row r="2567" spans="1:3" x14ac:dyDescent="0.3">
      <c r="A2567"/>
      <c r="B2567"/>
      <c r="C2567" s="6"/>
    </row>
    <row r="2568" spans="1:3" x14ac:dyDescent="0.3">
      <c r="A2568"/>
      <c r="B2568"/>
      <c r="C2568" s="6"/>
    </row>
    <row r="2569" spans="1:3" x14ac:dyDescent="0.3">
      <c r="A2569"/>
      <c r="B2569"/>
      <c r="C2569" s="6"/>
    </row>
    <row r="2570" spans="1:3" x14ac:dyDescent="0.3">
      <c r="A2570"/>
      <c r="B2570"/>
      <c r="C2570" s="6"/>
    </row>
    <row r="2571" spans="1:3" x14ac:dyDescent="0.3">
      <c r="A2571"/>
      <c r="B2571"/>
      <c r="C2571" s="6"/>
    </row>
    <row r="2572" spans="1:3" x14ac:dyDescent="0.3">
      <c r="A2572"/>
      <c r="B2572"/>
      <c r="C2572" s="6"/>
    </row>
    <row r="2573" spans="1:3" x14ac:dyDescent="0.3">
      <c r="A2573"/>
      <c r="B2573"/>
      <c r="C2573" s="6"/>
    </row>
    <row r="2574" spans="1:3" x14ac:dyDescent="0.3">
      <c r="A2574"/>
      <c r="B2574"/>
      <c r="C2574" s="6"/>
    </row>
    <row r="2575" spans="1:3" x14ac:dyDescent="0.3">
      <c r="A2575"/>
      <c r="B2575"/>
      <c r="C2575" s="6"/>
    </row>
    <row r="2576" spans="1:3" x14ac:dyDescent="0.3">
      <c r="A2576"/>
      <c r="B2576"/>
      <c r="C2576" s="6"/>
    </row>
    <row r="2577" spans="1:3" x14ac:dyDescent="0.3">
      <c r="A2577"/>
      <c r="B2577"/>
      <c r="C2577" s="6"/>
    </row>
    <row r="2578" spans="1:3" x14ac:dyDescent="0.3">
      <c r="A2578"/>
      <c r="B2578"/>
      <c r="C2578" s="6"/>
    </row>
    <row r="2579" spans="1:3" x14ac:dyDescent="0.3">
      <c r="A2579"/>
      <c r="B2579"/>
      <c r="C2579" s="6"/>
    </row>
    <row r="2580" spans="1:3" x14ac:dyDescent="0.3">
      <c r="A2580"/>
      <c r="B2580"/>
      <c r="C2580" s="6"/>
    </row>
    <row r="2581" spans="1:3" x14ac:dyDescent="0.3">
      <c r="A2581"/>
      <c r="B2581"/>
      <c r="C2581" s="6"/>
    </row>
    <row r="2582" spans="1:3" x14ac:dyDescent="0.3">
      <c r="A2582"/>
      <c r="B2582"/>
      <c r="C2582" s="6"/>
    </row>
    <row r="2583" spans="1:3" x14ac:dyDescent="0.3">
      <c r="A2583"/>
      <c r="B2583"/>
      <c r="C2583" s="6"/>
    </row>
    <row r="2584" spans="1:3" x14ac:dyDescent="0.3">
      <c r="A2584"/>
      <c r="B2584"/>
      <c r="C2584" s="6"/>
    </row>
    <row r="2585" spans="1:3" x14ac:dyDescent="0.3">
      <c r="A2585"/>
      <c r="B2585"/>
      <c r="C2585" s="6"/>
    </row>
    <row r="2586" spans="1:3" x14ac:dyDescent="0.3">
      <c r="A2586"/>
      <c r="B2586"/>
      <c r="C2586" s="6"/>
    </row>
    <row r="2587" spans="1:3" x14ac:dyDescent="0.3">
      <c r="A2587"/>
      <c r="B2587"/>
      <c r="C2587" s="6"/>
    </row>
    <row r="2588" spans="1:3" x14ac:dyDescent="0.3">
      <c r="A2588"/>
      <c r="B2588"/>
      <c r="C2588" s="6"/>
    </row>
    <row r="2589" spans="1:3" x14ac:dyDescent="0.3">
      <c r="A2589"/>
      <c r="B2589"/>
      <c r="C2589" s="6"/>
    </row>
    <row r="2590" spans="1:3" x14ac:dyDescent="0.3">
      <c r="A2590"/>
      <c r="B2590"/>
      <c r="C2590" s="6"/>
    </row>
    <row r="2591" spans="1:3" x14ac:dyDescent="0.3">
      <c r="A2591"/>
      <c r="B2591"/>
      <c r="C2591" s="6"/>
    </row>
    <row r="2592" spans="1:3" x14ac:dyDescent="0.3">
      <c r="A2592"/>
      <c r="B2592"/>
      <c r="C2592" s="6"/>
    </row>
    <row r="2593" spans="1:3" x14ac:dyDescent="0.3">
      <c r="A2593"/>
      <c r="B2593"/>
      <c r="C2593" s="6"/>
    </row>
    <row r="2594" spans="1:3" x14ac:dyDescent="0.3">
      <c r="A2594"/>
      <c r="B2594"/>
      <c r="C2594" s="6"/>
    </row>
    <row r="2595" spans="1:3" x14ac:dyDescent="0.3">
      <c r="A2595"/>
      <c r="B2595"/>
      <c r="C2595" s="6"/>
    </row>
    <row r="2596" spans="1:3" x14ac:dyDescent="0.3">
      <c r="A2596"/>
      <c r="B2596"/>
      <c r="C2596" s="6"/>
    </row>
    <row r="2597" spans="1:3" x14ac:dyDescent="0.3">
      <c r="A2597"/>
      <c r="B2597"/>
      <c r="C2597" s="6"/>
    </row>
    <row r="2598" spans="1:3" x14ac:dyDescent="0.3">
      <c r="A2598"/>
      <c r="B2598"/>
      <c r="C2598" s="6"/>
    </row>
    <row r="2599" spans="1:3" x14ac:dyDescent="0.3">
      <c r="A2599"/>
      <c r="B2599"/>
      <c r="C2599" s="6"/>
    </row>
    <row r="2600" spans="1:3" x14ac:dyDescent="0.3">
      <c r="A2600"/>
      <c r="B2600"/>
      <c r="C2600" s="6"/>
    </row>
    <row r="2601" spans="1:3" x14ac:dyDescent="0.3">
      <c r="A2601"/>
      <c r="B2601"/>
      <c r="C2601" s="6"/>
    </row>
    <row r="2602" spans="1:3" x14ac:dyDescent="0.3">
      <c r="A2602"/>
      <c r="B2602"/>
      <c r="C2602" s="6"/>
    </row>
    <row r="2603" spans="1:3" x14ac:dyDescent="0.3">
      <c r="A2603"/>
      <c r="B2603"/>
      <c r="C2603" s="6"/>
    </row>
    <row r="2604" spans="1:3" x14ac:dyDescent="0.3">
      <c r="A2604"/>
      <c r="B2604"/>
      <c r="C2604" s="6"/>
    </row>
    <row r="2605" spans="1:3" x14ac:dyDescent="0.3">
      <c r="A2605"/>
      <c r="B2605"/>
      <c r="C2605" s="6"/>
    </row>
    <row r="2606" spans="1:3" x14ac:dyDescent="0.3">
      <c r="A2606"/>
      <c r="B2606"/>
      <c r="C2606" s="6"/>
    </row>
    <row r="2607" spans="1:3" x14ac:dyDescent="0.3">
      <c r="A2607"/>
      <c r="B2607"/>
      <c r="C2607" s="6"/>
    </row>
    <row r="2608" spans="1:3" x14ac:dyDescent="0.3">
      <c r="A2608"/>
      <c r="B2608"/>
      <c r="C2608" s="6"/>
    </row>
    <row r="2609" spans="1:3" x14ac:dyDescent="0.3">
      <c r="A2609"/>
      <c r="B2609"/>
      <c r="C2609" s="6"/>
    </row>
    <row r="2610" spans="1:3" x14ac:dyDescent="0.3">
      <c r="A2610"/>
      <c r="B2610"/>
      <c r="C2610" s="6"/>
    </row>
    <row r="2611" spans="1:3" x14ac:dyDescent="0.3">
      <c r="A2611"/>
      <c r="B2611"/>
      <c r="C2611" s="6"/>
    </row>
    <row r="2612" spans="1:3" x14ac:dyDescent="0.3">
      <c r="A2612"/>
      <c r="B2612"/>
      <c r="C2612" s="6"/>
    </row>
    <row r="2613" spans="1:3" x14ac:dyDescent="0.3">
      <c r="A2613"/>
      <c r="B2613"/>
      <c r="C2613" s="6"/>
    </row>
    <row r="2614" spans="1:3" x14ac:dyDescent="0.3">
      <c r="A2614"/>
      <c r="B2614"/>
      <c r="C2614" s="6"/>
    </row>
    <row r="2615" spans="1:3" x14ac:dyDescent="0.3">
      <c r="A2615"/>
      <c r="B2615"/>
      <c r="C2615" s="6"/>
    </row>
    <row r="2616" spans="1:3" x14ac:dyDescent="0.3">
      <c r="A2616"/>
      <c r="B2616"/>
      <c r="C2616" s="6"/>
    </row>
    <row r="2617" spans="1:3" x14ac:dyDescent="0.3">
      <c r="A2617"/>
      <c r="B2617"/>
      <c r="C2617" s="6"/>
    </row>
    <row r="2618" spans="1:3" x14ac:dyDescent="0.3">
      <c r="A2618"/>
      <c r="B2618"/>
      <c r="C2618" s="6"/>
    </row>
    <row r="2619" spans="1:3" x14ac:dyDescent="0.3">
      <c r="A2619"/>
      <c r="B2619"/>
      <c r="C2619" s="6"/>
    </row>
    <row r="2620" spans="1:3" x14ac:dyDescent="0.3">
      <c r="A2620"/>
      <c r="B2620"/>
      <c r="C2620" s="6"/>
    </row>
    <row r="2621" spans="1:3" x14ac:dyDescent="0.3">
      <c r="A2621"/>
      <c r="B2621"/>
      <c r="C2621" s="6"/>
    </row>
    <row r="2622" spans="1:3" x14ac:dyDescent="0.3">
      <c r="A2622"/>
      <c r="B2622"/>
      <c r="C2622" s="6"/>
    </row>
    <row r="2623" spans="1:3" x14ac:dyDescent="0.3">
      <c r="A2623"/>
      <c r="B2623"/>
      <c r="C2623" s="6"/>
    </row>
    <row r="2624" spans="1:3" x14ac:dyDescent="0.3">
      <c r="A2624"/>
      <c r="B2624"/>
      <c r="C2624" s="6"/>
    </row>
    <row r="2625" spans="1:3" x14ac:dyDescent="0.3">
      <c r="A2625"/>
      <c r="B2625"/>
      <c r="C2625" s="6"/>
    </row>
    <row r="2626" spans="1:3" x14ac:dyDescent="0.3">
      <c r="A2626"/>
      <c r="B2626"/>
      <c r="C2626" s="6"/>
    </row>
    <row r="2627" spans="1:3" x14ac:dyDescent="0.3">
      <c r="A2627"/>
      <c r="B2627"/>
      <c r="C2627" s="6"/>
    </row>
    <row r="2628" spans="1:3" x14ac:dyDescent="0.3">
      <c r="A2628"/>
      <c r="B2628"/>
      <c r="C2628" s="6"/>
    </row>
    <row r="2629" spans="1:3" x14ac:dyDescent="0.3">
      <c r="A2629"/>
      <c r="B2629"/>
      <c r="C2629" s="6"/>
    </row>
    <row r="2630" spans="1:3" x14ac:dyDescent="0.3">
      <c r="A2630"/>
      <c r="B2630"/>
      <c r="C2630" s="6"/>
    </row>
    <row r="2631" spans="1:3" x14ac:dyDescent="0.3">
      <c r="A2631"/>
      <c r="B2631"/>
      <c r="C2631" s="6"/>
    </row>
    <row r="2632" spans="1:3" x14ac:dyDescent="0.3">
      <c r="A2632"/>
      <c r="B2632"/>
      <c r="C2632" s="6"/>
    </row>
    <row r="2633" spans="1:3" x14ac:dyDescent="0.3">
      <c r="A2633"/>
      <c r="B2633"/>
      <c r="C2633" s="6"/>
    </row>
    <row r="2634" spans="1:3" x14ac:dyDescent="0.3">
      <c r="A2634"/>
      <c r="B2634"/>
      <c r="C2634" s="6"/>
    </row>
    <row r="2635" spans="1:3" x14ac:dyDescent="0.3">
      <c r="A2635"/>
      <c r="B2635"/>
      <c r="C2635" s="6"/>
    </row>
    <row r="2636" spans="1:3" x14ac:dyDescent="0.3">
      <c r="A2636"/>
      <c r="B2636"/>
      <c r="C2636" s="6"/>
    </row>
    <row r="2637" spans="1:3" x14ac:dyDescent="0.3">
      <c r="A2637"/>
      <c r="B2637"/>
      <c r="C2637" s="6"/>
    </row>
    <row r="2638" spans="1:3" x14ac:dyDescent="0.3">
      <c r="A2638"/>
      <c r="B2638"/>
      <c r="C2638" s="6"/>
    </row>
    <row r="2639" spans="1:3" x14ac:dyDescent="0.3">
      <c r="A2639"/>
      <c r="B2639"/>
      <c r="C2639" s="6"/>
    </row>
    <row r="2640" spans="1:3" x14ac:dyDescent="0.3">
      <c r="A2640"/>
      <c r="B2640"/>
      <c r="C2640" s="6"/>
    </row>
    <row r="2641" spans="1:3" x14ac:dyDescent="0.3">
      <c r="A2641"/>
      <c r="B2641"/>
      <c r="C2641" s="6"/>
    </row>
    <row r="2642" spans="1:3" x14ac:dyDescent="0.3">
      <c r="A2642"/>
      <c r="B2642"/>
      <c r="C2642" s="6"/>
    </row>
    <row r="2643" spans="1:3" x14ac:dyDescent="0.3">
      <c r="A2643"/>
      <c r="B2643"/>
      <c r="C2643" s="6"/>
    </row>
    <row r="2644" spans="1:3" x14ac:dyDescent="0.3">
      <c r="A2644"/>
      <c r="B2644"/>
      <c r="C2644" s="6"/>
    </row>
    <row r="2645" spans="1:3" x14ac:dyDescent="0.3">
      <c r="A2645"/>
      <c r="B2645"/>
      <c r="C2645" s="6"/>
    </row>
    <row r="2646" spans="1:3" x14ac:dyDescent="0.3">
      <c r="A2646"/>
      <c r="B2646"/>
      <c r="C2646" s="6"/>
    </row>
    <row r="2647" spans="1:3" x14ac:dyDescent="0.3">
      <c r="A2647"/>
      <c r="B2647"/>
      <c r="C2647" s="6"/>
    </row>
    <row r="2648" spans="1:3" x14ac:dyDescent="0.3">
      <c r="A2648"/>
      <c r="B2648"/>
      <c r="C2648" s="6"/>
    </row>
    <row r="2649" spans="1:3" x14ac:dyDescent="0.3">
      <c r="A2649"/>
      <c r="B2649"/>
      <c r="C2649" s="6"/>
    </row>
    <row r="2650" spans="1:3" x14ac:dyDescent="0.3">
      <c r="A2650"/>
      <c r="B2650"/>
      <c r="C2650" s="6"/>
    </row>
    <row r="2651" spans="1:3" x14ac:dyDescent="0.3">
      <c r="A2651"/>
      <c r="B2651"/>
      <c r="C2651" s="6"/>
    </row>
    <row r="2652" spans="1:3" x14ac:dyDescent="0.3">
      <c r="A2652"/>
      <c r="B2652"/>
      <c r="C2652" s="6"/>
    </row>
    <row r="2653" spans="1:3" x14ac:dyDescent="0.3">
      <c r="A2653"/>
      <c r="B2653"/>
      <c r="C2653" s="6"/>
    </row>
    <row r="2654" spans="1:3" x14ac:dyDescent="0.3">
      <c r="A2654"/>
      <c r="B2654"/>
      <c r="C2654" s="6"/>
    </row>
    <row r="2655" spans="1:3" x14ac:dyDescent="0.3">
      <c r="A2655"/>
      <c r="B2655"/>
      <c r="C2655" s="6"/>
    </row>
    <row r="2656" spans="1:3" x14ac:dyDescent="0.3">
      <c r="A2656"/>
      <c r="B2656"/>
      <c r="C2656" s="6"/>
    </row>
    <row r="2657" spans="1:3" x14ac:dyDescent="0.3">
      <c r="A2657"/>
      <c r="B2657"/>
      <c r="C2657" s="6"/>
    </row>
    <row r="2658" spans="1:3" x14ac:dyDescent="0.3">
      <c r="A2658"/>
      <c r="B2658"/>
      <c r="C2658" s="6"/>
    </row>
    <row r="2659" spans="1:3" x14ac:dyDescent="0.3">
      <c r="A2659"/>
      <c r="B2659"/>
      <c r="C2659" s="6"/>
    </row>
    <row r="2660" spans="1:3" x14ac:dyDescent="0.3">
      <c r="A2660"/>
      <c r="B2660"/>
      <c r="C2660" s="6"/>
    </row>
    <row r="2661" spans="1:3" x14ac:dyDescent="0.3">
      <c r="A2661"/>
      <c r="B2661"/>
      <c r="C2661" s="6"/>
    </row>
    <row r="2662" spans="1:3" x14ac:dyDescent="0.3">
      <c r="A2662"/>
      <c r="B2662"/>
      <c r="C2662" s="6"/>
    </row>
    <row r="2663" spans="1:3" x14ac:dyDescent="0.3">
      <c r="A2663"/>
      <c r="B2663"/>
      <c r="C2663" s="6"/>
    </row>
    <row r="2664" spans="1:3" x14ac:dyDescent="0.3">
      <c r="A2664"/>
      <c r="B2664"/>
      <c r="C2664" s="6"/>
    </row>
    <row r="2665" spans="1:3" x14ac:dyDescent="0.3">
      <c r="A2665"/>
      <c r="B2665"/>
      <c r="C2665" s="6"/>
    </row>
    <row r="2666" spans="1:3" x14ac:dyDescent="0.3">
      <c r="A2666"/>
      <c r="B2666"/>
      <c r="C2666" s="6"/>
    </row>
    <row r="2667" spans="1:3" x14ac:dyDescent="0.3">
      <c r="A2667"/>
      <c r="B2667"/>
      <c r="C2667" s="6"/>
    </row>
    <row r="2668" spans="1:3" x14ac:dyDescent="0.3">
      <c r="A2668"/>
      <c r="B2668"/>
      <c r="C2668" s="6"/>
    </row>
    <row r="2669" spans="1:3" x14ac:dyDescent="0.3">
      <c r="A2669"/>
      <c r="B2669"/>
      <c r="C2669" s="6"/>
    </row>
    <row r="2670" spans="1:3" x14ac:dyDescent="0.3">
      <c r="A2670"/>
      <c r="B2670"/>
      <c r="C2670" s="6"/>
    </row>
    <row r="2671" spans="1:3" x14ac:dyDescent="0.3">
      <c r="A2671"/>
      <c r="B2671"/>
      <c r="C2671" s="6"/>
    </row>
    <row r="2672" spans="1:3" x14ac:dyDescent="0.3">
      <c r="A2672"/>
      <c r="B2672"/>
      <c r="C2672" s="6"/>
    </row>
    <row r="2673" spans="1:3" x14ac:dyDescent="0.3">
      <c r="A2673"/>
      <c r="B2673"/>
      <c r="C2673" s="6"/>
    </row>
    <row r="2674" spans="1:3" x14ac:dyDescent="0.3">
      <c r="A2674"/>
      <c r="B2674"/>
      <c r="C2674" s="6"/>
    </row>
    <row r="2675" spans="1:3" x14ac:dyDescent="0.3">
      <c r="A2675"/>
      <c r="B2675"/>
      <c r="C2675" s="6"/>
    </row>
    <row r="2676" spans="1:3" x14ac:dyDescent="0.3">
      <c r="A2676"/>
      <c r="B2676"/>
      <c r="C2676" s="6"/>
    </row>
    <row r="2677" spans="1:3" x14ac:dyDescent="0.3">
      <c r="A2677"/>
      <c r="B2677"/>
      <c r="C2677" s="6"/>
    </row>
    <row r="2678" spans="1:3" x14ac:dyDescent="0.3">
      <c r="A2678"/>
      <c r="B2678"/>
      <c r="C2678" s="6"/>
    </row>
    <row r="2679" spans="1:3" x14ac:dyDescent="0.3">
      <c r="A2679"/>
      <c r="B2679"/>
      <c r="C2679" s="6"/>
    </row>
    <row r="2680" spans="1:3" x14ac:dyDescent="0.3">
      <c r="A2680"/>
      <c r="B2680"/>
      <c r="C2680" s="6"/>
    </row>
    <row r="2681" spans="1:3" x14ac:dyDescent="0.3">
      <c r="A2681"/>
      <c r="B2681"/>
      <c r="C2681" s="6"/>
    </row>
    <row r="2682" spans="1:3" x14ac:dyDescent="0.3">
      <c r="A2682"/>
      <c r="B2682"/>
      <c r="C2682" s="6"/>
    </row>
    <row r="2683" spans="1:3" x14ac:dyDescent="0.3">
      <c r="A2683"/>
      <c r="B2683"/>
      <c r="C2683" s="6"/>
    </row>
    <row r="2684" spans="1:3" x14ac:dyDescent="0.3">
      <c r="A2684"/>
      <c r="B2684"/>
      <c r="C2684" s="6"/>
    </row>
    <row r="2685" spans="1:3" x14ac:dyDescent="0.3">
      <c r="A2685"/>
      <c r="B2685"/>
      <c r="C2685" s="6"/>
    </row>
    <row r="2686" spans="1:3" x14ac:dyDescent="0.3">
      <c r="A2686"/>
      <c r="B2686"/>
      <c r="C2686" s="6"/>
    </row>
    <row r="2687" spans="1:3" x14ac:dyDescent="0.3">
      <c r="A2687"/>
      <c r="B2687"/>
      <c r="C2687" s="6"/>
    </row>
    <row r="2688" spans="1:3" x14ac:dyDescent="0.3">
      <c r="A2688"/>
      <c r="B2688"/>
      <c r="C2688" s="6"/>
    </row>
    <row r="2689" spans="1:3" x14ac:dyDescent="0.3">
      <c r="A2689"/>
      <c r="B2689"/>
      <c r="C2689" s="6"/>
    </row>
    <row r="2690" spans="1:3" x14ac:dyDescent="0.3">
      <c r="A2690"/>
      <c r="B2690"/>
      <c r="C2690" s="6"/>
    </row>
    <row r="2691" spans="1:3" x14ac:dyDescent="0.3">
      <c r="A2691"/>
      <c r="B2691"/>
      <c r="C2691" s="6"/>
    </row>
    <row r="2692" spans="1:3" x14ac:dyDescent="0.3">
      <c r="A2692"/>
      <c r="B2692"/>
      <c r="C2692" s="6"/>
    </row>
    <row r="2693" spans="1:3" x14ac:dyDescent="0.3">
      <c r="A2693"/>
      <c r="B2693"/>
      <c r="C2693" s="6"/>
    </row>
    <row r="2694" spans="1:3" x14ac:dyDescent="0.3">
      <c r="A2694"/>
      <c r="B2694"/>
      <c r="C2694" s="6"/>
    </row>
    <row r="2695" spans="1:3" x14ac:dyDescent="0.3">
      <c r="A2695"/>
      <c r="B2695"/>
      <c r="C2695" s="6"/>
    </row>
    <row r="2696" spans="1:3" x14ac:dyDescent="0.3">
      <c r="A2696"/>
      <c r="B2696"/>
      <c r="C2696" s="6"/>
    </row>
    <row r="2697" spans="1:3" x14ac:dyDescent="0.3">
      <c r="A2697"/>
      <c r="B2697"/>
      <c r="C2697" s="6"/>
    </row>
    <row r="2698" spans="1:3" x14ac:dyDescent="0.3">
      <c r="A2698"/>
      <c r="B2698"/>
      <c r="C2698" s="6"/>
    </row>
    <row r="2699" spans="1:3" x14ac:dyDescent="0.3">
      <c r="A2699"/>
      <c r="B2699"/>
      <c r="C2699" s="6"/>
    </row>
    <row r="2700" spans="1:3" x14ac:dyDescent="0.3">
      <c r="A2700"/>
      <c r="B2700"/>
      <c r="C2700" s="6"/>
    </row>
    <row r="2701" spans="1:3" x14ac:dyDescent="0.3">
      <c r="A2701"/>
      <c r="B2701"/>
      <c r="C2701" s="6"/>
    </row>
    <row r="2702" spans="1:3" x14ac:dyDescent="0.3">
      <c r="A2702"/>
      <c r="B2702"/>
      <c r="C2702" s="6"/>
    </row>
    <row r="2703" spans="1:3" x14ac:dyDescent="0.3">
      <c r="A2703"/>
      <c r="B2703"/>
      <c r="C2703" s="6"/>
    </row>
    <row r="2704" spans="1:3" x14ac:dyDescent="0.3">
      <c r="A2704"/>
      <c r="B2704"/>
      <c r="C2704" s="6"/>
    </row>
    <row r="2705" spans="1:3" x14ac:dyDescent="0.3">
      <c r="A2705"/>
      <c r="B2705"/>
      <c r="C2705" s="6"/>
    </row>
    <row r="2706" spans="1:3" x14ac:dyDescent="0.3">
      <c r="A2706"/>
      <c r="B2706"/>
      <c r="C2706" s="6"/>
    </row>
    <row r="2707" spans="1:3" x14ac:dyDescent="0.3">
      <c r="A2707"/>
      <c r="B2707"/>
      <c r="C2707" s="6"/>
    </row>
    <row r="2708" spans="1:3" x14ac:dyDescent="0.3">
      <c r="A2708"/>
      <c r="B2708"/>
      <c r="C2708" s="6"/>
    </row>
    <row r="2709" spans="1:3" x14ac:dyDescent="0.3">
      <c r="A2709"/>
      <c r="B2709"/>
      <c r="C2709" s="6"/>
    </row>
    <row r="2710" spans="1:3" x14ac:dyDescent="0.3">
      <c r="A2710"/>
      <c r="B2710"/>
      <c r="C2710" s="6"/>
    </row>
    <row r="2711" spans="1:3" x14ac:dyDescent="0.3">
      <c r="A2711"/>
      <c r="B2711"/>
      <c r="C2711" s="6"/>
    </row>
    <row r="2712" spans="1:3" x14ac:dyDescent="0.3">
      <c r="A2712"/>
      <c r="B2712"/>
      <c r="C2712" s="6"/>
    </row>
    <row r="2713" spans="1:3" x14ac:dyDescent="0.3">
      <c r="A2713"/>
      <c r="B2713"/>
      <c r="C2713" s="6"/>
    </row>
    <row r="2714" spans="1:3" x14ac:dyDescent="0.3">
      <c r="A2714"/>
      <c r="B2714"/>
      <c r="C2714" s="6"/>
    </row>
    <row r="2715" spans="1:3" x14ac:dyDescent="0.3">
      <c r="A2715"/>
      <c r="B2715"/>
      <c r="C2715" s="6"/>
    </row>
    <row r="2716" spans="1:3" x14ac:dyDescent="0.3">
      <c r="A2716"/>
      <c r="B2716"/>
      <c r="C2716" s="6"/>
    </row>
    <row r="2717" spans="1:3" x14ac:dyDescent="0.3">
      <c r="A2717"/>
      <c r="B2717"/>
      <c r="C2717" s="6"/>
    </row>
    <row r="2718" spans="1:3" x14ac:dyDescent="0.3">
      <c r="A2718"/>
      <c r="B2718"/>
      <c r="C2718" s="6"/>
    </row>
    <row r="2719" spans="1:3" x14ac:dyDescent="0.3">
      <c r="A2719"/>
      <c r="B2719"/>
      <c r="C2719" s="6"/>
    </row>
    <row r="2720" spans="1:3" x14ac:dyDescent="0.3">
      <c r="A2720"/>
      <c r="B2720"/>
      <c r="C2720" s="6"/>
    </row>
    <row r="2721" spans="1:3" x14ac:dyDescent="0.3">
      <c r="A2721"/>
      <c r="B2721"/>
      <c r="C2721" s="6"/>
    </row>
    <row r="2722" spans="1:3" x14ac:dyDescent="0.3">
      <c r="A2722"/>
      <c r="B2722"/>
      <c r="C2722" s="6"/>
    </row>
    <row r="2723" spans="1:3" x14ac:dyDescent="0.3">
      <c r="A2723"/>
      <c r="B2723"/>
      <c r="C2723" s="6"/>
    </row>
    <row r="2724" spans="1:3" x14ac:dyDescent="0.3">
      <c r="A2724"/>
      <c r="B2724"/>
      <c r="C2724" s="6"/>
    </row>
    <row r="2725" spans="1:3" x14ac:dyDescent="0.3">
      <c r="A2725"/>
      <c r="B2725"/>
      <c r="C2725" s="6"/>
    </row>
    <row r="2726" spans="1:3" x14ac:dyDescent="0.3">
      <c r="A2726"/>
      <c r="B2726"/>
      <c r="C2726" s="6"/>
    </row>
    <row r="2727" spans="1:3" x14ac:dyDescent="0.3">
      <c r="A2727"/>
      <c r="B2727"/>
      <c r="C2727" s="6"/>
    </row>
    <row r="2728" spans="1:3" x14ac:dyDescent="0.3">
      <c r="A2728"/>
      <c r="B2728"/>
      <c r="C2728" s="6"/>
    </row>
    <row r="2729" spans="1:3" x14ac:dyDescent="0.3">
      <c r="A2729"/>
      <c r="B2729"/>
      <c r="C2729" s="6"/>
    </row>
    <row r="2730" spans="1:3" x14ac:dyDescent="0.3">
      <c r="A2730"/>
      <c r="B2730"/>
      <c r="C2730" s="6"/>
    </row>
    <row r="2731" spans="1:3" x14ac:dyDescent="0.3">
      <c r="A2731"/>
      <c r="B2731"/>
      <c r="C2731" s="6"/>
    </row>
    <row r="2732" spans="1:3" x14ac:dyDescent="0.3">
      <c r="A2732"/>
      <c r="B2732"/>
      <c r="C2732" s="6"/>
    </row>
    <row r="2733" spans="1:3" x14ac:dyDescent="0.3">
      <c r="A2733"/>
      <c r="B2733"/>
      <c r="C2733" s="6"/>
    </row>
    <row r="2734" spans="1:3" x14ac:dyDescent="0.3">
      <c r="A2734"/>
      <c r="B2734"/>
      <c r="C2734" s="6"/>
    </row>
    <row r="2735" spans="1:3" x14ac:dyDescent="0.3">
      <c r="A2735"/>
      <c r="B2735"/>
      <c r="C2735" s="6"/>
    </row>
    <row r="2736" spans="1:3" x14ac:dyDescent="0.3">
      <c r="A2736"/>
      <c r="B2736"/>
      <c r="C2736" s="6"/>
    </row>
    <row r="2737" spans="1:3" x14ac:dyDescent="0.3">
      <c r="A2737"/>
      <c r="B2737"/>
      <c r="C2737" s="6"/>
    </row>
    <row r="2738" spans="1:3" x14ac:dyDescent="0.3">
      <c r="A2738"/>
      <c r="B2738"/>
      <c r="C2738" s="6"/>
    </row>
    <row r="2739" spans="1:3" x14ac:dyDescent="0.3">
      <c r="A2739"/>
      <c r="B2739"/>
      <c r="C2739" s="6"/>
    </row>
    <row r="2740" spans="1:3" x14ac:dyDescent="0.3">
      <c r="A2740"/>
      <c r="B2740"/>
      <c r="C2740" s="6"/>
    </row>
    <row r="2741" spans="1:3" x14ac:dyDescent="0.3">
      <c r="A2741"/>
      <c r="B2741"/>
      <c r="C2741" s="6"/>
    </row>
    <row r="2742" spans="1:3" x14ac:dyDescent="0.3">
      <c r="A2742"/>
      <c r="B2742"/>
      <c r="C2742" s="6"/>
    </row>
    <row r="2743" spans="1:3" x14ac:dyDescent="0.3">
      <c r="A2743"/>
      <c r="B2743"/>
      <c r="C2743" s="6"/>
    </row>
    <row r="2744" spans="1:3" x14ac:dyDescent="0.3">
      <c r="A2744"/>
      <c r="B2744"/>
      <c r="C2744" s="6"/>
    </row>
    <row r="2745" spans="1:3" x14ac:dyDescent="0.3">
      <c r="A2745"/>
      <c r="B2745"/>
      <c r="C2745" s="6"/>
    </row>
    <row r="2746" spans="1:3" x14ac:dyDescent="0.3">
      <c r="A2746"/>
      <c r="B2746"/>
      <c r="C2746" s="6"/>
    </row>
    <row r="2747" spans="1:3" x14ac:dyDescent="0.3">
      <c r="A2747"/>
      <c r="B2747"/>
      <c r="C2747" s="6"/>
    </row>
    <row r="2748" spans="1:3" x14ac:dyDescent="0.3">
      <c r="A2748"/>
      <c r="B2748"/>
      <c r="C2748" s="6"/>
    </row>
    <row r="2749" spans="1:3" x14ac:dyDescent="0.3">
      <c r="A2749"/>
      <c r="B2749"/>
      <c r="C2749" s="6"/>
    </row>
    <row r="2750" spans="1:3" x14ac:dyDescent="0.3">
      <c r="A2750"/>
      <c r="B2750"/>
      <c r="C2750" s="6"/>
    </row>
    <row r="2751" spans="1:3" x14ac:dyDescent="0.3">
      <c r="A2751"/>
      <c r="B2751"/>
      <c r="C2751" s="6"/>
    </row>
    <row r="2752" spans="1:3" x14ac:dyDescent="0.3">
      <c r="A2752"/>
      <c r="B2752"/>
      <c r="C2752" s="6"/>
    </row>
    <row r="2753" spans="1:3" x14ac:dyDescent="0.3">
      <c r="A2753"/>
      <c r="B2753"/>
      <c r="C2753" s="6"/>
    </row>
    <row r="2754" spans="1:3" x14ac:dyDescent="0.3">
      <c r="A2754"/>
      <c r="B2754"/>
      <c r="C2754" s="6"/>
    </row>
    <row r="2755" spans="1:3" x14ac:dyDescent="0.3">
      <c r="A2755"/>
      <c r="B2755"/>
      <c r="C2755" s="6"/>
    </row>
    <row r="2756" spans="1:3" x14ac:dyDescent="0.3">
      <c r="A2756"/>
      <c r="B2756"/>
      <c r="C2756" s="6"/>
    </row>
    <row r="2757" spans="1:3" x14ac:dyDescent="0.3">
      <c r="A2757"/>
      <c r="B2757"/>
      <c r="C2757" s="6"/>
    </row>
    <row r="2758" spans="1:3" x14ac:dyDescent="0.3">
      <c r="A2758"/>
      <c r="B2758"/>
      <c r="C2758" s="6"/>
    </row>
    <row r="2759" spans="1:3" x14ac:dyDescent="0.3">
      <c r="A2759"/>
      <c r="B2759"/>
      <c r="C2759" s="6"/>
    </row>
    <row r="2760" spans="1:3" x14ac:dyDescent="0.3">
      <c r="A2760"/>
      <c r="B2760"/>
      <c r="C2760" s="6"/>
    </row>
    <row r="2761" spans="1:3" x14ac:dyDescent="0.3">
      <c r="A2761"/>
      <c r="B2761"/>
      <c r="C2761" s="6"/>
    </row>
    <row r="2762" spans="1:3" x14ac:dyDescent="0.3">
      <c r="A2762"/>
      <c r="B2762"/>
      <c r="C2762" s="6"/>
    </row>
    <row r="2763" spans="1:3" x14ac:dyDescent="0.3">
      <c r="A2763"/>
      <c r="B2763"/>
      <c r="C2763" s="6"/>
    </row>
    <row r="2764" spans="1:3" x14ac:dyDescent="0.3">
      <c r="A2764"/>
      <c r="B2764"/>
      <c r="C2764" s="6"/>
    </row>
    <row r="2765" spans="1:3" x14ac:dyDescent="0.3">
      <c r="A2765"/>
      <c r="B2765"/>
      <c r="C2765" s="6"/>
    </row>
    <row r="2766" spans="1:3" x14ac:dyDescent="0.3">
      <c r="A2766"/>
      <c r="B2766"/>
      <c r="C2766" s="6"/>
    </row>
    <row r="2767" spans="1:3" x14ac:dyDescent="0.3">
      <c r="A2767"/>
      <c r="B2767"/>
      <c r="C2767" s="6"/>
    </row>
    <row r="2768" spans="1:3" x14ac:dyDescent="0.3">
      <c r="A2768"/>
      <c r="B2768"/>
      <c r="C2768" s="6"/>
    </row>
    <row r="2769" spans="1:3" x14ac:dyDescent="0.3">
      <c r="A2769"/>
      <c r="B2769"/>
      <c r="C2769" s="6"/>
    </row>
    <row r="2770" spans="1:3" x14ac:dyDescent="0.3">
      <c r="A2770"/>
      <c r="B2770"/>
      <c r="C2770" s="6"/>
    </row>
    <row r="2771" spans="1:3" x14ac:dyDescent="0.3">
      <c r="A2771"/>
      <c r="B2771"/>
      <c r="C2771" s="6"/>
    </row>
    <row r="2772" spans="1:3" x14ac:dyDescent="0.3">
      <c r="A2772"/>
      <c r="B2772"/>
      <c r="C2772" s="6"/>
    </row>
    <row r="2773" spans="1:3" x14ac:dyDescent="0.3">
      <c r="A2773"/>
      <c r="B2773"/>
      <c r="C2773" s="6"/>
    </row>
    <row r="2774" spans="1:3" x14ac:dyDescent="0.3">
      <c r="A2774"/>
      <c r="B2774"/>
      <c r="C2774" s="6"/>
    </row>
    <row r="2775" spans="1:3" x14ac:dyDescent="0.3">
      <c r="A2775"/>
      <c r="B2775"/>
      <c r="C2775" s="6"/>
    </row>
    <row r="2776" spans="1:3" x14ac:dyDescent="0.3">
      <c r="A2776"/>
      <c r="B2776"/>
      <c r="C2776" s="6"/>
    </row>
    <row r="2777" spans="1:3" x14ac:dyDescent="0.3">
      <c r="A2777"/>
      <c r="B2777"/>
      <c r="C2777" s="6"/>
    </row>
    <row r="2778" spans="1:3" x14ac:dyDescent="0.3">
      <c r="A2778"/>
      <c r="B2778"/>
      <c r="C2778" s="6"/>
    </row>
    <row r="2779" spans="1:3" x14ac:dyDescent="0.3">
      <c r="A2779"/>
      <c r="B2779"/>
      <c r="C2779" s="6"/>
    </row>
    <row r="2780" spans="1:3" x14ac:dyDescent="0.3">
      <c r="A2780"/>
      <c r="B2780"/>
      <c r="C2780" s="6"/>
    </row>
    <row r="2781" spans="1:3" x14ac:dyDescent="0.3">
      <c r="A2781"/>
      <c r="B2781"/>
      <c r="C2781" s="6"/>
    </row>
    <row r="2782" spans="1:3" x14ac:dyDescent="0.3">
      <c r="A2782"/>
      <c r="B2782"/>
      <c r="C2782" s="6"/>
    </row>
    <row r="2783" spans="1:3" x14ac:dyDescent="0.3">
      <c r="A2783"/>
      <c r="B2783"/>
      <c r="C2783" s="6"/>
    </row>
    <row r="2784" spans="1:3" x14ac:dyDescent="0.3">
      <c r="A2784"/>
      <c r="B2784"/>
      <c r="C2784" s="6"/>
    </row>
    <row r="2785" spans="1:3" x14ac:dyDescent="0.3">
      <c r="A2785"/>
      <c r="B2785"/>
      <c r="C2785" s="6"/>
    </row>
    <row r="2786" spans="1:3" x14ac:dyDescent="0.3">
      <c r="A2786"/>
      <c r="B2786"/>
      <c r="C2786" s="6"/>
    </row>
    <row r="2787" spans="1:3" x14ac:dyDescent="0.3">
      <c r="A2787"/>
      <c r="B2787"/>
      <c r="C2787" s="6"/>
    </row>
    <row r="2788" spans="1:3" x14ac:dyDescent="0.3">
      <c r="A2788"/>
      <c r="B2788"/>
      <c r="C2788" s="6"/>
    </row>
    <row r="2789" spans="1:3" x14ac:dyDescent="0.3">
      <c r="A2789"/>
      <c r="B2789"/>
      <c r="C2789" s="6"/>
    </row>
    <row r="2790" spans="1:3" x14ac:dyDescent="0.3">
      <c r="A2790"/>
      <c r="B2790"/>
      <c r="C2790" s="6"/>
    </row>
    <row r="2791" spans="1:3" x14ac:dyDescent="0.3">
      <c r="A2791"/>
      <c r="B2791"/>
      <c r="C2791" s="6"/>
    </row>
    <row r="2792" spans="1:3" x14ac:dyDescent="0.3">
      <c r="A2792"/>
      <c r="B2792"/>
      <c r="C2792" s="6"/>
    </row>
    <row r="2793" spans="1:3" x14ac:dyDescent="0.3">
      <c r="A2793"/>
      <c r="B2793"/>
      <c r="C2793" s="6"/>
    </row>
    <row r="2794" spans="1:3" x14ac:dyDescent="0.3">
      <c r="A2794"/>
      <c r="B2794"/>
      <c r="C2794" s="6"/>
    </row>
    <row r="2795" spans="1:3" x14ac:dyDescent="0.3">
      <c r="A2795"/>
      <c r="B2795"/>
      <c r="C2795" s="6"/>
    </row>
    <row r="2796" spans="1:3" x14ac:dyDescent="0.3">
      <c r="A2796"/>
      <c r="B2796"/>
      <c r="C2796" s="6"/>
    </row>
    <row r="2797" spans="1:3" x14ac:dyDescent="0.3">
      <c r="A2797"/>
      <c r="B2797"/>
      <c r="C2797" s="6"/>
    </row>
    <row r="2798" spans="1:3" x14ac:dyDescent="0.3">
      <c r="A2798"/>
      <c r="B2798"/>
      <c r="C2798" s="6"/>
    </row>
    <row r="2799" spans="1:3" x14ac:dyDescent="0.3">
      <c r="A2799"/>
      <c r="B2799"/>
      <c r="C2799" s="6"/>
    </row>
    <row r="2800" spans="1:3" x14ac:dyDescent="0.3">
      <c r="A2800"/>
      <c r="B2800"/>
      <c r="C2800" s="6"/>
    </row>
    <row r="2801" spans="1:3" x14ac:dyDescent="0.3">
      <c r="A2801"/>
      <c r="B2801"/>
      <c r="C2801" s="6"/>
    </row>
    <row r="2802" spans="1:3" x14ac:dyDescent="0.3">
      <c r="A2802"/>
      <c r="B2802"/>
      <c r="C2802" s="6"/>
    </row>
    <row r="2803" spans="1:3" x14ac:dyDescent="0.3">
      <c r="A2803"/>
      <c r="B2803"/>
      <c r="C2803" s="6"/>
    </row>
    <row r="2804" spans="1:3" x14ac:dyDescent="0.3">
      <c r="A2804"/>
      <c r="B2804"/>
      <c r="C2804" s="6"/>
    </row>
    <row r="2805" spans="1:3" x14ac:dyDescent="0.3">
      <c r="A2805"/>
      <c r="B2805"/>
      <c r="C2805" s="6"/>
    </row>
    <row r="2806" spans="1:3" x14ac:dyDescent="0.3">
      <c r="A2806"/>
      <c r="B2806"/>
      <c r="C2806" s="6"/>
    </row>
    <row r="2807" spans="1:3" x14ac:dyDescent="0.3">
      <c r="A2807"/>
      <c r="B2807"/>
      <c r="C2807" s="6"/>
    </row>
    <row r="2808" spans="1:3" x14ac:dyDescent="0.3">
      <c r="A2808"/>
      <c r="B2808"/>
      <c r="C2808" s="6"/>
    </row>
    <row r="2809" spans="1:3" x14ac:dyDescent="0.3">
      <c r="A2809"/>
      <c r="B2809"/>
      <c r="C2809" s="6"/>
    </row>
    <row r="2810" spans="1:3" x14ac:dyDescent="0.3">
      <c r="A2810"/>
      <c r="B2810"/>
      <c r="C2810" s="6"/>
    </row>
    <row r="2811" spans="1:3" x14ac:dyDescent="0.3">
      <c r="A2811"/>
      <c r="B2811"/>
      <c r="C2811" s="6"/>
    </row>
    <row r="2812" spans="1:3" x14ac:dyDescent="0.3">
      <c r="A2812"/>
      <c r="B2812"/>
      <c r="C2812" s="6"/>
    </row>
    <row r="2813" spans="1:3" x14ac:dyDescent="0.3">
      <c r="A2813"/>
      <c r="B2813"/>
      <c r="C2813" s="6"/>
    </row>
    <row r="2814" spans="1:3" x14ac:dyDescent="0.3">
      <c r="A2814"/>
      <c r="B2814"/>
      <c r="C2814" s="6"/>
    </row>
    <row r="2815" spans="1:3" x14ac:dyDescent="0.3">
      <c r="A2815"/>
      <c r="B2815"/>
      <c r="C2815" s="6"/>
    </row>
    <row r="2816" spans="1:3" x14ac:dyDescent="0.3">
      <c r="A2816"/>
      <c r="B2816"/>
      <c r="C2816" s="6"/>
    </row>
    <row r="2817" spans="1:3" x14ac:dyDescent="0.3">
      <c r="A2817"/>
      <c r="B2817"/>
      <c r="C2817" s="6"/>
    </row>
    <row r="2818" spans="1:3" x14ac:dyDescent="0.3">
      <c r="A2818"/>
      <c r="B2818"/>
      <c r="C2818" s="6"/>
    </row>
    <row r="2819" spans="1:3" x14ac:dyDescent="0.3">
      <c r="A2819"/>
      <c r="B2819"/>
      <c r="C2819" s="6"/>
    </row>
    <row r="2820" spans="1:3" x14ac:dyDescent="0.3">
      <c r="A2820"/>
      <c r="B2820"/>
      <c r="C2820" s="6"/>
    </row>
    <row r="2821" spans="1:3" x14ac:dyDescent="0.3">
      <c r="A2821"/>
      <c r="B2821"/>
      <c r="C2821" s="6"/>
    </row>
    <row r="2822" spans="1:3" x14ac:dyDescent="0.3">
      <c r="A2822"/>
      <c r="B2822"/>
      <c r="C2822" s="6"/>
    </row>
    <row r="2823" spans="1:3" x14ac:dyDescent="0.3">
      <c r="A2823"/>
      <c r="B2823"/>
      <c r="C2823" s="6"/>
    </row>
    <row r="2824" spans="1:3" x14ac:dyDescent="0.3">
      <c r="A2824"/>
      <c r="B2824"/>
      <c r="C2824" s="6"/>
    </row>
  </sheetData>
  <mergeCells count="2">
    <mergeCell ref="G1:I1"/>
    <mergeCell ref="K1:M1"/>
  </mergeCells>
  <pageMargins left="0.7" right="0.7" top="0.75" bottom="0.75" header="0.3" footer="0.3"/>
  <ignoredErrors>
    <ignoredError sqref="L9" formula="1"/>
  </ignoredErrors>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7493F-6FA0-4382-A144-0B27DEF64B75}">
  <sheetPr>
    <tabColor rgb="FF00B0F0"/>
  </sheetPr>
  <dimension ref="A1:L93"/>
  <sheetViews>
    <sheetView workbookViewId="0">
      <selection activeCell="L54" sqref="L54"/>
    </sheetView>
  </sheetViews>
  <sheetFormatPr defaultRowHeight="15.6" x14ac:dyDescent="0.3"/>
  <cols>
    <col min="1" max="1" width="18.21875" style="5" bestFit="1" customWidth="1"/>
    <col min="2" max="2" width="24.109375" style="5" bestFit="1" customWidth="1"/>
    <col min="3" max="3" width="14.6640625" style="5" bestFit="1" customWidth="1"/>
    <col min="4" max="4" width="13.21875" style="3" bestFit="1" customWidth="1"/>
    <col min="5" max="5" width="13.6640625" style="3" bestFit="1" customWidth="1"/>
    <col min="6" max="7" width="8.88671875" style="5"/>
    <col min="8" max="12" width="20.5546875" style="5" customWidth="1"/>
    <col min="13" max="16384" width="8.88671875" style="5"/>
  </cols>
  <sheetData>
    <row r="1" spans="1:12" x14ac:dyDescent="0.3">
      <c r="A1" s="1" t="s">
        <v>274</v>
      </c>
      <c r="B1" s="1" t="s">
        <v>2</v>
      </c>
      <c r="C1" s="1" t="s">
        <v>3</v>
      </c>
      <c r="D1" s="1" t="s">
        <v>4</v>
      </c>
      <c r="E1" s="1" t="s">
        <v>5</v>
      </c>
      <c r="H1" s="270" t="s">
        <v>373</v>
      </c>
      <c r="I1" s="271"/>
      <c r="J1" s="271"/>
      <c r="K1" s="271"/>
      <c r="L1" s="271"/>
    </row>
    <row r="2" spans="1:12" ht="16.2" thickBot="1" x14ac:dyDescent="0.35">
      <c r="A2" s="3" t="s">
        <v>275</v>
      </c>
      <c r="B2" s="3" t="s">
        <v>13</v>
      </c>
      <c r="C2" s="3" t="s">
        <v>14</v>
      </c>
      <c r="D2" s="3" t="s">
        <v>15</v>
      </c>
      <c r="E2" s="3" t="s">
        <v>16</v>
      </c>
      <c r="H2" s="22" t="s">
        <v>374</v>
      </c>
      <c r="I2" s="22" t="s">
        <v>2</v>
      </c>
      <c r="J2" s="22" t="s">
        <v>3</v>
      </c>
      <c r="K2" s="22" t="s">
        <v>4</v>
      </c>
      <c r="L2" s="22" t="s">
        <v>5</v>
      </c>
    </row>
    <row r="3" spans="1:12" x14ac:dyDescent="0.3">
      <c r="A3" s="3" t="s">
        <v>276</v>
      </c>
      <c r="B3" s="3" t="s">
        <v>22</v>
      </c>
      <c r="C3" s="3" t="s">
        <v>23</v>
      </c>
      <c r="D3" s="3" t="s">
        <v>24</v>
      </c>
      <c r="E3" s="3" t="s">
        <v>25</v>
      </c>
      <c r="H3" s="32" t="s">
        <v>375</v>
      </c>
      <c r="I3" s="33">
        <f>COUNTA(Customers_Table[Customer_Name])</f>
        <v>92</v>
      </c>
      <c r="J3" s="33">
        <f>COUNTA(Customers_Table[City])</f>
        <v>92</v>
      </c>
      <c r="K3" s="33">
        <f>COUNTA(Customers_Table[Country])</f>
        <v>92</v>
      </c>
      <c r="L3" s="33">
        <f>COUNTA(Customers_Table[Territory])</f>
        <v>92</v>
      </c>
    </row>
    <row r="4" spans="1:12" ht="16.2" thickBot="1" x14ac:dyDescent="0.35">
      <c r="A4" s="3" t="s">
        <v>277</v>
      </c>
      <c r="B4" s="3" t="s">
        <v>27</v>
      </c>
      <c r="C4" s="3" t="s">
        <v>28</v>
      </c>
      <c r="D4" s="3" t="s">
        <v>15</v>
      </c>
      <c r="E4" s="3" t="s">
        <v>16</v>
      </c>
      <c r="H4" s="34" t="s">
        <v>391</v>
      </c>
      <c r="I4" s="35">
        <f>COUNTA(_xlfn.UNIQUE(Customers_Table[Customer_Name]))</f>
        <v>92</v>
      </c>
      <c r="J4" s="35">
        <f>COUNTA(_xlfn.UNIQUE(Customers_Table[City]))</f>
        <v>73</v>
      </c>
      <c r="K4" s="35">
        <f>COUNTA(_xlfn.UNIQUE(Customers_Table[Country]))</f>
        <v>19</v>
      </c>
      <c r="L4" s="35">
        <f>COUNTA(_xlfn.UNIQUE(Customers_Table[Territory]))</f>
        <v>4</v>
      </c>
    </row>
    <row r="5" spans="1:12" x14ac:dyDescent="0.3">
      <c r="A5" s="3" t="s">
        <v>278</v>
      </c>
      <c r="B5" s="3" t="s">
        <v>29</v>
      </c>
      <c r="C5" s="3" t="s">
        <v>30</v>
      </c>
      <c r="D5" s="3" t="s">
        <v>31</v>
      </c>
      <c r="E5" s="3" t="s">
        <v>25</v>
      </c>
      <c r="H5" s="23" t="s">
        <v>393</v>
      </c>
      <c r="I5" s="25" t="s">
        <v>386</v>
      </c>
      <c r="J5" s="25" t="str" cm="1">
        <f t="array" ref="J5">INDEX(Customers_Table[City],_xlfn.MODE.MULT(MATCH(Customers_Table[City],Customers_Table[City],0)))</f>
        <v>NYC</v>
      </c>
      <c r="K5" s="25" t="str" cm="1">
        <f t="array" ref="K5">INDEX(Customers_Table[Country],_xlfn.MODE.MULT(MATCH(Customers_Table[Country],Customers_Table[Country],0)))</f>
        <v>USA</v>
      </c>
      <c r="L5" s="25" t="str" cm="1">
        <f t="array" ref="L5">INDEX(Customers_Table[Territory],_xlfn.MODE.MULT(MATCH(Customers_Table[Territory],Customers_Table[Territory],0)))</f>
        <v>EMEA</v>
      </c>
    </row>
    <row r="6" spans="1:12" ht="16.2" thickBot="1" x14ac:dyDescent="0.35">
      <c r="A6" s="3" t="s">
        <v>279</v>
      </c>
      <c r="B6" s="3" t="s">
        <v>41</v>
      </c>
      <c r="C6" s="3" t="s">
        <v>42</v>
      </c>
      <c r="D6" s="3" t="s">
        <v>43</v>
      </c>
      <c r="E6" s="3" t="s">
        <v>25</v>
      </c>
      <c r="H6" s="24" t="s">
        <v>392</v>
      </c>
      <c r="I6" s="31" t="s">
        <v>386</v>
      </c>
      <c r="J6" s="31">
        <f>COUNTIF(Customers_Table[City],J5)/$J$3</f>
        <v>5.434782608695652E-2</v>
      </c>
      <c r="K6" s="31">
        <f>COUNTIF(Customers_Table[Country],K5)/K3</f>
        <v>0.38043478260869568</v>
      </c>
      <c r="L6" s="31">
        <f>COUNTIF(Customers_Table[Territory],L5)/L3</f>
        <v>0.47826086956521741</v>
      </c>
    </row>
    <row r="7" spans="1:12" x14ac:dyDescent="0.3">
      <c r="A7" s="3" t="s">
        <v>280</v>
      </c>
      <c r="B7" s="3" t="s">
        <v>49</v>
      </c>
      <c r="C7" s="3" t="s">
        <v>50</v>
      </c>
      <c r="D7" s="3" t="s">
        <v>51</v>
      </c>
      <c r="E7" s="3" t="s">
        <v>25</v>
      </c>
      <c r="H7" s="23" t="s">
        <v>394</v>
      </c>
      <c r="I7" s="26" t="s">
        <v>386</v>
      </c>
      <c r="J7" s="26" t="str" cm="1">
        <f t="array" ref="J7">_xlfn.LET(_xlpm.names,Customers_Table[City],_xlpm.u,_xlfn.UNIQUE(_xlpm.names),_xlpm.freq,COUNTIF(_xlpm.names,_xlpm.u),_xlpm.sorted,_xlfn.SORTBY(_xlpm.u,_xlpm.freq,-1),INDEX(_xlpm.sorted,2))</f>
        <v>Madrid</v>
      </c>
      <c r="K7" s="26" t="str" cm="1">
        <f t="array" ref="K7">_xlfn.LET(_xlpm.names,Customers_Table[Country],_xlpm.u,_xlfn.UNIQUE(_xlpm.names),_xlpm.freq,COUNTIF(_xlpm.names,_xlpm.u),_xlpm.sorted,_xlfn.SORTBY(_xlpm.u,_xlpm.freq,-1),INDEX(_xlpm.sorted,2))</f>
        <v>France</v>
      </c>
      <c r="L7" s="26" t="str" cm="1">
        <f t="array" ref="L7">_xlfn.LET(_xlpm.names,Customers_Table[Territory],_xlpm.u,_xlfn.UNIQUE(_xlpm.names),_xlpm.freq,COUNTIF(_xlpm.names,_xlpm.u),_xlpm.sorted,_xlfn.SORTBY(_xlpm.u,_xlpm.freq,-1),INDEX(_xlpm.sorted,2))</f>
        <v>NA</v>
      </c>
    </row>
    <row r="8" spans="1:12" ht="16.2" thickBot="1" x14ac:dyDescent="0.35">
      <c r="A8" s="3" t="s">
        <v>281</v>
      </c>
      <c r="B8" s="3" t="s">
        <v>58</v>
      </c>
      <c r="C8" s="3" t="s">
        <v>59</v>
      </c>
      <c r="D8" s="3" t="s">
        <v>60</v>
      </c>
      <c r="E8" s="3" t="s">
        <v>25</v>
      </c>
      <c r="H8" s="24" t="s">
        <v>392</v>
      </c>
      <c r="I8" s="31" t="s">
        <v>386</v>
      </c>
      <c r="J8" s="31">
        <f>COUNTIF(Customers_Table[City],J7)/J$3</f>
        <v>3.2608695652173912E-2</v>
      </c>
      <c r="K8" s="31">
        <f>COUNTIF(Customers_Table[Country],K7)/K$3</f>
        <v>0.13043478260869565</v>
      </c>
      <c r="L8" s="31">
        <f>COUNTIF(Customers_Table[Territory],L7)/L$3</f>
        <v>0.41304347826086957</v>
      </c>
    </row>
    <row r="9" spans="1:12" x14ac:dyDescent="0.3">
      <c r="A9" s="3" t="s">
        <v>282</v>
      </c>
      <c r="B9" s="3" t="s">
        <v>67</v>
      </c>
      <c r="C9" s="3" t="s">
        <v>28</v>
      </c>
      <c r="D9" s="3" t="s">
        <v>15</v>
      </c>
      <c r="E9" s="3" t="s">
        <v>16</v>
      </c>
      <c r="H9" s="23" t="s">
        <v>395</v>
      </c>
      <c r="I9" s="26" t="s">
        <v>386</v>
      </c>
      <c r="J9" s="26" t="str" cm="1">
        <f t="array" ref="J9">_xlfn.LET(_xlpm.names,Customers_Table[City],_xlpm.u,_xlfn.UNIQUE(_xlpm.names),_xlpm.freq,COUNTIF(_xlpm.names,_xlpm.u),_xlpm.sorted,_xlfn.SORTBY(_xlpm.u,_xlpm.freq,-1),INDEX(_xlpm.sorted,3))</f>
        <v>Paris</v>
      </c>
      <c r="K9" s="26" t="str" cm="1">
        <f t="array" ref="K9">_xlfn.LET(_xlpm.names,Customers_Table[Country],_xlpm.u,_xlfn.UNIQUE(_xlpm.names),_xlpm.freq,COUNTIF(_xlpm.names,_xlpm.u),_xlpm.sorted,_xlfn.SORTBY(_xlpm.u,_xlpm.freq,-1),INDEX(_xlpm.sorted,3))</f>
        <v>Spain</v>
      </c>
      <c r="L9" s="26" t="str" cm="1">
        <f t="array" ref="L9">_xlfn.LET(_xlpm.names,Customers_Table[Territory],_xlpm.u,_xlfn.UNIQUE(_xlpm.names),_xlpm.freq,COUNTIF(_xlpm.names,_xlpm.u),_xlpm.sorted,_xlfn.SORTBY(_xlpm.u,_xlpm.freq,-1),INDEX(_xlpm.sorted,3))</f>
        <v>APAC</v>
      </c>
    </row>
    <row r="10" spans="1:12" ht="16.2" thickBot="1" x14ac:dyDescent="0.35">
      <c r="A10" s="3" t="s">
        <v>283</v>
      </c>
      <c r="B10" s="3" t="s">
        <v>71</v>
      </c>
      <c r="C10" s="3" t="s">
        <v>72</v>
      </c>
      <c r="D10" s="3" t="s">
        <v>73</v>
      </c>
      <c r="E10" s="3" t="s">
        <v>74</v>
      </c>
      <c r="H10" s="24" t="s">
        <v>392</v>
      </c>
      <c r="I10" s="31" t="s">
        <v>386</v>
      </c>
      <c r="J10" s="31">
        <f>COUNTIF(Customers_Table[City],J9)/J$3</f>
        <v>3.2608695652173912E-2</v>
      </c>
      <c r="K10" s="31">
        <f>COUNTIF(Customers_Table[Country],K9)/K$3</f>
        <v>5.434782608695652E-2</v>
      </c>
      <c r="L10" s="31">
        <f>COUNTIF(Customers_Table[Territory],L9)/L$3</f>
        <v>6.5217391304347824E-2</v>
      </c>
    </row>
    <row r="11" spans="1:12" x14ac:dyDescent="0.3">
      <c r="A11" s="3" t="s">
        <v>284</v>
      </c>
      <c r="B11" s="3" t="s">
        <v>77</v>
      </c>
      <c r="C11" s="3" t="s">
        <v>78</v>
      </c>
      <c r="D11" s="3" t="s">
        <v>15</v>
      </c>
      <c r="E11" s="3" t="s">
        <v>16</v>
      </c>
    </row>
    <row r="12" spans="1:12" x14ac:dyDescent="0.3">
      <c r="A12" s="3" t="s">
        <v>285</v>
      </c>
      <c r="B12" s="3" t="s">
        <v>79</v>
      </c>
      <c r="C12" s="3" t="s">
        <v>80</v>
      </c>
      <c r="D12" s="3" t="s">
        <v>81</v>
      </c>
      <c r="E12" s="3" t="s">
        <v>25</v>
      </c>
    </row>
    <row r="13" spans="1:12" x14ac:dyDescent="0.3">
      <c r="A13" s="3" t="s">
        <v>286</v>
      </c>
      <c r="B13" s="3" t="s">
        <v>83</v>
      </c>
      <c r="C13" s="3" t="s">
        <v>84</v>
      </c>
      <c r="D13" s="3" t="s">
        <v>85</v>
      </c>
      <c r="E13" s="3" t="s">
        <v>25</v>
      </c>
    </row>
    <row r="14" spans="1:12" x14ac:dyDescent="0.3">
      <c r="A14" s="3" t="s">
        <v>287</v>
      </c>
      <c r="B14" s="3" t="s">
        <v>86</v>
      </c>
      <c r="C14" s="3" t="s">
        <v>87</v>
      </c>
      <c r="D14" s="3" t="s">
        <v>15</v>
      </c>
      <c r="E14" s="3" t="s">
        <v>16</v>
      </c>
    </row>
    <row r="15" spans="1:12" x14ac:dyDescent="0.3">
      <c r="A15" s="3" t="s">
        <v>288</v>
      </c>
      <c r="B15" s="3" t="s">
        <v>88</v>
      </c>
      <c r="C15" s="3" t="s">
        <v>89</v>
      </c>
      <c r="D15" s="3" t="s">
        <v>15</v>
      </c>
      <c r="E15" s="3" t="s">
        <v>16</v>
      </c>
    </row>
    <row r="16" spans="1:12" x14ac:dyDescent="0.3">
      <c r="A16" s="3" t="s">
        <v>289</v>
      </c>
      <c r="B16" s="3" t="s">
        <v>90</v>
      </c>
      <c r="C16" s="3" t="s">
        <v>91</v>
      </c>
      <c r="D16" s="3" t="s">
        <v>92</v>
      </c>
      <c r="E16" s="3" t="s">
        <v>25</v>
      </c>
    </row>
    <row r="17" spans="1:5" x14ac:dyDescent="0.3">
      <c r="A17" s="3" t="s">
        <v>290</v>
      </c>
      <c r="B17" s="3" t="s">
        <v>93</v>
      </c>
      <c r="C17" s="3" t="s">
        <v>28</v>
      </c>
      <c r="D17" s="3" t="s">
        <v>15</v>
      </c>
      <c r="E17" s="3" t="s">
        <v>16</v>
      </c>
    </row>
    <row r="18" spans="1:5" x14ac:dyDescent="0.3">
      <c r="A18" s="3" t="s">
        <v>291</v>
      </c>
      <c r="B18" s="3" t="s">
        <v>94</v>
      </c>
      <c r="C18" s="3" t="s">
        <v>95</v>
      </c>
      <c r="D18" s="3" t="s">
        <v>96</v>
      </c>
      <c r="E18" s="3" t="s">
        <v>25</v>
      </c>
    </row>
    <row r="19" spans="1:5" x14ac:dyDescent="0.3">
      <c r="A19" s="3" t="s">
        <v>292</v>
      </c>
      <c r="B19" s="3" t="s">
        <v>97</v>
      </c>
      <c r="C19" s="3" t="s">
        <v>98</v>
      </c>
      <c r="D19" s="3" t="s">
        <v>98</v>
      </c>
      <c r="E19" s="3" t="s">
        <v>74</v>
      </c>
    </row>
    <row r="20" spans="1:5" x14ac:dyDescent="0.3">
      <c r="A20" s="3" t="s">
        <v>293</v>
      </c>
      <c r="B20" s="3" t="s">
        <v>99</v>
      </c>
      <c r="C20" s="3" t="s">
        <v>100</v>
      </c>
      <c r="D20" s="3" t="s">
        <v>43</v>
      </c>
      <c r="E20" s="3" t="s">
        <v>25</v>
      </c>
    </row>
    <row r="21" spans="1:5" x14ac:dyDescent="0.3">
      <c r="A21" s="3" t="s">
        <v>294</v>
      </c>
      <c r="B21" s="3" t="s">
        <v>101</v>
      </c>
      <c r="C21" s="3" t="s">
        <v>102</v>
      </c>
      <c r="D21" s="3" t="s">
        <v>103</v>
      </c>
      <c r="E21" s="3" t="s">
        <v>25</v>
      </c>
    </row>
    <row r="22" spans="1:5" x14ac:dyDescent="0.3">
      <c r="A22" s="3" t="s">
        <v>295</v>
      </c>
      <c r="B22" s="3" t="s">
        <v>104</v>
      </c>
      <c r="C22" s="3" t="s">
        <v>105</v>
      </c>
      <c r="D22" s="3" t="s">
        <v>106</v>
      </c>
      <c r="E22" s="3" t="s">
        <v>107</v>
      </c>
    </row>
    <row r="23" spans="1:5" x14ac:dyDescent="0.3">
      <c r="A23" s="3" t="s">
        <v>296</v>
      </c>
      <c r="B23" s="3" t="s">
        <v>109</v>
      </c>
      <c r="C23" s="3" t="s">
        <v>110</v>
      </c>
      <c r="D23" s="3" t="s">
        <v>92</v>
      </c>
      <c r="E23" s="3" t="s">
        <v>25</v>
      </c>
    </row>
    <row r="24" spans="1:5" x14ac:dyDescent="0.3">
      <c r="A24" s="3" t="s">
        <v>297</v>
      </c>
      <c r="B24" s="3" t="s">
        <v>111</v>
      </c>
      <c r="C24" s="3" t="s">
        <v>112</v>
      </c>
      <c r="D24" s="3" t="s">
        <v>92</v>
      </c>
      <c r="E24" s="3" t="s">
        <v>25</v>
      </c>
    </row>
    <row r="25" spans="1:5" x14ac:dyDescent="0.3">
      <c r="A25" s="3" t="s">
        <v>298</v>
      </c>
      <c r="B25" s="3" t="s">
        <v>113</v>
      </c>
      <c r="C25" s="3" t="s">
        <v>114</v>
      </c>
      <c r="D25" s="3" t="s">
        <v>92</v>
      </c>
      <c r="E25" s="3" t="s">
        <v>25</v>
      </c>
    </row>
    <row r="26" spans="1:5" x14ac:dyDescent="0.3">
      <c r="A26" s="3" t="s">
        <v>299</v>
      </c>
      <c r="B26" s="3" t="s">
        <v>115</v>
      </c>
      <c r="C26" s="3" t="s">
        <v>116</v>
      </c>
      <c r="D26" s="3" t="s">
        <v>15</v>
      </c>
      <c r="E26" s="3" t="s">
        <v>16</v>
      </c>
    </row>
    <row r="27" spans="1:5" x14ac:dyDescent="0.3">
      <c r="A27" s="3" t="s">
        <v>300</v>
      </c>
      <c r="B27" s="3" t="s">
        <v>117</v>
      </c>
      <c r="C27" s="3" t="s">
        <v>42</v>
      </c>
      <c r="D27" s="3" t="s">
        <v>43</v>
      </c>
      <c r="E27" s="3" t="s">
        <v>25</v>
      </c>
    </row>
    <row r="28" spans="1:5" x14ac:dyDescent="0.3">
      <c r="A28" s="3" t="s">
        <v>301</v>
      </c>
      <c r="B28" s="3" t="s">
        <v>118</v>
      </c>
      <c r="C28" s="3" t="s">
        <v>28</v>
      </c>
      <c r="D28" s="3" t="s">
        <v>15</v>
      </c>
      <c r="E28" s="3" t="s">
        <v>16</v>
      </c>
    </row>
    <row r="29" spans="1:5" x14ac:dyDescent="0.3">
      <c r="A29" s="3" t="s">
        <v>302</v>
      </c>
      <c r="B29" s="3" t="s">
        <v>120</v>
      </c>
      <c r="C29" s="3" t="s">
        <v>121</v>
      </c>
      <c r="D29" s="3" t="s">
        <v>81</v>
      </c>
      <c r="E29" s="3" t="s">
        <v>25</v>
      </c>
    </row>
    <row r="30" spans="1:5" x14ac:dyDescent="0.3">
      <c r="A30" s="3" t="s">
        <v>303</v>
      </c>
      <c r="B30" s="3" t="s">
        <v>122</v>
      </c>
      <c r="C30" s="3" t="s">
        <v>123</v>
      </c>
      <c r="D30" s="3" t="s">
        <v>15</v>
      </c>
      <c r="E30" s="3" t="s">
        <v>16</v>
      </c>
    </row>
    <row r="31" spans="1:5" x14ac:dyDescent="0.3">
      <c r="A31" s="3" t="s">
        <v>304</v>
      </c>
      <c r="B31" s="3" t="s">
        <v>124</v>
      </c>
      <c r="C31" s="3" t="s">
        <v>125</v>
      </c>
      <c r="D31" s="3" t="s">
        <v>15</v>
      </c>
      <c r="E31" s="3" t="s">
        <v>16</v>
      </c>
    </row>
    <row r="32" spans="1:5" x14ac:dyDescent="0.3">
      <c r="A32" s="3" t="s">
        <v>305</v>
      </c>
      <c r="B32" s="3" t="s">
        <v>126</v>
      </c>
      <c r="C32" s="3" t="s">
        <v>91</v>
      </c>
      <c r="D32" s="3" t="s">
        <v>92</v>
      </c>
      <c r="E32" s="3" t="s">
        <v>25</v>
      </c>
    </row>
    <row r="33" spans="1:5" x14ac:dyDescent="0.3">
      <c r="A33" s="3" t="s">
        <v>306</v>
      </c>
      <c r="B33" s="3" t="s">
        <v>127</v>
      </c>
      <c r="C33" s="3" t="s">
        <v>128</v>
      </c>
      <c r="D33" s="3" t="s">
        <v>92</v>
      </c>
      <c r="E33" s="3" t="s">
        <v>25</v>
      </c>
    </row>
    <row r="34" spans="1:5" x14ac:dyDescent="0.3">
      <c r="A34" s="3" t="s">
        <v>307</v>
      </c>
      <c r="B34" s="3" t="s">
        <v>129</v>
      </c>
      <c r="C34" s="3" t="s">
        <v>130</v>
      </c>
      <c r="D34" s="3" t="s">
        <v>106</v>
      </c>
      <c r="E34" s="3" t="s">
        <v>107</v>
      </c>
    </row>
    <row r="35" spans="1:5" x14ac:dyDescent="0.3">
      <c r="A35" s="3" t="s">
        <v>308</v>
      </c>
      <c r="B35" s="3" t="s">
        <v>131</v>
      </c>
      <c r="C35" s="3" t="s">
        <v>132</v>
      </c>
      <c r="D35" s="3" t="s">
        <v>15</v>
      </c>
      <c r="E35" s="3" t="s">
        <v>16</v>
      </c>
    </row>
    <row r="36" spans="1:5" x14ac:dyDescent="0.3">
      <c r="A36" s="3" t="s">
        <v>309</v>
      </c>
      <c r="B36" s="3" t="s">
        <v>133</v>
      </c>
      <c r="C36" s="3" t="s">
        <v>134</v>
      </c>
      <c r="D36" s="3" t="s">
        <v>135</v>
      </c>
      <c r="E36" s="3" t="s">
        <v>25</v>
      </c>
    </row>
    <row r="37" spans="1:5" x14ac:dyDescent="0.3">
      <c r="A37" s="3" t="s">
        <v>310</v>
      </c>
      <c r="B37" s="3" t="s">
        <v>136</v>
      </c>
      <c r="C37" s="3" t="s">
        <v>137</v>
      </c>
      <c r="D37" s="3" t="s">
        <v>15</v>
      </c>
      <c r="E37" s="3" t="s">
        <v>16</v>
      </c>
    </row>
    <row r="38" spans="1:5" x14ac:dyDescent="0.3">
      <c r="A38" s="3" t="s">
        <v>311</v>
      </c>
      <c r="B38" s="3" t="s">
        <v>138</v>
      </c>
      <c r="C38" s="3" t="s">
        <v>139</v>
      </c>
      <c r="D38" s="3" t="s">
        <v>15</v>
      </c>
      <c r="E38" s="3" t="s">
        <v>16</v>
      </c>
    </row>
    <row r="39" spans="1:5" x14ac:dyDescent="0.3">
      <c r="A39" s="3" t="s">
        <v>312</v>
      </c>
      <c r="B39" s="3" t="s">
        <v>140</v>
      </c>
      <c r="C39" s="3" t="s">
        <v>125</v>
      </c>
      <c r="D39" s="3" t="s">
        <v>15</v>
      </c>
      <c r="E39" s="3" t="s">
        <v>16</v>
      </c>
    </row>
    <row r="40" spans="1:5" x14ac:dyDescent="0.3">
      <c r="A40" s="3" t="s">
        <v>313</v>
      </c>
      <c r="B40" s="3" t="s">
        <v>141</v>
      </c>
      <c r="C40" s="3" t="s">
        <v>142</v>
      </c>
      <c r="D40" s="3" t="s">
        <v>106</v>
      </c>
      <c r="E40" s="3" t="s">
        <v>107</v>
      </c>
    </row>
    <row r="41" spans="1:5" x14ac:dyDescent="0.3">
      <c r="A41" s="3" t="s">
        <v>314</v>
      </c>
      <c r="B41" s="3" t="s">
        <v>143</v>
      </c>
      <c r="C41" s="3" t="s">
        <v>144</v>
      </c>
      <c r="D41" s="3" t="s">
        <v>15</v>
      </c>
      <c r="E41" s="3" t="s">
        <v>16</v>
      </c>
    </row>
    <row r="42" spans="1:5" x14ac:dyDescent="0.3">
      <c r="A42" s="3" t="s">
        <v>315</v>
      </c>
      <c r="B42" s="3" t="s">
        <v>145</v>
      </c>
      <c r="C42" s="3" t="s">
        <v>146</v>
      </c>
      <c r="D42" s="3" t="s">
        <v>135</v>
      </c>
      <c r="E42" s="3" t="s">
        <v>25</v>
      </c>
    </row>
    <row r="43" spans="1:5" x14ac:dyDescent="0.3">
      <c r="A43" s="3" t="s">
        <v>316</v>
      </c>
      <c r="B43" s="3" t="s">
        <v>147</v>
      </c>
      <c r="C43" s="3" t="s">
        <v>148</v>
      </c>
      <c r="D43" s="3" t="s">
        <v>106</v>
      </c>
      <c r="E43" s="3" t="s">
        <v>107</v>
      </c>
    </row>
    <row r="44" spans="1:5" x14ac:dyDescent="0.3">
      <c r="A44" s="3" t="s">
        <v>317</v>
      </c>
      <c r="B44" s="3" t="s">
        <v>149</v>
      </c>
      <c r="C44" s="3" t="s">
        <v>123</v>
      </c>
      <c r="D44" s="3" t="s">
        <v>15</v>
      </c>
      <c r="E44" s="3" t="s">
        <v>16</v>
      </c>
    </row>
    <row r="45" spans="1:5" x14ac:dyDescent="0.3">
      <c r="A45" s="3" t="s">
        <v>318</v>
      </c>
      <c r="B45" s="3" t="s">
        <v>150</v>
      </c>
      <c r="C45" s="3" t="s">
        <v>151</v>
      </c>
      <c r="D45" s="3" t="s">
        <v>31</v>
      </c>
      <c r="E45" s="3" t="s">
        <v>25</v>
      </c>
    </row>
    <row r="46" spans="1:5" x14ac:dyDescent="0.3">
      <c r="A46" s="3" t="s">
        <v>319</v>
      </c>
      <c r="B46" s="3" t="s">
        <v>152</v>
      </c>
      <c r="C46" s="3" t="s">
        <v>153</v>
      </c>
      <c r="D46" s="3" t="s">
        <v>135</v>
      </c>
      <c r="E46" s="3" t="s">
        <v>25</v>
      </c>
    </row>
    <row r="47" spans="1:5" x14ac:dyDescent="0.3">
      <c r="A47" s="3" t="s">
        <v>320</v>
      </c>
      <c r="B47" s="3" t="s">
        <v>154</v>
      </c>
      <c r="C47" s="3" t="s">
        <v>155</v>
      </c>
      <c r="D47" s="3" t="s">
        <v>81</v>
      </c>
      <c r="E47" s="3" t="s">
        <v>25</v>
      </c>
    </row>
    <row r="48" spans="1:5" x14ac:dyDescent="0.3">
      <c r="A48" s="3" t="s">
        <v>321</v>
      </c>
      <c r="B48" s="3" t="s">
        <v>156</v>
      </c>
      <c r="C48" s="3" t="s">
        <v>87</v>
      </c>
      <c r="D48" s="3" t="s">
        <v>15</v>
      </c>
      <c r="E48" s="3" t="s">
        <v>16</v>
      </c>
    </row>
    <row r="49" spans="1:5" x14ac:dyDescent="0.3">
      <c r="A49" s="3" t="s">
        <v>322</v>
      </c>
      <c r="B49" s="3" t="s">
        <v>157</v>
      </c>
      <c r="C49" s="3" t="s">
        <v>158</v>
      </c>
      <c r="D49" s="3" t="s">
        <v>15</v>
      </c>
      <c r="E49" s="3" t="s">
        <v>16</v>
      </c>
    </row>
    <row r="50" spans="1:5" x14ac:dyDescent="0.3">
      <c r="A50" s="3" t="s">
        <v>323</v>
      </c>
      <c r="B50" s="3" t="s">
        <v>159</v>
      </c>
      <c r="C50" s="3" t="s">
        <v>160</v>
      </c>
      <c r="D50" s="3" t="s">
        <v>51</v>
      </c>
      <c r="E50" s="3" t="s">
        <v>25</v>
      </c>
    </row>
    <row r="51" spans="1:5" x14ac:dyDescent="0.3">
      <c r="A51" s="3" t="s">
        <v>324</v>
      </c>
      <c r="B51" s="3" t="s">
        <v>161</v>
      </c>
      <c r="C51" s="3" t="s">
        <v>162</v>
      </c>
      <c r="D51" s="3" t="s">
        <v>103</v>
      </c>
      <c r="E51" s="3" t="s">
        <v>25</v>
      </c>
    </row>
    <row r="52" spans="1:5" x14ac:dyDescent="0.3">
      <c r="A52" s="3" t="s">
        <v>325</v>
      </c>
      <c r="B52" s="3" t="s">
        <v>163</v>
      </c>
      <c r="C52" s="3" t="s">
        <v>137</v>
      </c>
      <c r="D52" s="3" t="s">
        <v>15</v>
      </c>
      <c r="E52" s="3" t="s">
        <v>16</v>
      </c>
    </row>
    <row r="53" spans="1:5" x14ac:dyDescent="0.3">
      <c r="A53" s="3" t="s">
        <v>326</v>
      </c>
      <c r="B53" s="3" t="s">
        <v>164</v>
      </c>
      <c r="C53" s="3" t="s">
        <v>165</v>
      </c>
      <c r="D53" s="3" t="s">
        <v>85</v>
      </c>
      <c r="E53" s="3" t="s">
        <v>25</v>
      </c>
    </row>
    <row r="54" spans="1:5" x14ac:dyDescent="0.3">
      <c r="A54" s="3" t="s">
        <v>327</v>
      </c>
      <c r="B54" s="3" t="s">
        <v>167</v>
      </c>
      <c r="C54" s="3" t="s">
        <v>168</v>
      </c>
      <c r="D54" s="3" t="s">
        <v>169</v>
      </c>
      <c r="E54" s="3" t="s">
        <v>16</v>
      </c>
    </row>
    <row r="55" spans="1:5" x14ac:dyDescent="0.3">
      <c r="A55" s="3" t="s">
        <v>328</v>
      </c>
      <c r="B55" s="3" t="s">
        <v>170</v>
      </c>
      <c r="C55" s="3" t="s">
        <v>171</v>
      </c>
      <c r="D55" s="3" t="s">
        <v>15</v>
      </c>
      <c r="E55" s="3" t="s">
        <v>16</v>
      </c>
    </row>
    <row r="56" spans="1:5" x14ac:dyDescent="0.3">
      <c r="A56" s="3" t="s">
        <v>329</v>
      </c>
      <c r="B56" s="3" t="s">
        <v>172</v>
      </c>
      <c r="C56" s="3" t="s">
        <v>173</v>
      </c>
      <c r="D56" s="3" t="s">
        <v>60</v>
      </c>
      <c r="E56" s="3" t="s">
        <v>25</v>
      </c>
    </row>
    <row r="57" spans="1:5" x14ac:dyDescent="0.3">
      <c r="A57" s="3" t="s">
        <v>330</v>
      </c>
      <c r="B57" s="3" t="s">
        <v>174</v>
      </c>
      <c r="C57" s="3" t="s">
        <v>42</v>
      </c>
      <c r="D57" s="3" t="s">
        <v>43</v>
      </c>
      <c r="E57" s="3" t="s">
        <v>25</v>
      </c>
    </row>
    <row r="58" spans="1:5" x14ac:dyDescent="0.3">
      <c r="A58" s="3" t="s">
        <v>331</v>
      </c>
      <c r="B58" s="3" t="s">
        <v>175</v>
      </c>
      <c r="C58" s="3" t="s">
        <v>176</v>
      </c>
      <c r="D58" s="3" t="s">
        <v>92</v>
      </c>
      <c r="E58" s="3" t="s">
        <v>25</v>
      </c>
    </row>
    <row r="59" spans="1:5" x14ac:dyDescent="0.3">
      <c r="A59" s="3" t="s">
        <v>332</v>
      </c>
      <c r="B59" s="3" t="s">
        <v>177</v>
      </c>
      <c r="C59" s="3" t="s">
        <v>178</v>
      </c>
      <c r="D59" s="3" t="s">
        <v>31</v>
      </c>
      <c r="E59" s="3" t="s">
        <v>25</v>
      </c>
    </row>
    <row r="60" spans="1:5" x14ac:dyDescent="0.3">
      <c r="A60" s="3" t="s">
        <v>333</v>
      </c>
      <c r="B60" s="3" t="s">
        <v>179</v>
      </c>
      <c r="C60" s="3" t="s">
        <v>78</v>
      </c>
      <c r="D60" s="3" t="s">
        <v>15</v>
      </c>
      <c r="E60" s="3" t="s">
        <v>16</v>
      </c>
    </row>
    <row r="61" spans="1:5" x14ac:dyDescent="0.3">
      <c r="A61" s="3" t="s">
        <v>334</v>
      </c>
      <c r="B61" s="3" t="s">
        <v>180</v>
      </c>
      <c r="C61" s="3" t="s">
        <v>121</v>
      </c>
      <c r="D61" s="3" t="s">
        <v>81</v>
      </c>
      <c r="E61" s="3" t="s">
        <v>25</v>
      </c>
    </row>
    <row r="62" spans="1:5" x14ac:dyDescent="0.3">
      <c r="A62" s="3" t="s">
        <v>335</v>
      </c>
      <c r="B62" s="3" t="s">
        <v>181</v>
      </c>
      <c r="C62" s="3" t="s">
        <v>182</v>
      </c>
      <c r="D62" s="3" t="s">
        <v>43</v>
      </c>
      <c r="E62" s="3" t="s">
        <v>25</v>
      </c>
    </row>
    <row r="63" spans="1:5" x14ac:dyDescent="0.3">
      <c r="A63" s="3" t="s">
        <v>336</v>
      </c>
      <c r="B63" s="3" t="s">
        <v>183</v>
      </c>
      <c r="C63" s="3" t="s">
        <v>184</v>
      </c>
      <c r="D63" s="3" t="s">
        <v>24</v>
      </c>
      <c r="E63" s="3" t="s">
        <v>25</v>
      </c>
    </row>
    <row r="64" spans="1:5" x14ac:dyDescent="0.3">
      <c r="A64" s="3" t="s">
        <v>337</v>
      </c>
      <c r="B64" s="3" t="s">
        <v>185</v>
      </c>
      <c r="C64" s="3" t="s">
        <v>186</v>
      </c>
      <c r="D64" s="3" t="s">
        <v>106</v>
      </c>
      <c r="E64" s="3" t="s">
        <v>107</v>
      </c>
    </row>
    <row r="65" spans="1:5" x14ac:dyDescent="0.3">
      <c r="A65" s="3" t="s">
        <v>338</v>
      </c>
      <c r="B65" s="3" t="s">
        <v>187</v>
      </c>
      <c r="C65" s="3" t="s">
        <v>188</v>
      </c>
      <c r="D65" s="3" t="s">
        <v>92</v>
      </c>
      <c r="E65" s="3" t="s">
        <v>25</v>
      </c>
    </row>
    <row r="66" spans="1:5" x14ac:dyDescent="0.3">
      <c r="A66" s="3" t="s">
        <v>339</v>
      </c>
      <c r="B66" s="3" t="s">
        <v>189</v>
      </c>
      <c r="C66" s="3" t="s">
        <v>190</v>
      </c>
      <c r="D66" s="3" t="s">
        <v>15</v>
      </c>
      <c r="E66" s="3" t="s">
        <v>16</v>
      </c>
    </row>
    <row r="67" spans="1:5" x14ac:dyDescent="0.3">
      <c r="A67" s="3" t="s">
        <v>340</v>
      </c>
      <c r="B67" s="3" t="s">
        <v>191</v>
      </c>
      <c r="C67" s="3" t="s">
        <v>192</v>
      </c>
      <c r="D67" s="3" t="s">
        <v>15</v>
      </c>
      <c r="E67" s="3" t="s">
        <v>16</v>
      </c>
    </row>
    <row r="68" spans="1:5" x14ac:dyDescent="0.3">
      <c r="A68" s="3" t="s">
        <v>341</v>
      </c>
      <c r="B68" s="3" t="s">
        <v>193</v>
      </c>
      <c r="C68" s="3" t="s">
        <v>194</v>
      </c>
      <c r="D68" s="3" t="s">
        <v>15</v>
      </c>
      <c r="E68" s="3" t="s">
        <v>16</v>
      </c>
    </row>
    <row r="69" spans="1:5" x14ac:dyDescent="0.3">
      <c r="A69" s="3" t="s">
        <v>342</v>
      </c>
      <c r="B69" s="3" t="s">
        <v>195</v>
      </c>
      <c r="C69" s="3" t="s">
        <v>196</v>
      </c>
      <c r="D69" s="3" t="s">
        <v>169</v>
      </c>
      <c r="E69" s="3" t="s">
        <v>16</v>
      </c>
    </row>
    <row r="70" spans="1:5" x14ac:dyDescent="0.3">
      <c r="A70" s="3" t="s">
        <v>343</v>
      </c>
      <c r="B70" s="3" t="s">
        <v>197</v>
      </c>
      <c r="C70" s="3" t="s">
        <v>198</v>
      </c>
      <c r="D70" s="3" t="s">
        <v>15</v>
      </c>
      <c r="E70" s="3" t="s">
        <v>16</v>
      </c>
    </row>
    <row r="71" spans="1:5" x14ac:dyDescent="0.3">
      <c r="A71" s="3" t="s">
        <v>344</v>
      </c>
      <c r="B71" s="3" t="s">
        <v>199</v>
      </c>
      <c r="C71" s="3" t="s">
        <v>200</v>
      </c>
      <c r="D71" s="3" t="s">
        <v>74</v>
      </c>
      <c r="E71" s="3" t="s">
        <v>74</v>
      </c>
    </row>
    <row r="72" spans="1:5" x14ac:dyDescent="0.3">
      <c r="A72" s="3" t="s">
        <v>345</v>
      </c>
      <c r="B72" s="3" t="s">
        <v>201</v>
      </c>
      <c r="C72" s="3" t="s">
        <v>91</v>
      </c>
      <c r="D72" s="3" t="s">
        <v>92</v>
      </c>
      <c r="E72" s="3" t="s">
        <v>25</v>
      </c>
    </row>
    <row r="73" spans="1:5" x14ac:dyDescent="0.3">
      <c r="A73" s="3" t="s">
        <v>346</v>
      </c>
      <c r="B73" s="3" t="s">
        <v>202</v>
      </c>
      <c r="C73" s="3" t="s">
        <v>203</v>
      </c>
      <c r="D73" s="3" t="s">
        <v>92</v>
      </c>
      <c r="E73" s="3" t="s">
        <v>25</v>
      </c>
    </row>
    <row r="74" spans="1:5" x14ac:dyDescent="0.3">
      <c r="A74" s="3" t="s">
        <v>347</v>
      </c>
      <c r="B74" s="3" t="s">
        <v>204</v>
      </c>
      <c r="C74" s="3" t="s">
        <v>98</v>
      </c>
      <c r="D74" s="3" t="s">
        <v>98</v>
      </c>
      <c r="E74" s="3" t="s">
        <v>107</v>
      </c>
    </row>
    <row r="75" spans="1:5" x14ac:dyDescent="0.3">
      <c r="A75" s="3" t="s">
        <v>348</v>
      </c>
      <c r="B75" s="3" t="s">
        <v>205</v>
      </c>
      <c r="C75" s="3" t="s">
        <v>206</v>
      </c>
      <c r="D75" s="3" t="s">
        <v>207</v>
      </c>
      <c r="E75" s="3" t="s">
        <v>25</v>
      </c>
    </row>
    <row r="76" spans="1:5" x14ac:dyDescent="0.3">
      <c r="A76" s="3" t="s">
        <v>349</v>
      </c>
      <c r="B76" s="3" t="s">
        <v>208</v>
      </c>
      <c r="C76" s="3" t="s">
        <v>209</v>
      </c>
      <c r="D76" s="3" t="s">
        <v>96</v>
      </c>
      <c r="E76" s="3" t="s">
        <v>25</v>
      </c>
    </row>
    <row r="77" spans="1:5" x14ac:dyDescent="0.3">
      <c r="A77" s="3" t="s">
        <v>350</v>
      </c>
      <c r="B77" s="3" t="s">
        <v>210</v>
      </c>
      <c r="C77" s="3" t="s">
        <v>211</v>
      </c>
      <c r="D77" s="3" t="s">
        <v>15</v>
      </c>
      <c r="E77" s="3" t="s">
        <v>16</v>
      </c>
    </row>
    <row r="78" spans="1:5" x14ac:dyDescent="0.3">
      <c r="A78" s="3" t="s">
        <v>351</v>
      </c>
      <c r="B78" s="3" t="s">
        <v>212</v>
      </c>
      <c r="C78" s="3" t="s">
        <v>213</v>
      </c>
      <c r="D78" s="3" t="s">
        <v>214</v>
      </c>
      <c r="E78" s="3" t="s">
        <v>25</v>
      </c>
    </row>
    <row r="79" spans="1:5" x14ac:dyDescent="0.3">
      <c r="A79" s="3" t="s">
        <v>352</v>
      </c>
      <c r="B79" s="3" t="s">
        <v>215</v>
      </c>
      <c r="C79" s="3" t="s">
        <v>216</v>
      </c>
      <c r="D79" s="3" t="s">
        <v>15</v>
      </c>
      <c r="E79" s="3" t="s">
        <v>16</v>
      </c>
    </row>
    <row r="80" spans="1:5" x14ac:dyDescent="0.3">
      <c r="A80" s="3" t="s">
        <v>353</v>
      </c>
      <c r="B80" s="3" t="s">
        <v>217</v>
      </c>
      <c r="C80" s="3" t="s">
        <v>218</v>
      </c>
      <c r="D80" s="3" t="s">
        <v>81</v>
      </c>
      <c r="E80" s="3" t="s">
        <v>25</v>
      </c>
    </row>
    <row r="81" spans="1:5" x14ac:dyDescent="0.3">
      <c r="A81" s="3" t="s">
        <v>354</v>
      </c>
      <c r="B81" s="3" t="s">
        <v>219</v>
      </c>
      <c r="C81" s="3" t="s">
        <v>220</v>
      </c>
      <c r="D81" s="3" t="s">
        <v>15</v>
      </c>
      <c r="E81" s="3" t="s">
        <v>16</v>
      </c>
    </row>
    <row r="82" spans="1:5" x14ac:dyDescent="0.3">
      <c r="A82" s="3" t="s">
        <v>355</v>
      </c>
      <c r="B82" s="3" t="s">
        <v>221</v>
      </c>
      <c r="C82" s="3" t="s">
        <v>222</v>
      </c>
      <c r="D82" s="3" t="s">
        <v>169</v>
      </c>
      <c r="E82" s="3" t="s">
        <v>16</v>
      </c>
    </row>
    <row r="83" spans="1:5" x14ac:dyDescent="0.3">
      <c r="A83" s="3" t="s">
        <v>356</v>
      </c>
      <c r="B83" s="3" t="s">
        <v>223</v>
      </c>
      <c r="C83" s="3" t="s">
        <v>224</v>
      </c>
      <c r="D83" s="3" t="s">
        <v>92</v>
      </c>
      <c r="E83" s="3" t="s">
        <v>25</v>
      </c>
    </row>
    <row r="84" spans="1:5" x14ac:dyDescent="0.3">
      <c r="A84" s="3" t="s">
        <v>357</v>
      </c>
      <c r="B84" s="3" t="s">
        <v>225</v>
      </c>
      <c r="C84" s="3" t="s">
        <v>28</v>
      </c>
      <c r="D84" s="3" t="s">
        <v>15</v>
      </c>
      <c r="E84" s="3" t="s">
        <v>16</v>
      </c>
    </row>
    <row r="85" spans="1:5" x14ac:dyDescent="0.3">
      <c r="A85" s="3" t="s">
        <v>358</v>
      </c>
      <c r="B85" s="3" t="s">
        <v>226</v>
      </c>
      <c r="C85" s="3" t="s">
        <v>227</v>
      </c>
      <c r="D85" s="3" t="s">
        <v>15</v>
      </c>
      <c r="E85" s="3" t="s">
        <v>16</v>
      </c>
    </row>
    <row r="86" spans="1:5" x14ac:dyDescent="0.3">
      <c r="A86" s="3" t="s">
        <v>359</v>
      </c>
      <c r="B86" s="3" t="s">
        <v>228</v>
      </c>
      <c r="C86" s="3" t="s">
        <v>229</v>
      </c>
      <c r="D86" s="3" t="s">
        <v>74</v>
      </c>
      <c r="E86" s="3" t="s">
        <v>74</v>
      </c>
    </row>
    <row r="87" spans="1:5" x14ac:dyDescent="0.3">
      <c r="A87" s="3" t="s">
        <v>360</v>
      </c>
      <c r="B87" s="3" t="s">
        <v>230</v>
      </c>
      <c r="C87" s="3" t="s">
        <v>198</v>
      </c>
      <c r="D87" s="3" t="s">
        <v>15</v>
      </c>
      <c r="E87" s="3" t="s">
        <v>16</v>
      </c>
    </row>
    <row r="88" spans="1:5" x14ac:dyDescent="0.3">
      <c r="A88" s="3" t="s">
        <v>361</v>
      </c>
      <c r="B88" s="3" t="s">
        <v>231</v>
      </c>
      <c r="C88" s="3" t="s">
        <v>232</v>
      </c>
      <c r="D88" s="3" t="s">
        <v>15</v>
      </c>
      <c r="E88" s="3" t="s">
        <v>16</v>
      </c>
    </row>
    <row r="89" spans="1:5" x14ac:dyDescent="0.3">
      <c r="A89" s="3" t="s">
        <v>362</v>
      </c>
      <c r="B89" s="3" t="s">
        <v>233</v>
      </c>
      <c r="C89" s="3" t="s">
        <v>114</v>
      </c>
      <c r="D89" s="3" t="s">
        <v>92</v>
      </c>
      <c r="E89" s="3" t="s">
        <v>25</v>
      </c>
    </row>
    <row r="90" spans="1:5" x14ac:dyDescent="0.3">
      <c r="A90" s="3" t="s">
        <v>363</v>
      </c>
      <c r="B90" s="3" t="s">
        <v>234</v>
      </c>
      <c r="C90" s="3" t="s">
        <v>125</v>
      </c>
      <c r="D90" s="3" t="s">
        <v>15</v>
      </c>
      <c r="E90" s="3" t="s">
        <v>16</v>
      </c>
    </row>
    <row r="91" spans="1:5" x14ac:dyDescent="0.3">
      <c r="A91" s="3" t="s">
        <v>364</v>
      </c>
      <c r="B91" s="3" t="s">
        <v>235</v>
      </c>
      <c r="C91" s="3" t="s">
        <v>236</v>
      </c>
      <c r="D91" s="3" t="s">
        <v>60</v>
      </c>
      <c r="E91" s="3" t="s">
        <v>25</v>
      </c>
    </row>
    <row r="92" spans="1:5" x14ac:dyDescent="0.3">
      <c r="A92" s="3" t="s">
        <v>365</v>
      </c>
      <c r="B92" s="3" t="s">
        <v>237</v>
      </c>
      <c r="C92" s="3" t="s">
        <v>216</v>
      </c>
      <c r="D92" s="3" t="s">
        <v>15</v>
      </c>
      <c r="E92" s="3" t="s">
        <v>16</v>
      </c>
    </row>
    <row r="93" spans="1:5" x14ac:dyDescent="0.3">
      <c r="A93" s="3" t="s">
        <v>366</v>
      </c>
      <c r="B93" s="3" t="s">
        <v>238</v>
      </c>
      <c r="C93" s="3" t="s">
        <v>239</v>
      </c>
      <c r="D93" s="3" t="s">
        <v>24</v>
      </c>
      <c r="E93" s="3" t="s">
        <v>25</v>
      </c>
    </row>
  </sheetData>
  <mergeCells count="1">
    <mergeCell ref="H1:L1"/>
  </mergeCells>
  <pageMargins left="0.7" right="0.7" top="0.75" bottom="0.75" header="0.3" footer="0.3"/>
  <ignoredErrors>
    <ignoredError sqref="J9:L9" formula="1"/>
  </ignoredErrors>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55D8A-0048-4B4E-AAA9-870787C971CE}">
  <sheetPr>
    <tabColor rgb="FF00B0F0"/>
  </sheetPr>
  <dimension ref="A1:AJ207"/>
  <sheetViews>
    <sheetView workbookViewId="0">
      <selection activeCell="V45" sqref="V45"/>
    </sheetView>
  </sheetViews>
  <sheetFormatPr defaultRowHeight="14.4" x14ac:dyDescent="0.3"/>
  <cols>
    <col min="1" max="1" width="19.77734375" bestFit="1" customWidth="1"/>
    <col min="2" max="2" width="16.44140625" bestFit="1" customWidth="1"/>
    <col min="3" max="3" width="21.88671875" bestFit="1" customWidth="1"/>
    <col min="4" max="4" width="18.21875" bestFit="1" customWidth="1"/>
    <col min="5" max="5" width="21.88671875" bestFit="1" customWidth="1"/>
    <col min="6" max="6" width="13.21875" bestFit="1" customWidth="1"/>
    <col min="7" max="7" width="13.6640625" bestFit="1" customWidth="1"/>
    <col min="8" max="8" width="22.88671875" bestFit="1" customWidth="1"/>
    <col min="9" max="9" width="19.21875" bestFit="1" customWidth="1"/>
    <col min="10" max="10" width="22.44140625" bestFit="1" customWidth="1"/>
    <col min="11" max="12" width="22.77734375" bestFit="1" customWidth="1"/>
    <col min="13" max="13" width="16" style="9" bestFit="1" customWidth="1"/>
    <col min="14" max="15" width="14.77734375" bestFit="1" customWidth="1"/>
    <col min="16" max="16" width="11.6640625" bestFit="1" customWidth="1"/>
    <col min="19" max="19" width="25.109375" style="5" customWidth="1"/>
    <col min="20" max="20" width="20.5546875" style="5" customWidth="1"/>
    <col min="21" max="22" width="38.33203125" style="5" bestFit="1" customWidth="1"/>
    <col min="23" max="23" width="36.33203125" style="5" bestFit="1" customWidth="1"/>
    <col min="24" max="24" width="33.33203125" style="5" bestFit="1" customWidth="1"/>
    <col min="25" max="26" width="38.33203125" style="5" bestFit="1" customWidth="1"/>
    <col min="27" max="27" width="20.5546875" style="5" customWidth="1"/>
    <col min="28" max="32" width="20.5546875" customWidth="1"/>
    <col min="33" max="33" width="22.44140625" bestFit="1" customWidth="1"/>
    <col min="34" max="35" width="20.5546875" customWidth="1"/>
    <col min="37" max="37" width="10.33203125" bestFit="1" customWidth="1"/>
  </cols>
  <sheetData>
    <row r="1" spans="1:36" ht="15.6" x14ac:dyDescent="0.3">
      <c r="A1" s="1" t="s">
        <v>0</v>
      </c>
      <c r="B1" s="1" t="s">
        <v>405</v>
      </c>
      <c r="C1" s="2" t="s">
        <v>1</v>
      </c>
      <c r="D1" s="1" t="s">
        <v>274</v>
      </c>
      <c r="E1" s="1" t="s">
        <v>2</v>
      </c>
      <c r="F1" s="1" t="s">
        <v>3</v>
      </c>
      <c r="G1" s="1" t="s">
        <v>4</v>
      </c>
      <c r="H1" s="1" t="s">
        <v>5</v>
      </c>
      <c r="I1" s="1" t="s">
        <v>8</v>
      </c>
      <c r="J1" s="1" t="s">
        <v>9</v>
      </c>
      <c r="K1" s="1" t="s">
        <v>240</v>
      </c>
      <c r="L1" s="1" t="s">
        <v>6</v>
      </c>
      <c r="M1" s="1" t="s">
        <v>7</v>
      </c>
      <c r="N1" s="1" t="s">
        <v>11</v>
      </c>
      <c r="O1" s="1" t="s">
        <v>10</v>
      </c>
      <c r="P1" s="1" t="s">
        <v>12</v>
      </c>
      <c r="S1"/>
      <c r="T1" s="270" t="s">
        <v>373</v>
      </c>
      <c r="U1" s="271"/>
      <c r="V1" s="271"/>
      <c r="W1" s="271"/>
      <c r="X1" s="271"/>
      <c r="Y1" s="271"/>
      <c r="Z1" s="271"/>
      <c r="AB1" s="270" t="s">
        <v>373</v>
      </c>
      <c r="AC1" s="271"/>
      <c r="AD1" s="271"/>
      <c r="AE1" s="271"/>
      <c r="AF1" s="271"/>
      <c r="AG1" s="271"/>
      <c r="AH1" s="271"/>
      <c r="AI1" s="271"/>
      <c r="AJ1" s="271"/>
    </row>
    <row r="2" spans="1:36" ht="16.2" thickBot="1" x14ac:dyDescent="0.35">
      <c r="A2" s="3">
        <v>10164</v>
      </c>
      <c r="B2" s="3" t="s">
        <v>406</v>
      </c>
      <c r="C2" s="4">
        <v>37915</v>
      </c>
      <c r="D2" s="4" t="s">
        <v>324</v>
      </c>
      <c r="E2" s="3" t="s">
        <v>161</v>
      </c>
      <c r="F2" s="3" t="s">
        <v>162</v>
      </c>
      <c r="G2" s="3" t="s">
        <v>103</v>
      </c>
      <c r="H2" s="3" t="s">
        <v>25</v>
      </c>
      <c r="I2" s="3" t="s">
        <v>32</v>
      </c>
      <c r="J2" s="3" t="s">
        <v>34</v>
      </c>
      <c r="K2" s="3" t="s">
        <v>246</v>
      </c>
      <c r="L2" s="3">
        <v>21</v>
      </c>
      <c r="M2" s="7">
        <v>80</v>
      </c>
      <c r="N2" s="8">
        <v>1680</v>
      </c>
      <c r="O2" s="3" t="s">
        <v>367</v>
      </c>
      <c r="P2" s="3" t="s">
        <v>370</v>
      </c>
      <c r="S2"/>
      <c r="T2" s="22" t="s">
        <v>374</v>
      </c>
      <c r="U2" s="22" t="s">
        <v>6</v>
      </c>
      <c r="V2" s="28" t="s">
        <v>385</v>
      </c>
      <c r="W2" s="22" t="s">
        <v>7</v>
      </c>
      <c r="X2" s="28" t="s">
        <v>385</v>
      </c>
      <c r="Y2" s="22" t="s">
        <v>11</v>
      </c>
      <c r="Z2" s="28" t="s">
        <v>385</v>
      </c>
      <c r="AB2" s="22" t="s">
        <v>374</v>
      </c>
      <c r="AC2" s="22" t="s">
        <v>2</v>
      </c>
      <c r="AD2" s="22" t="s">
        <v>3</v>
      </c>
      <c r="AE2" s="22" t="s">
        <v>4</v>
      </c>
      <c r="AF2" s="22" t="s">
        <v>5</v>
      </c>
      <c r="AG2" s="22" t="s">
        <v>8</v>
      </c>
      <c r="AH2" s="22" t="s">
        <v>240</v>
      </c>
      <c r="AI2" s="22" t="s">
        <v>10</v>
      </c>
      <c r="AJ2" s="22" t="s">
        <v>12</v>
      </c>
    </row>
    <row r="3" spans="1:36" ht="15.6" x14ac:dyDescent="0.3">
      <c r="A3" s="3">
        <v>10164</v>
      </c>
      <c r="B3" s="3" t="s">
        <v>407</v>
      </c>
      <c r="C3" s="4">
        <v>37915</v>
      </c>
      <c r="D3" s="4" t="s">
        <v>324</v>
      </c>
      <c r="E3" s="3" t="s">
        <v>161</v>
      </c>
      <c r="F3" s="3" t="s">
        <v>162</v>
      </c>
      <c r="G3" s="3" t="s">
        <v>103</v>
      </c>
      <c r="H3" s="3" t="s">
        <v>25</v>
      </c>
      <c r="I3" s="3" t="s">
        <v>35</v>
      </c>
      <c r="J3" s="3" t="s">
        <v>40</v>
      </c>
      <c r="K3" s="3" t="s">
        <v>251</v>
      </c>
      <c r="L3" s="3">
        <v>49</v>
      </c>
      <c r="M3" s="7">
        <v>25</v>
      </c>
      <c r="N3" s="8">
        <v>1225</v>
      </c>
      <c r="O3" s="3" t="s">
        <v>367</v>
      </c>
      <c r="P3" s="3" t="s">
        <v>370</v>
      </c>
      <c r="S3"/>
      <c r="T3" s="23" t="s">
        <v>375</v>
      </c>
      <c r="U3" s="25">
        <f>COUNT(Returns_Table[Quantity_Ordered])</f>
        <v>206</v>
      </c>
      <c r="V3" s="37" t="s">
        <v>386</v>
      </c>
      <c r="W3" s="25">
        <f>COUNT(Returns_Table[Price_Each])</f>
        <v>206</v>
      </c>
      <c r="X3" s="37" t="s">
        <v>386</v>
      </c>
      <c r="Y3" s="18">
        <f>COUNT(Returns_Table[Sales])</f>
        <v>206</v>
      </c>
      <c r="Z3" s="37" t="s">
        <v>386</v>
      </c>
      <c r="AB3" s="32" t="s">
        <v>375</v>
      </c>
      <c r="AC3" s="33">
        <f>COUNTA(Returns_Table[Customer_Name])</f>
        <v>206</v>
      </c>
      <c r="AD3" s="33">
        <f>COUNTA(Returns_Table[City])</f>
        <v>206</v>
      </c>
      <c r="AE3" s="33">
        <f>COUNTA(Returns_Table[Country])</f>
        <v>206</v>
      </c>
      <c r="AF3" s="33">
        <f>COUNTA(Returns_Table[Territory])</f>
        <v>206</v>
      </c>
      <c r="AG3" s="33">
        <f>COUNTA(Returns_Table[Product_Category])</f>
        <v>206</v>
      </c>
      <c r="AH3" s="33">
        <f>COUNTA(Returns_Table[Product_Name])</f>
        <v>206</v>
      </c>
      <c r="AI3" s="33">
        <f>COUNTA(Returns_Table[Deal_Size])</f>
        <v>206</v>
      </c>
      <c r="AJ3" s="33">
        <f>COUNTA(Returns_Table[Status])</f>
        <v>206</v>
      </c>
    </row>
    <row r="4" spans="1:36" ht="16.2" thickBot="1" x14ac:dyDescent="0.35">
      <c r="A4" s="3">
        <v>10164</v>
      </c>
      <c r="B4" s="3" t="s">
        <v>409</v>
      </c>
      <c r="C4" s="4">
        <v>37915</v>
      </c>
      <c r="D4" s="4" t="s">
        <v>324</v>
      </c>
      <c r="E4" s="3" t="s">
        <v>161</v>
      </c>
      <c r="F4" s="3" t="s">
        <v>162</v>
      </c>
      <c r="G4" s="3" t="s">
        <v>103</v>
      </c>
      <c r="H4" s="3" t="s">
        <v>25</v>
      </c>
      <c r="I4" s="3" t="s">
        <v>35</v>
      </c>
      <c r="J4" s="3" t="s">
        <v>40</v>
      </c>
      <c r="K4" s="3" t="s">
        <v>251</v>
      </c>
      <c r="L4" s="3">
        <v>36</v>
      </c>
      <c r="M4" s="7">
        <v>25</v>
      </c>
      <c r="N4" s="8">
        <v>900</v>
      </c>
      <c r="O4" s="3" t="s">
        <v>367</v>
      </c>
      <c r="P4" s="3" t="s">
        <v>370</v>
      </c>
      <c r="S4"/>
      <c r="T4" s="23" t="s">
        <v>376</v>
      </c>
      <c r="U4" s="25">
        <f>AVERAGE(Returns_Table[Quantity_Ordered])</f>
        <v>37.203883495145632</v>
      </c>
      <c r="V4" s="37" t="s">
        <v>386</v>
      </c>
      <c r="W4" s="25">
        <f>AVERAGE(Returns_Table[Price_Each])</f>
        <v>82.825242718446603</v>
      </c>
      <c r="X4" s="37" t="s">
        <v>386</v>
      </c>
      <c r="Y4" s="18">
        <f>AVERAGE(Returns_Table[Sales])</f>
        <v>2966.4951456310678</v>
      </c>
      <c r="Z4" s="37" t="s">
        <v>386</v>
      </c>
      <c r="AB4" s="34" t="s">
        <v>391</v>
      </c>
      <c r="AC4" s="35">
        <f>COUNTA(_xlfn.UNIQUE(Returns_Table[Customer_Name]))</f>
        <v>17</v>
      </c>
      <c r="AD4" s="35">
        <f>COUNTA(_xlfn.UNIQUE(Returns_Table[City]))</f>
        <v>17</v>
      </c>
      <c r="AE4" s="35">
        <f>COUNTA(_xlfn.UNIQUE(Returns_Table[Country]))</f>
        <v>9</v>
      </c>
      <c r="AF4" s="35">
        <f>COUNTA(_xlfn.UNIQUE(Returns_Table[Territory]))</f>
        <v>3</v>
      </c>
      <c r="AG4" s="35">
        <f>COUNTA(_xlfn.UNIQUE(Returns_Table[Product_Category]))</f>
        <v>7</v>
      </c>
      <c r="AH4" s="35">
        <f>COUNTA(_xlfn.UNIQUE(Returns_Table[Product_Name]))</f>
        <v>29</v>
      </c>
      <c r="AI4" s="35">
        <f>COUNTA(_xlfn.UNIQUE(Returns_Table[Deal_Size]))</f>
        <v>3</v>
      </c>
      <c r="AJ4" s="35">
        <f>COUNTA(_xlfn.UNIQUE(Returns_Table[Status]))</f>
        <v>1</v>
      </c>
    </row>
    <row r="5" spans="1:36" ht="15.6" x14ac:dyDescent="0.3">
      <c r="A5" s="3">
        <v>10164</v>
      </c>
      <c r="B5" s="3" t="s">
        <v>408</v>
      </c>
      <c r="C5" s="4">
        <v>37915</v>
      </c>
      <c r="D5" s="4" t="s">
        <v>324</v>
      </c>
      <c r="E5" s="3" t="s">
        <v>161</v>
      </c>
      <c r="F5" s="3" t="s">
        <v>162</v>
      </c>
      <c r="G5" s="3" t="s">
        <v>103</v>
      </c>
      <c r="H5" s="3" t="s">
        <v>25</v>
      </c>
      <c r="I5" s="3" t="s">
        <v>35</v>
      </c>
      <c r="J5" s="3" t="s">
        <v>38</v>
      </c>
      <c r="K5" s="3" t="s">
        <v>249</v>
      </c>
      <c r="L5" s="3">
        <v>45</v>
      </c>
      <c r="M5" s="7">
        <v>20</v>
      </c>
      <c r="N5" s="8">
        <v>900</v>
      </c>
      <c r="O5" s="3" t="s">
        <v>367</v>
      </c>
      <c r="P5" s="3" t="s">
        <v>370</v>
      </c>
      <c r="S5"/>
      <c r="T5" s="23" t="s">
        <v>377</v>
      </c>
      <c r="U5" s="26">
        <f>_xlfn.STDEV.S(Returns_Table[Quantity_Ordered])</f>
        <v>13.511591571540212</v>
      </c>
      <c r="V5" s="38" t="s">
        <v>400</v>
      </c>
      <c r="W5" s="26">
        <f>_xlfn.STDEV.S(Returns_Table[Price_Each])</f>
        <v>68.993874197424731</v>
      </c>
      <c r="X5" s="38" t="s">
        <v>404</v>
      </c>
      <c r="Y5" s="19">
        <f>_xlfn.STDEV.S(Returns_Table[Sales])</f>
        <v>2516.7365100367438</v>
      </c>
      <c r="Z5" s="38" t="s">
        <v>403</v>
      </c>
      <c r="AB5" s="23" t="s">
        <v>393</v>
      </c>
      <c r="AC5" s="25" t="str" cm="1">
        <f t="array" ref="AC5">INDEX(Returns_Table[Customer_Name],_xlfn.MODE.MULT(MATCH(Returns_Table[Customer_Name],Returns_Table[Customer_Name],0)))</f>
        <v>Lonsdale Wholesale</v>
      </c>
      <c r="AD5" s="25" t="str" cm="1">
        <f t="array" ref="AD5">INDEX(Returns_Table[City],_xlfn.MODE.MULT(MATCH(Returns_Table[City],Returns_Table[City],0)))</f>
        <v>Madrid</v>
      </c>
      <c r="AE5" s="25" t="str" cm="1">
        <f t="array" ref="AE5">INDEX(Returns_Table[Country],_xlfn.MODE.MULT(MATCH(Returns_Table[Country],Returns_Table[Country],0)))</f>
        <v>USA</v>
      </c>
      <c r="AF5" s="25" t="str" cm="1">
        <f t="array" ref="AF5">INDEX(Returns_Table[Territory],_xlfn.MODE.MULT(MATCH(Returns_Table[Territory],Returns_Table[Territory],0)))</f>
        <v>EMEA</v>
      </c>
      <c r="AG5" s="25" t="str" cm="1">
        <f t="array" ref="AG5">INDEX(Returns_Table[Product_Category],_xlfn.MODE.MULT(MATCH(Returns_Table[Product_Category],Returns_Table[Product_Category],0)))</f>
        <v>Beverages</v>
      </c>
      <c r="AH5" s="25" t="str" cm="1">
        <f t="array" ref="AH5">INDEX(Returns_Table[Product_Name],_xlfn.MODE.MULT(MATCH(Returns_Table[Product_Name],Returns_Table[Product_Name],0)))</f>
        <v>Milko Gold</v>
      </c>
      <c r="AI5" s="25" t="str" cm="1">
        <f t="array" ref="AI5">INDEX(Returns_Table[Deal_Size],_xlfn.MODE.MULT(MATCH(Returns_Table[Deal_Size],Returns_Table[Deal_Size],0)))</f>
        <v>Small</v>
      </c>
      <c r="AJ5" s="36" t="str" cm="1">
        <f t="array" ref="AJ5">INDEX(Returns_Table[Status],_xlfn.MODE.MULT(MATCH(Returns_Table[Status],Returns_Table[Status],0)))</f>
        <v>Returns</v>
      </c>
    </row>
    <row r="6" spans="1:36" ht="16.2" thickBot="1" x14ac:dyDescent="0.35">
      <c r="A6" s="3">
        <v>10164</v>
      </c>
      <c r="B6" s="3" t="s">
        <v>410</v>
      </c>
      <c r="C6" s="4">
        <v>37915</v>
      </c>
      <c r="D6" s="4" t="s">
        <v>324</v>
      </c>
      <c r="E6" s="3" t="s">
        <v>161</v>
      </c>
      <c r="F6" s="3" t="s">
        <v>162</v>
      </c>
      <c r="G6" s="3" t="s">
        <v>103</v>
      </c>
      <c r="H6" s="3" t="s">
        <v>25</v>
      </c>
      <c r="I6" s="3" t="s">
        <v>17</v>
      </c>
      <c r="J6" s="3" t="s">
        <v>26</v>
      </c>
      <c r="K6" s="3" t="s">
        <v>244</v>
      </c>
      <c r="L6" s="3">
        <v>25</v>
      </c>
      <c r="M6" s="7">
        <v>60</v>
      </c>
      <c r="N6" s="8">
        <v>1500</v>
      </c>
      <c r="O6" s="3" t="s">
        <v>367</v>
      </c>
      <c r="P6" s="3" t="s">
        <v>370</v>
      </c>
      <c r="S6"/>
      <c r="T6" s="23" t="s">
        <v>378</v>
      </c>
      <c r="U6" s="26">
        <f>_xlfn.VAR.S(Returns_Table[Quantity_Ordered])</f>
        <v>182.56310679611647</v>
      </c>
      <c r="V6" s="38" t="s">
        <v>386</v>
      </c>
      <c r="W6" s="26">
        <f>_xlfn.VAR.S(Returns_Table[Price_Each])</f>
        <v>4760.1546767700693</v>
      </c>
      <c r="X6" s="38" t="s">
        <v>386</v>
      </c>
      <c r="Y6" s="19">
        <f>_xlfn.VAR.S(Returns_Table[Sales])</f>
        <v>6333962.6609519292</v>
      </c>
      <c r="Z6" s="38" t="s">
        <v>386</v>
      </c>
      <c r="AB6" s="24" t="s">
        <v>392</v>
      </c>
      <c r="AC6" s="31">
        <f>COUNTIF(Returns_Table[Customer_Name],AC5)/$AC$3</f>
        <v>0.22330097087378642</v>
      </c>
      <c r="AD6" s="31">
        <f>COUNTIF(Returns_Table[City],AD5)/$AD$3</f>
        <v>0.22330097087378642</v>
      </c>
      <c r="AE6" s="31">
        <f>COUNTIF(Returns_Table[Country],AE5)/AE3</f>
        <v>0.33495145631067963</v>
      </c>
      <c r="AF6" s="31">
        <f>COUNTIF(Returns_Table[Territory],AF5)/AF3</f>
        <v>0.57766990291262132</v>
      </c>
      <c r="AG6" s="31">
        <f>COUNTIF(Returns_Table[Product_Category],AG5)/AG3</f>
        <v>0.25728155339805825</v>
      </c>
      <c r="AH6" s="31">
        <f>COUNTIF(Returns_Table[Product_Name],AH5)/AH3</f>
        <v>0.11650485436893204</v>
      </c>
      <c r="AI6" s="31">
        <f>COUNTIF(Returns_Table[Deal_Size],AI5)/AI3</f>
        <v>0.86407766990291257</v>
      </c>
      <c r="AJ6" s="31">
        <f>COUNTIF(Returns_Table[Status],AJ5)/AJ3</f>
        <v>1</v>
      </c>
    </row>
    <row r="7" spans="1:36" ht="15.6" x14ac:dyDescent="0.3">
      <c r="A7" s="3">
        <v>10164</v>
      </c>
      <c r="B7" s="3" t="s">
        <v>413</v>
      </c>
      <c r="C7" s="4">
        <v>37915</v>
      </c>
      <c r="D7" s="4" t="s">
        <v>324</v>
      </c>
      <c r="E7" s="3" t="s">
        <v>161</v>
      </c>
      <c r="F7" s="3" t="s">
        <v>162</v>
      </c>
      <c r="G7" s="3" t="s">
        <v>103</v>
      </c>
      <c r="H7" s="3" t="s">
        <v>25</v>
      </c>
      <c r="I7" s="3" t="s">
        <v>35</v>
      </c>
      <c r="J7" s="3" t="s">
        <v>39</v>
      </c>
      <c r="K7" s="3" t="s">
        <v>250</v>
      </c>
      <c r="L7" s="3">
        <v>24</v>
      </c>
      <c r="M7" s="7">
        <v>20</v>
      </c>
      <c r="N7" s="8">
        <v>480</v>
      </c>
      <c r="O7" s="3" t="s">
        <v>367</v>
      </c>
      <c r="P7" s="3" t="s">
        <v>370</v>
      </c>
      <c r="S7"/>
      <c r="T7" s="23" t="s">
        <v>379</v>
      </c>
      <c r="U7" s="26">
        <f>MIN(Returns_Table[Quantity_Ordered])</f>
        <v>6</v>
      </c>
      <c r="V7" s="38" t="s">
        <v>386</v>
      </c>
      <c r="W7" s="26">
        <f>MIN(Returns_Table[Price_Each])</f>
        <v>15</v>
      </c>
      <c r="X7" s="38" t="s">
        <v>386</v>
      </c>
      <c r="Y7" s="19">
        <f>MIN(Returns_Table[Sales])</f>
        <v>288</v>
      </c>
      <c r="Z7" s="38" t="s">
        <v>386</v>
      </c>
      <c r="AB7" s="23" t="s">
        <v>394</v>
      </c>
      <c r="AC7" s="26" t="str" cm="1">
        <f t="array" ref="AC7">_xlfn.LET(_xlpm.names,Returns_Table[Customer_Name],_xlpm.u,_xlfn.UNIQUE(_xlpm.names),_xlpm.freq,COUNTIF(_xlpm.names,_xlpm.u),_xlpm.sorted,_xlfn.SORTBY(_xlpm.u,_xlpm.freq,-1),INDEX(_xlpm.sorted,2))</f>
        <v>Montclaire Wholesale</v>
      </c>
      <c r="AD7" s="26" t="str" cm="1">
        <f t="array" ref="AD7">_xlfn.LET(_xlpm.names,Returns_Table[City],_xlpm.u,_xlfn.UNIQUE(_xlpm.names),_xlpm.freq,COUNTIF(_xlpm.names,_xlpm.u),_xlpm.sorted,_xlfn.SORTBY(_xlpm.u,_xlpm.freq,-1),INDEX(_xlpm.sorted,2))</f>
        <v>Boras</v>
      </c>
      <c r="AE7" s="26" t="str" cm="1">
        <f t="array" ref="AE7">_xlfn.LET(_xlpm.names,Returns_Table[Country],_xlpm.u,_xlfn.UNIQUE(_xlpm.names),_xlpm.freq,COUNTIF(_xlpm.names,_xlpm.u),_xlpm.sorted,_xlfn.SORTBY(_xlpm.u,_xlpm.freq,-1),INDEX(_xlpm.sorted,2))</f>
        <v>Spain</v>
      </c>
      <c r="AF7" s="26" t="str" cm="1">
        <f t="array" ref="AF7">_xlfn.LET(_xlpm.names,Returns_Table[Territory],_xlpm.u,_xlfn.UNIQUE(_xlpm.names),_xlpm.freq,COUNTIF(_xlpm.names,_xlpm.u),_xlpm.sorted,_xlfn.SORTBY(_xlpm.u,_xlpm.freq,-1),INDEX(_xlpm.sorted,2))</f>
        <v>NA</v>
      </c>
      <c r="AG7" s="26" t="str" cm="1">
        <f t="array" ref="AG7">_xlfn.LET(_xlpm.names,Returns_Table[Product_Category],_xlpm.u,_xlfn.UNIQUE(_xlpm.names),_xlpm.freq,COUNTIF(_xlpm.names,_xlpm.u),_xlpm.sorted,_xlfn.SORTBY(_xlpm.u,_xlpm.freq,-1),INDEX(_xlpm.sorted,2))</f>
        <v>Dairy Products</v>
      </c>
      <c r="AH7" s="26" t="str" cm="1">
        <f t="array" ref="AH7">_xlfn.LET(_xlpm.names,Returns_Table[Product_Name],_xlpm.u,_xlfn.UNIQUE(_xlpm.names),_xlpm.freq,COUNTIF(_xlpm.names,_xlpm.u),_xlpm.sorted,_xlfn.SORTBY(_xlpm.u,_xlpm.freq,-1),INDEX(_xlpm.sorted,2))</f>
        <v>BabyGrow 1</v>
      </c>
      <c r="AI7" s="26" t="str" cm="1">
        <f t="array" ref="AI7">_xlfn.LET(_xlpm.names,Returns_Table[Deal_Size],_xlpm.u,_xlfn.UNIQUE(_xlpm.names),_xlpm.freq,COUNTIF(_xlpm.names,_xlpm.u),_xlpm.sorted,_xlfn.SORTBY(_xlpm.u,_xlpm.freq,-1),INDEX(_xlpm.sorted,2))</f>
        <v>Medium</v>
      </c>
      <c r="AJ7" s="26" cm="1">
        <f t="array" ref="AJ7">_xlfn.LET(_xlpm.names,Returns_Table[Quantity_Ordered],_xlpm.u,_xlfn.UNIQUE(_xlpm.names),_xlpm.freq,COUNTIF(_xlpm.names,_xlpm.u),_xlpm.sorted,_xlfn.SORTBY(_xlpm.u,_xlpm.freq,-1),INDEX(_xlpm.sorted,2))</f>
        <v>49</v>
      </c>
    </row>
    <row r="8" spans="1:36" ht="16.2" thickBot="1" x14ac:dyDescent="0.35">
      <c r="A8" s="3">
        <v>10164</v>
      </c>
      <c r="B8" s="3" t="s">
        <v>411</v>
      </c>
      <c r="C8" s="4">
        <v>37915</v>
      </c>
      <c r="D8" s="4" t="s">
        <v>324</v>
      </c>
      <c r="E8" s="3" t="s">
        <v>161</v>
      </c>
      <c r="F8" s="3" t="s">
        <v>162</v>
      </c>
      <c r="G8" s="3" t="s">
        <v>103</v>
      </c>
      <c r="H8" s="3" t="s">
        <v>25</v>
      </c>
      <c r="I8" s="3" t="s">
        <v>35</v>
      </c>
      <c r="J8" s="3" t="s">
        <v>38</v>
      </c>
      <c r="K8" s="3" t="s">
        <v>249</v>
      </c>
      <c r="L8" s="3">
        <v>49</v>
      </c>
      <c r="M8" s="7">
        <v>20</v>
      </c>
      <c r="N8" s="8">
        <v>980</v>
      </c>
      <c r="O8" s="3" t="s">
        <v>367</v>
      </c>
      <c r="P8" s="3" t="s">
        <v>370</v>
      </c>
      <c r="S8"/>
      <c r="T8" s="30">
        <v>0.25</v>
      </c>
      <c r="U8" s="26">
        <f>_xlfn.QUARTILE.INC(Returns_Table[Quantity_Ordered],1)</f>
        <v>27</v>
      </c>
      <c r="V8" s="38" t="s">
        <v>386</v>
      </c>
      <c r="W8" s="26">
        <f>_xlfn.QUARTILE.INC(Returns_Table[Price_Each],1)</f>
        <v>35</v>
      </c>
      <c r="X8" s="38" t="s">
        <v>386</v>
      </c>
      <c r="Y8" s="19">
        <f>_xlfn.QUARTILE.INC(Returns_Table[Sales],1)</f>
        <v>1192.5</v>
      </c>
      <c r="Z8" s="38" t="s">
        <v>386</v>
      </c>
      <c r="AB8" s="24" t="s">
        <v>392</v>
      </c>
      <c r="AC8" s="31">
        <f>COUNTIF(Returns_Table[Customer_Name],AC7)/AC$3</f>
        <v>7.7669902912621352E-2</v>
      </c>
      <c r="AD8" s="31">
        <f>COUNTIF(Returns_Table[City],AD7)/$AD$3</f>
        <v>7.7669902912621352E-2</v>
      </c>
      <c r="AE8" s="31">
        <f>COUNTIF(Returns_Table[Country],AE7)/AE$3</f>
        <v>0.22330097087378642</v>
      </c>
      <c r="AF8" s="31">
        <f>COUNTIF(Returns_Table[Territory],AF7)/AF$3</f>
        <v>0.33495145631067963</v>
      </c>
      <c r="AG8" s="31">
        <f>COUNTIF(Returns_Table[Product_Category],AG7)/AG$3</f>
        <v>0.24271844660194175</v>
      </c>
      <c r="AH8" s="31">
        <f>COUNTIF(Returns_Table[Product_Name],AH7)/AH$3</f>
        <v>9.7087378640776698E-2</v>
      </c>
      <c r="AI8" s="31">
        <f>COUNTIF(Returns_Table[Deal_Size],AI7)/AI$3</f>
        <v>0.11650485436893204</v>
      </c>
      <c r="AJ8" s="31">
        <f>COUNTIF(Returns_Table[Quantity_Ordered],AJ7)/AJ$3</f>
        <v>4.8543689320388349E-2</v>
      </c>
    </row>
    <row r="9" spans="1:36" ht="15.6" x14ac:dyDescent="0.3">
      <c r="A9" s="3">
        <v>10164</v>
      </c>
      <c r="B9" s="3" t="s">
        <v>412</v>
      </c>
      <c r="C9" s="4">
        <v>37915</v>
      </c>
      <c r="D9" s="4" t="s">
        <v>324</v>
      </c>
      <c r="E9" s="3" t="s">
        <v>161</v>
      </c>
      <c r="F9" s="3" t="s">
        <v>162</v>
      </c>
      <c r="G9" s="3" t="s">
        <v>103</v>
      </c>
      <c r="H9" s="3" t="s">
        <v>25</v>
      </c>
      <c r="I9" s="3" t="s">
        <v>32</v>
      </c>
      <c r="J9" s="3" t="s">
        <v>44</v>
      </c>
      <c r="K9" s="3" t="s">
        <v>252</v>
      </c>
      <c r="L9" s="3">
        <v>39</v>
      </c>
      <c r="M9" s="7">
        <v>55</v>
      </c>
      <c r="N9" s="8">
        <v>2145</v>
      </c>
      <c r="O9" s="3" t="s">
        <v>367</v>
      </c>
      <c r="P9" s="3" t="s">
        <v>370</v>
      </c>
      <c r="S9"/>
      <c r="T9" s="23" t="s">
        <v>380</v>
      </c>
      <c r="U9" s="26">
        <f>MEDIAN(Returns_Table[Quantity_Ordered])</f>
        <v>37</v>
      </c>
      <c r="V9" s="38" t="s">
        <v>386</v>
      </c>
      <c r="W9" s="26">
        <f>MEDIAN(Returns_Table[Price_Each])</f>
        <v>60</v>
      </c>
      <c r="X9" s="38" t="s">
        <v>386</v>
      </c>
      <c r="Y9" s="19">
        <f>MEDIAN(Returns_Table[Sales])</f>
        <v>2072.5</v>
      </c>
      <c r="Z9" s="38" t="s">
        <v>386</v>
      </c>
      <c r="AB9" s="23" t="s">
        <v>395</v>
      </c>
      <c r="AC9" s="26" t="str" cm="1">
        <f t="array" ref="AC9">_xlfn.LET(_xlpm.names,Returns_Table[Customer_Name],_xlpm.u,_xlfn.UNIQUE(_xlpm.names),_xlpm.freq,COUNTIF(_xlpm.names,_xlpm.u),_xlpm.sorted,_xlfn.SORTBY(_xlpm.u,_xlpm.freq,-1),INDEX(_xlpm.sorted,3))</f>
        <v>Dovetail Mart</v>
      </c>
      <c r="AD9" s="26" t="str" cm="1">
        <f t="array" ref="AD9">_xlfn.LET(_xlpm.names,Returns_Table[City],_xlpm.u,_xlfn.UNIQUE(_xlpm.names),_xlpm.freq,COUNTIF(_xlpm.names,_xlpm.u),_xlpm.sorted,_xlfn.SORTBY(_xlpm.u,_xlpm.freq,-1),INDEX(_xlpm.sorted,3))</f>
        <v>NYC</v>
      </c>
      <c r="AE9" s="26" t="str" cm="1">
        <f t="array" ref="AE9">_xlfn.LET(_xlpm.names,Returns_Table[Country],_xlpm.u,_xlfn.UNIQUE(_xlpm.names),_xlpm.freq,COUNTIF(_xlpm.names,_xlpm.u),_xlpm.sorted,_xlfn.SORTBY(_xlpm.u,_xlpm.freq,-1),INDEX(_xlpm.sorted,3))</f>
        <v>Sweden</v>
      </c>
      <c r="AF9" s="26" t="str" cm="1">
        <f t="array" ref="AF9">_xlfn.LET(_xlpm.names,Returns_Table[Territory],_xlpm.u,_xlfn.UNIQUE(_xlpm.names),_xlpm.freq,COUNTIF(_xlpm.names,_xlpm.u),_xlpm.sorted,_xlfn.SORTBY(_xlpm.u,_xlpm.freq,-1),INDEX(_xlpm.sorted,3))</f>
        <v>APAC</v>
      </c>
      <c r="AG9" s="26" t="str" cm="1">
        <f t="array" ref="AG9">_xlfn.LET(_xlpm.names,Returns_Table[Product_Category],_xlpm.u,_xlfn.UNIQUE(_xlpm.names),_xlpm.freq,COUNTIF(_xlpm.names,_xlpm.u),_xlpm.sorted,_xlfn.SORTBY(_xlpm.u,_xlpm.freq,-1),INDEX(_xlpm.sorted,3))</f>
        <v>Infant Nutrition</v>
      </c>
      <c r="AH9" s="26" t="str" cm="1">
        <f t="array" ref="AH9">_xlfn.LET(_xlpm.names,Returns_Table[Product_Name],_xlpm.u,_xlfn.UNIQUE(_xlpm.names),_xlpm.freq,COUNTIF(_xlpm.names,_xlpm.u),_xlpm.sorted,_xlfn.SORTBY(_xlpm.u,_xlpm.freq,-1),INDEX(_xlpm.sorted,3))</f>
        <v>AquaGo</v>
      </c>
      <c r="AI9" s="26" t="str" cm="1">
        <f t="array" ref="AI9">_xlfn.LET(_xlpm.names,Returns_Table[Deal_Size],_xlpm.u,_xlfn.UNIQUE(_xlpm.names),_xlpm.freq,COUNTIF(_xlpm.names,_xlpm.u),_xlpm.sorted,_xlfn.SORTBY(_xlpm.u,_xlpm.freq,-1),INDEX(_xlpm.sorted,3))</f>
        <v>Large</v>
      </c>
      <c r="AJ9" s="26" cm="1">
        <f t="array" ref="AJ9">_xlfn.LET(_xlpm.names,Returns_Table[Quantity_Ordered],_xlpm.u,_xlfn.UNIQUE(_xlpm.names),_xlpm.freq,COUNTIF(_xlpm.names,_xlpm.u),_xlpm.sorted,_xlfn.SORTBY(_xlpm.u,_xlpm.freq,-1),INDEX(_xlpm.sorted,3))</f>
        <v>37</v>
      </c>
    </row>
    <row r="10" spans="1:36" ht="16.2" thickBot="1" x14ac:dyDescent="0.35">
      <c r="A10" s="3">
        <v>10167</v>
      </c>
      <c r="B10" s="3" t="s">
        <v>414</v>
      </c>
      <c r="C10" s="4">
        <v>37917</v>
      </c>
      <c r="D10" s="4" t="s">
        <v>326</v>
      </c>
      <c r="E10" s="3" t="s">
        <v>164</v>
      </c>
      <c r="F10" s="3" t="s">
        <v>165</v>
      </c>
      <c r="G10" s="3" t="s">
        <v>85</v>
      </c>
      <c r="H10" s="3" t="s">
        <v>25</v>
      </c>
      <c r="I10" s="3" t="s">
        <v>32</v>
      </c>
      <c r="J10" s="3" t="s">
        <v>33</v>
      </c>
      <c r="K10" s="3" t="s">
        <v>245</v>
      </c>
      <c r="L10" s="3">
        <v>44</v>
      </c>
      <c r="M10" s="7">
        <v>85</v>
      </c>
      <c r="N10" s="8">
        <v>3740</v>
      </c>
      <c r="O10" s="3" t="s">
        <v>367</v>
      </c>
      <c r="P10" s="3" t="s">
        <v>370</v>
      </c>
      <c r="S10"/>
      <c r="T10" s="30">
        <v>0.75</v>
      </c>
      <c r="U10" s="26">
        <f>_xlfn.QUARTILE.INC(Returns_Table[Quantity_Ordered],3)</f>
        <v>45</v>
      </c>
      <c r="V10" s="38" t="s">
        <v>386</v>
      </c>
      <c r="W10" s="26">
        <f>_xlfn.QUARTILE.INC(Returns_Table[Price_Each],3)</f>
        <v>90</v>
      </c>
      <c r="X10" s="38" t="s">
        <v>386</v>
      </c>
      <c r="Y10" s="19">
        <f>_xlfn.QUARTILE.INC(Returns_Table[Sales],3)</f>
        <v>3910</v>
      </c>
      <c r="Z10" s="38" t="s">
        <v>386</v>
      </c>
      <c r="AB10" s="24" t="s">
        <v>392</v>
      </c>
      <c r="AC10" s="31">
        <f>COUNTIF(Returns_Table[Customer_Name],AC9)/AC$3</f>
        <v>6.7961165048543687E-2</v>
      </c>
      <c r="AD10" s="31">
        <f>COUNTIF(Returns_Table[City],AD9)/AD$3</f>
        <v>6.7961165048543687E-2</v>
      </c>
      <c r="AE10" s="31">
        <f>COUNTIF(Returns_Table[Country],AE9)/AE$3</f>
        <v>0.10679611650485436</v>
      </c>
      <c r="AF10" s="31">
        <f>COUNTIF(Returns_Table[Territory],AF9)/AF$3</f>
        <v>8.7378640776699032E-2</v>
      </c>
      <c r="AG10" s="31">
        <f>COUNTIF(Returns_Table[Product_Category],AG9)/AG$3</f>
        <v>0.18932038834951456</v>
      </c>
      <c r="AH10" s="31">
        <f>COUNTIF(Returns_Table[Product_Name],AH9)/AH$3</f>
        <v>7.281553398058252E-2</v>
      </c>
      <c r="AI10" s="31">
        <f>COUNTIF(Returns_Table[Deal_Size],AI9)/AI$3</f>
        <v>1.9417475728155338E-2</v>
      </c>
      <c r="AJ10" s="31">
        <f>COUNTIF(Returns_Table[Quantity_Ordered],AJ9)/AJ$3</f>
        <v>4.8543689320388349E-2</v>
      </c>
    </row>
    <row r="11" spans="1:36" ht="15.6" x14ac:dyDescent="0.3">
      <c r="A11" s="3">
        <v>10167</v>
      </c>
      <c r="B11" s="3" t="s">
        <v>415</v>
      </c>
      <c r="C11" s="4">
        <v>37917</v>
      </c>
      <c r="D11" s="4" t="s">
        <v>326</v>
      </c>
      <c r="E11" s="3" t="s">
        <v>164</v>
      </c>
      <c r="F11" s="3" t="s">
        <v>165</v>
      </c>
      <c r="G11" s="3" t="s">
        <v>85</v>
      </c>
      <c r="H11" s="3" t="s">
        <v>25</v>
      </c>
      <c r="I11" s="3" t="s">
        <v>61</v>
      </c>
      <c r="J11" s="3" t="s">
        <v>62</v>
      </c>
      <c r="K11" s="3" t="s">
        <v>261</v>
      </c>
      <c r="L11" s="3">
        <v>43</v>
      </c>
      <c r="M11" s="7">
        <v>15</v>
      </c>
      <c r="N11" s="8">
        <v>645</v>
      </c>
      <c r="O11" s="3" t="s">
        <v>367</v>
      </c>
      <c r="P11" s="3" t="s">
        <v>370</v>
      </c>
      <c r="S11"/>
      <c r="T11" s="23" t="s">
        <v>381</v>
      </c>
      <c r="U11" s="26">
        <f>MAX(Returns_Table[Quantity_Ordered])</f>
        <v>85</v>
      </c>
      <c r="V11" s="38" t="s">
        <v>386</v>
      </c>
      <c r="W11" s="26">
        <f>MAX(Returns_Table[Price_Each])</f>
        <v>250</v>
      </c>
      <c r="X11" s="38" t="s">
        <v>386</v>
      </c>
      <c r="Y11" s="19">
        <f>MAX(Returns_Table[Sales])</f>
        <v>12000</v>
      </c>
      <c r="Z11" s="38" t="s">
        <v>386</v>
      </c>
      <c r="AB11" s="5"/>
      <c r="AC11" s="5"/>
      <c r="AD11" s="5"/>
      <c r="AE11" s="5"/>
      <c r="AF11" s="5"/>
      <c r="AG11" s="5"/>
      <c r="AH11" s="5"/>
      <c r="AI11" s="5"/>
      <c r="AJ11" s="29"/>
    </row>
    <row r="12" spans="1:36" ht="15.6" x14ac:dyDescent="0.3">
      <c r="A12" s="3">
        <v>10167</v>
      </c>
      <c r="B12" s="3" t="s">
        <v>416</v>
      </c>
      <c r="C12" s="4">
        <v>37917</v>
      </c>
      <c r="D12" s="4" t="s">
        <v>326</v>
      </c>
      <c r="E12" s="3" t="s">
        <v>164</v>
      </c>
      <c r="F12" s="3" t="s">
        <v>165</v>
      </c>
      <c r="G12" s="3" t="s">
        <v>85</v>
      </c>
      <c r="H12" s="3" t="s">
        <v>25</v>
      </c>
      <c r="I12" s="3" t="s">
        <v>54</v>
      </c>
      <c r="J12" s="3" t="s">
        <v>166</v>
      </c>
      <c r="K12" s="3" t="s">
        <v>273</v>
      </c>
      <c r="L12" s="3">
        <v>46</v>
      </c>
      <c r="M12" s="7">
        <v>160</v>
      </c>
      <c r="N12" s="8">
        <v>7360</v>
      </c>
      <c r="O12" s="3" t="s">
        <v>367</v>
      </c>
      <c r="P12" s="3" t="s">
        <v>370</v>
      </c>
      <c r="S12"/>
      <c r="T12" s="23" t="s">
        <v>384</v>
      </c>
      <c r="U12" s="26">
        <f>U11-U7</f>
        <v>79</v>
      </c>
      <c r="V12" s="38" t="s">
        <v>386</v>
      </c>
      <c r="W12" s="26">
        <f>W11-W7</f>
        <v>235</v>
      </c>
      <c r="X12" s="38" t="s">
        <v>386</v>
      </c>
      <c r="Y12" s="19">
        <f>Y11-Y7</f>
        <v>11712</v>
      </c>
      <c r="Z12" s="38" t="s">
        <v>386</v>
      </c>
      <c r="AB12" s="5"/>
      <c r="AC12" s="5"/>
      <c r="AD12" s="5"/>
      <c r="AE12" s="5"/>
      <c r="AF12" s="5"/>
      <c r="AG12" s="5"/>
      <c r="AH12" s="5"/>
      <c r="AI12" s="5"/>
      <c r="AJ12" s="21"/>
    </row>
    <row r="13" spans="1:36" ht="15.6" x14ac:dyDescent="0.3">
      <c r="A13" s="3">
        <v>10167</v>
      </c>
      <c r="B13" s="3" t="s">
        <v>417</v>
      </c>
      <c r="C13" s="4">
        <v>37917</v>
      </c>
      <c r="D13" s="4" t="s">
        <v>326</v>
      </c>
      <c r="E13" s="3" t="s">
        <v>164</v>
      </c>
      <c r="F13" s="3" t="s">
        <v>165</v>
      </c>
      <c r="G13" s="3" t="s">
        <v>85</v>
      </c>
      <c r="H13" s="3" t="s">
        <v>25</v>
      </c>
      <c r="I13" s="3" t="s">
        <v>17</v>
      </c>
      <c r="J13" s="3" t="s">
        <v>20</v>
      </c>
      <c r="K13" s="3" t="s">
        <v>242</v>
      </c>
      <c r="L13" s="3">
        <v>34</v>
      </c>
      <c r="M13" s="7">
        <v>48</v>
      </c>
      <c r="N13" s="8">
        <v>1632</v>
      </c>
      <c r="O13" s="3" t="s">
        <v>367</v>
      </c>
      <c r="P13" s="3" t="s">
        <v>370</v>
      </c>
      <c r="S13"/>
      <c r="T13" s="23" t="s">
        <v>382</v>
      </c>
      <c r="U13" s="26">
        <f>SKEW(Returns_Table[Quantity_Ordered])</f>
        <v>0.57605742167428797</v>
      </c>
      <c r="V13" s="38" t="s">
        <v>388</v>
      </c>
      <c r="W13" s="26">
        <f>SKEW(Returns_Table[Price_Each])</f>
        <v>1.3001943192744962</v>
      </c>
      <c r="X13" s="38" t="s">
        <v>388</v>
      </c>
      <c r="Y13" s="19">
        <f>SKEW(Returns_Table[Sales])</f>
        <v>1.3663486125945654</v>
      </c>
      <c r="Z13" s="38" t="s">
        <v>388</v>
      </c>
    </row>
    <row r="14" spans="1:36" ht="16.2" thickBot="1" x14ac:dyDescent="0.35">
      <c r="A14" s="3">
        <v>10167</v>
      </c>
      <c r="B14" s="3" t="s">
        <v>418</v>
      </c>
      <c r="C14" s="4">
        <v>37917</v>
      </c>
      <c r="D14" s="4" t="s">
        <v>326</v>
      </c>
      <c r="E14" s="3" t="s">
        <v>164</v>
      </c>
      <c r="F14" s="3" t="s">
        <v>165</v>
      </c>
      <c r="G14" s="3" t="s">
        <v>85</v>
      </c>
      <c r="H14" s="3" t="s">
        <v>25</v>
      </c>
      <c r="I14" s="3" t="s">
        <v>54</v>
      </c>
      <c r="J14" s="3" t="s">
        <v>56</v>
      </c>
      <c r="K14" s="3" t="s">
        <v>259</v>
      </c>
      <c r="L14" s="3">
        <v>33</v>
      </c>
      <c r="M14" s="7">
        <v>250</v>
      </c>
      <c r="N14" s="8">
        <v>8250</v>
      </c>
      <c r="O14" s="3" t="s">
        <v>367</v>
      </c>
      <c r="P14" s="3" t="s">
        <v>370</v>
      </c>
      <c r="S14"/>
      <c r="T14" s="24" t="s">
        <v>383</v>
      </c>
      <c r="U14" s="27">
        <f>KURT(Returns_Table[Quantity_Ordered])</f>
        <v>0.64304187183990313</v>
      </c>
      <c r="V14" s="39" t="s">
        <v>399</v>
      </c>
      <c r="W14" s="27">
        <f>KURT(Returns_Table[Price_Each])</f>
        <v>0.4160283134495053</v>
      </c>
      <c r="X14" s="39" t="s">
        <v>399</v>
      </c>
      <c r="Y14" s="20">
        <f>KURT(Returns_Table[Sales])</f>
        <v>1.1763341634883369</v>
      </c>
      <c r="Z14" s="39" t="s">
        <v>399</v>
      </c>
    </row>
    <row r="15" spans="1:36" ht="15.6" x14ac:dyDescent="0.3">
      <c r="A15" s="3">
        <v>10167</v>
      </c>
      <c r="B15" s="3" t="s">
        <v>419</v>
      </c>
      <c r="C15" s="4">
        <v>37917</v>
      </c>
      <c r="D15" s="4" t="s">
        <v>326</v>
      </c>
      <c r="E15" s="3" t="s">
        <v>164</v>
      </c>
      <c r="F15" s="3" t="s">
        <v>165</v>
      </c>
      <c r="G15" s="3" t="s">
        <v>85</v>
      </c>
      <c r="H15" s="3" t="s">
        <v>25</v>
      </c>
      <c r="I15" s="3" t="s">
        <v>61</v>
      </c>
      <c r="J15" s="3" t="s">
        <v>62</v>
      </c>
      <c r="K15" s="3" t="s">
        <v>261</v>
      </c>
      <c r="L15" s="3">
        <v>21</v>
      </c>
      <c r="M15" s="7">
        <v>15</v>
      </c>
      <c r="N15" s="8">
        <v>315</v>
      </c>
      <c r="O15" s="3" t="s">
        <v>367</v>
      </c>
      <c r="P15" s="3" t="s">
        <v>370</v>
      </c>
      <c r="S15"/>
    </row>
    <row r="16" spans="1:36" ht="15.6" x14ac:dyDescent="0.3">
      <c r="A16" s="3">
        <v>10167</v>
      </c>
      <c r="B16" s="3" t="s">
        <v>420</v>
      </c>
      <c r="C16" s="4">
        <v>37917</v>
      </c>
      <c r="D16" s="4" t="s">
        <v>326</v>
      </c>
      <c r="E16" s="3" t="s">
        <v>164</v>
      </c>
      <c r="F16" s="3" t="s">
        <v>165</v>
      </c>
      <c r="G16" s="3" t="s">
        <v>85</v>
      </c>
      <c r="H16" s="3" t="s">
        <v>25</v>
      </c>
      <c r="I16" s="3" t="s">
        <v>17</v>
      </c>
      <c r="J16" s="3" t="s">
        <v>20</v>
      </c>
      <c r="K16" s="3" t="s">
        <v>242</v>
      </c>
      <c r="L16" s="3">
        <v>20</v>
      </c>
      <c r="M16" s="7">
        <v>48</v>
      </c>
      <c r="N16" s="8">
        <v>960</v>
      </c>
      <c r="O16" s="3" t="s">
        <v>367</v>
      </c>
      <c r="P16" s="3" t="s">
        <v>370</v>
      </c>
      <c r="S16"/>
      <c r="U16" s="21"/>
      <c r="V16" s="29"/>
    </row>
    <row r="17" spans="1:24" ht="15.6" x14ac:dyDescent="0.3">
      <c r="A17" s="3">
        <v>10167</v>
      </c>
      <c r="B17" s="3" t="s">
        <v>421</v>
      </c>
      <c r="C17" s="4">
        <v>37917</v>
      </c>
      <c r="D17" s="4" t="s">
        <v>326</v>
      </c>
      <c r="E17" s="3" t="s">
        <v>164</v>
      </c>
      <c r="F17" s="3" t="s">
        <v>165</v>
      </c>
      <c r="G17" s="3" t="s">
        <v>85</v>
      </c>
      <c r="H17" s="3" t="s">
        <v>25</v>
      </c>
      <c r="I17" s="3" t="s">
        <v>17</v>
      </c>
      <c r="J17" s="3" t="s">
        <v>20</v>
      </c>
      <c r="K17" s="3" t="s">
        <v>242</v>
      </c>
      <c r="L17" s="3">
        <v>32</v>
      </c>
      <c r="M17" s="7">
        <v>48</v>
      </c>
      <c r="N17" s="8">
        <v>1536</v>
      </c>
      <c r="O17" s="3" t="s">
        <v>367</v>
      </c>
      <c r="P17" s="3" t="s">
        <v>370</v>
      </c>
      <c r="S17"/>
      <c r="X17" s="29"/>
    </row>
    <row r="18" spans="1:24" ht="15.6" x14ac:dyDescent="0.3">
      <c r="A18" s="3">
        <v>10167</v>
      </c>
      <c r="B18" s="3" t="s">
        <v>422</v>
      </c>
      <c r="C18" s="4">
        <v>37917</v>
      </c>
      <c r="D18" s="4" t="s">
        <v>326</v>
      </c>
      <c r="E18" s="3" t="s">
        <v>164</v>
      </c>
      <c r="F18" s="3" t="s">
        <v>165</v>
      </c>
      <c r="G18" s="3" t="s">
        <v>85</v>
      </c>
      <c r="H18" s="3" t="s">
        <v>25</v>
      </c>
      <c r="I18" s="3" t="s">
        <v>17</v>
      </c>
      <c r="J18" s="3" t="s">
        <v>20</v>
      </c>
      <c r="K18" s="3" t="s">
        <v>242</v>
      </c>
      <c r="L18" s="3">
        <v>29</v>
      </c>
      <c r="M18" s="7">
        <v>48</v>
      </c>
      <c r="N18" s="8">
        <v>1392</v>
      </c>
      <c r="O18" s="3" t="s">
        <v>367</v>
      </c>
      <c r="P18" s="3" t="s">
        <v>370</v>
      </c>
      <c r="S18"/>
    </row>
    <row r="19" spans="1:24" ht="15.6" x14ac:dyDescent="0.3">
      <c r="A19" s="3">
        <v>10167</v>
      </c>
      <c r="B19" s="3" t="s">
        <v>423</v>
      </c>
      <c r="C19" s="4">
        <v>37917</v>
      </c>
      <c r="D19" s="4" t="s">
        <v>326</v>
      </c>
      <c r="E19" s="3" t="s">
        <v>164</v>
      </c>
      <c r="F19" s="3" t="s">
        <v>165</v>
      </c>
      <c r="G19" s="3" t="s">
        <v>85</v>
      </c>
      <c r="H19" s="3" t="s">
        <v>25</v>
      </c>
      <c r="I19" s="3" t="s">
        <v>54</v>
      </c>
      <c r="J19" s="3" t="s">
        <v>57</v>
      </c>
      <c r="K19" s="3" t="s">
        <v>260</v>
      </c>
      <c r="L19" s="3">
        <v>43</v>
      </c>
      <c r="M19" s="7">
        <v>220</v>
      </c>
      <c r="N19" s="8">
        <v>9460</v>
      </c>
      <c r="O19" s="3" t="s">
        <v>367</v>
      </c>
      <c r="P19" s="3" t="s">
        <v>370</v>
      </c>
      <c r="S19"/>
    </row>
    <row r="20" spans="1:24" ht="15.6" x14ac:dyDescent="0.3">
      <c r="A20" s="3">
        <v>10167</v>
      </c>
      <c r="B20" s="3" t="s">
        <v>424</v>
      </c>
      <c r="C20" s="4">
        <v>37917</v>
      </c>
      <c r="D20" s="4" t="s">
        <v>326</v>
      </c>
      <c r="E20" s="3" t="s">
        <v>164</v>
      </c>
      <c r="F20" s="3" t="s">
        <v>165</v>
      </c>
      <c r="G20" s="3" t="s">
        <v>85</v>
      </c>
      <c r="H20" s="3" t="s">
        <v>25</v>
      </c>
      <c r="I20" s="3" t="s">
        <v>54</v>
      </c>
      <c r="J20" s="3" t="s">
        <v>57</v>
      </c>
      <c r="K20" s="3" t="s">
        <v>260</v>
      </c>
      <c r="L20" s="3">
        <v>29</v>
      </c>
      <c r="M20" s="7">
        <v>220</v>
      </c>
      <c r="N20" s="8">
        <v>6380</v>
      </c>
      <c r="O20" s="3" t="s">
        <v>367</v>
      </c>
      <c r="P20" s="3" t="s">
        <v>370</v>
      </c>
      <c r="S20"/>
    </row>
    <row r="21" spans="1:24" ht="15.6" x14ac:dyDescent="0.3">
      <c r="A21" s="3">
        <v>10167</v>
      </c>
      <c r="B21" s="3" t="s">
        <v>425</v>
      </c>
      <c r="C21" s="4">
        <v>37917</v>
      </c>
      <c r="D21" s="4" t="s">
        <v>326</v>
      </c>
      <c r="E21" s="3" t="s">
        <v>164</v>
      </c>
      <c r="F21" s="3" t="s">
        <v>165</v>
      </c>
      <c r="G21" s="3" t="s">
        <v>85</v>
      </c>
      <c r="H21" s="3" t="s">
        <v>25</v>
      </c>
      <c r="I21" s="3" t="s">
        <v>54</v>
      </c>
      <c r="J21" s="3" t="s">
        <v>55</v>
      </c>
      <c r="K21" s="3" t="s">
        <v>258</v>
      </c>
      <c r="L21" s="3">
        <v>46</v>
      </c>
      <c r="M21" s="7">
        <v>180</v>
      </c>
      <c r="N21" s="8">
        <v>8280</v>
      </c>
      <c r="O21" s="3" t="s">
        <v>367</v>
      </c>
      <c r="P21" s="3" t="s">
        <v>370</v>
      </c>
      <c r="S21"/>
    </row>
    <row r="22" spans="1:24" ht="15.6" x14ac:dyDescent="0.3">
      <c r="A22" s="3">
        <v>10167</v>
      </c>
      <c r="B22" s="3" t="s">
        <v>426</v>
      </c>
      <c r="C22" s="4">
        <v>37917</v>
      </c>
      <c r="D22" s="4" t="s">
        <v>326</v>
      </c>
      <c r="E22" s="3" t="s">
        <v>164</v>
      </c>
      <c r="F22" s="3" t="s">
        <v>165</v>
      </c>
      <c r="G22" s="3" t="s">
        <v>85</v>
      </c>
      <c r="H22" s="3" t="s">
        <v>25</v>
      </c>
      <c r="I22" s="3" t="s">
        <v>54</v>
      </c>
      <c r="J22" s="3" t="s">
        <v>55</v>
      </c>
      <c r="K22" s="3" t="s">
        <v>258</v>
      </c>
      <c r="L22" s="3">
        <v>24</v>
      </c>
      <c r="M22" s="7">
        <v>180</v>
      </c>
      <c r="N22" s="8">
        <v>4320</v>
      </c>
      <c r="O22" s="3" t="s">
        <v>367</v>
      </c>
      <c r="P22" s="3" t="s">
        <v>370</v>
      </c>
      <c r="S22"/>
    </row>
    <row r="23" spans="1:24" ht="15.6" x14ac:dyDescent="0.3">
      <c r="A23" s="3">
        <v>10167</v>
      </c>
      <c r="B23" s="3" t="s">
        <v>427</v>
      </c>
      <c r="C23" s="4">
        <v>37917</v>
      </c>
      <c r="D23" s="4" t="s">
        <v>326</v>
      </c>
      <c r="E23" s="3" t="s">
        <v>164</v>
      </c>
      <c r="F23" s="3" t="s">
        <v>165</v>
      </c>
      <c r="G23" s="3" t="s">
        <v>85</v>
      </c>
      <c r="H23" s="3" t="s">
        <v>25</v>
      </c>
      <c r="I23" s="3" t="s">
        <v>54</v>
      </c>
      <c r="J23" s="3" t="s">
        <v>55</v>
      </c>
      <c r="K23" s="3" t="s">
        <v>258</v>
      </c>
      <c r="L23" s="3">
        <v>28</v>
      </c>
      <c r="M23" s="7">
        <v>180</v>
      </c>
      <c r="N23" s="8">
        <v>5040</v>
      </c>
      <c r="O23" s="3" t="s">
        <v>367</v>
      </c>
      <c r="P23" s="3" t="s">
        <v>370</v>
      </c>
      <c r="S23"/>
      <c r="T23" s="5" t="s">
        <v>396</v>
      </c>
    </row>
    <row r="24" spans="1:24" ht="15.6" x14ac:dyDescent="0.3">
      <c r="A24" s="3">
        <v>10167</v>
      </c>
      <c r="B24" s="3" t="s">
        <v>428</v>
      </c>
      <c r="C24" s="4">
        <v>37917</v>
      </c>
      <c r="D24" s="4" t="s">
        <v>326</v>
      </c>
      <c r="E24" s="3" t="s">
        <v>164</v>
      </c>
      <c r="F24" s="3" t="s">
        <v>165</v>
      </c>
      <c r="G24" s="3" t="s">
        <v>85</v>
      </c>
      <c r="H24" s="3" t="s">
        <v>25</v>
      </c>
      <c r="I24" s="3" t="s">
        <v>61</v>
      </c>
      <c r="J24" s="3" t="s">
        <v>66</v>
      </c>
      <c r="K24" s="3" t="s">
        <v>265</v>
      </c>
      <c r="L24" s="3">
        <v>40</v>
      </c>
      <c r="M24" s="7">
        <v>35</v>
      </c>
      <c r="N24" s="8">
        <v>1400</v>
      </c>
      <c r="O24" s="3" t="s">
        <v>367</v>
      </c>
      <c r="P24" s="3" t="s">
        <v>370</v>
      </c>
      <c r="S24"/>
    </row>
    <row r="25" spans="1:24" ht="15.6" x14ac:dyDescent="0.3">
      <c r="A25" s="3">
        <v>10167</v>
      </c>
      <c r="B25" s="3" t="s">
        <v>429</v>
      </c>
      <c r="C25" s="4">
        <v>37917</v>
      </c>
      <c r="D25" s="4" t="s">
        <v>326</v>
      </c>
      <c r="E25" s="3" t="s">
        <v>164</v>
      </c>
      <c r="F25" s="3" t="s">
        <v>165</v>
      </c>
      <c r="G25" s="3" t="s">
        <v>85</v>
      </c>
      <c r="H25" s="3" t="s">
        <v>25</v>
      </c>
      <c r="I25" s="3" t="s">
        <v>54</v>
      </c>
      <c r="J25" s="3" t="s">
        <v>57</v>
      </c>
      <c r="K25" s="3" t="s">
        <v>260</v>
      </c>
      <c r="L25" s="3">
        <v>38</v>
      </c>
      <c r="M25" s="7">
        <v>220</v>
      </c>
      <c r="N25" s="8">
        <v>8360</v>
      </c>
      <c r="O25" s="3" t="s">
        <v>367</v>
      </c>
      <c r="P25" s="3" t="s">
        <v>370</v>
      </c>
      <c r="S25"/>
    </row>
    <row r="26" spans="1:24" ht="15.6" x14ac:dyDescent="0.3">
      <c r="A26" s="3">
        <v>10248</v>
      </c>
      <c r="B26" s="3" t="s">
        <v>430</v>
      </c>
      <c r="C26" s="4">
        <v>38114</v>
      </c>
      <c r="D26" s="4" t="s">
        <v>282</v>
      </c>
      <c r="E26" s="3" t="s">
        <v>67</v>
      </c>
      <c r="F26" s="3" t="s">
        <v>28</v>
      </c>
      <c r="G26" s="3" t="s">
        <v>15</v>
      </c>
      <c r="H26" s="3" t="s">
        <v>16</v>
      </c>
      <c r="I26" s="3" t="s">
        <v>32</v>
      </c>
      <c r="J26" s="3" t="s">
        <v>45</v>
      </c>
      <c r="K26" s="3" t="s">
        <v>253</v>
      </c>
      <c r="L26" s="3">
        <v>20</v>
      </c>
      <c r="M26" s="7">
        <v>35</v>
      </c>
      <c r="N26" s="8">
        <v>700</v>
      </c>
      <c r="O26" s="3" t="s">
        <v>367</v>
      </c>
      <c r="P26" s="3" t="s">
        <v>370</v>
      </c>
      <c r="S26"/>
    </row>
    <row r="27" spans="1:24" ht="15.6" x14ac:dyDescent="0.3">
      <c r="A27" s="3">
        <v>10248</v>
      </c>
      <c r="B27" s="3" t="s">
        <v>431</v>
      </c>
      <c r="C27" s="4">
        <v>38114</v>
      </c>
      <c r="D27" s="4" t="s">
        <v>282</v>
      </c>
      <c r="E27" s="3" t="s">
        <v>67</v>
      </c>
      <c r="F27" s="3" t="s">
        <v>28</v>
      </c>
      <c r="G27" s="3" t="s">
        <v>15</v>
      </c>
      <c r="H27" s="3" t="s">
        <v>16</v>
      </c>
      <c r="I27" s="3" t="s">
        <v>54</v>
      </c>
      <c r="J27" s="3" t="s">
        <v>57</v>
      </c>
      <c r="K27" s="3" t="s">
        <v>260</v>
      </c>
      <c r="L27" s="3">
        <v>21</v>
      </c>
      <c r="M27" s="7">
        <v>220</v>
      </c>
      <c r="N27" s="8">
        <v>4620</v>
      </c>
      <c r="O27" s="3" t="s">
        <v>367</v>
      </c>
      <c r="P27" s="3" t="s">
        <v>370</v>
      </c>
      <c r="S27"/>
    </row>
    <row r="28" spans="1:24" ht="15.6" x14ac:dyDescent="0.3">
      <c r="A28" s="3">
        <v>10248</v>
      </c>
      <c r="B28" s="3" t="s">
        <v>432</v>
      </c>
      <c r="C28" s="4">
        <v>38114</v>
      </c>
      <c r="D28" s="4" t="s">
        <v>282</v>
      </c>
      <c r="E28" s="3" t="s">
        <v>67</v>
      </c>
      <c r="F28" s="3" t="s">
        <v>28</v>
      </c>
      <c r="G28" s="3" t="s">
        <v>15</v>
      </c>
      <c r="H28" s="3" t="s">
        <v>16</v>
      </c>
      <c r="I28" s="3" t="s">
        <v>17</v>
      </c>
      <c r="J28" s="3" t="s">
        <v>26</v>
      </c>
      <c r="K28" s="3" t="s">
        <v>244</v>
      </c>
      <c r="L28" s="3">
        <v>32</v>
      </c>
      <c r="M28" s="7">
        <v>60</v>
      </c>
      <c r="N28" s="8">
        <v>1920</v>
      </c>
      <c r="O28" s="3" t="s">
        <v>367</v>
      </c>
      <c r="P28" s="3" t="s">
        <v>370</v>
      </c>
      <c r="S28"/>
    </row>
    <row r="29" spans="1:24" ht="15.6" x14ac:dyDescent="0.3">
      <c r="A29" s="3">
        <v>10248</v>
      </c>
      <c r="B29" s="3" t="s">
        <v>433</v>
      </c>
      <c r="C29" s="4">
        <v>38114</v>
      </c>
      <c r="D29" s="4" t="s">
        <v>282</v>
      </c>
      <c r="E29" s="3" t="s">
        <v>67</v>
      </c>
      <c r="F29" s="3" t="s">
        <v>28</v>
      </c>
      <c r="G29" s="3" t="s">
        <v>15</v>
      </c>
      <c r="H29" s="3" t="s">
        <v>16</v>
      </c>
      <c r="I29" s="3" t="s">
        <v>47</v>
      </c>
      <c r="J29" s="3" t="s">
        <v>48</v>
      </c>
      <c r="K29" s="3" t="s">
        <v>255</v>
      </c>
      <c r="L29" s="3">
        <v>42</v>
      </c>
      <c r="M29" s="7">
        <v>70</v>
      </c>
      <c r="N29" s="8">
        <v>2940</v>
      </c>
      <c r="O29" s="3" t="s">
        <v>367</v>
      </c>
      <c r="P29" s="3" t="s">
        <v>370</v>
      </c>
      <c r="S29"/>
    </row>
    <row r="30" spans="1:24" ht="15.6" x14ac:dyDescent="0.3">
      <c r="A30" s="3">
        <v>10248</v>
      </c>
      <c r="B30" s="3" t="s">
        <v>434</v>
      </c>
      <c r="C30" s="4">
        <v>38114</v>
      </c>
      <c r="D30" s="4" t="s">
        <v>282</v>
      </c>
      <c r="E30" s="3" t="s">
        <v>67</v>
      </c>
      <c r="F30" s="3" t="s">
        <v>28</v>
      </c>
      <c r="G30" s="3" t="s">
        <v>15</v>
      </c>
      <c r="H30" s="3" t="s">
        <v>16</v>
      </c>
      <c r="I30" s="3" t="s">
        <v>17</v>
      </c>
      <c r="J30" s="3" t="s">
        <v>26</v>
      </c>
      <c r="K30" s="3" t="s">
        <v>244</v>
      </c>
      <c r="L30" s="3">
        <v>42</v>
      </c>
      <c r="M30" s="7">
        <v>60</v>
      </c>
      <c r="N30" s="8">
        <v>2520</v>
      </c>
      <c r="O30" s="3" t="s">
        <v>367</v>
      </c>
      <c r="P30" s="3" t="s">
        <v>370</v>
      </c>
      <c r="S30"/>
    </row>
    <row r="31" spans="1:24" ht="15.6" x14ac:dyDescent="0.3">
      <c r="A31" s="3">
        <v>10248</v>
      </c>
      <c r="B31" s="3" t="s">
        <v>435</v>
      </c>
      <c r="C31" s="4">
        <v>38114</v>
      </c>
      <c r="D31" s="4" t="s">
        <v>282</v>
      </c>
      <c r="E31" s="3" t="s">
        <v>67</v>
      </c>
      <c r="F31" s="3" t="s">
        <v>28</v>
      </c>
      <c r="G31" s="3" t="s">
        <v>15</v>
      </c>
      <c r="H31" s="3" t="s">
        <v>16</v>
      </c>
      <c r="I31" s="3" t="s">
        <v>54</v>
      </c>
      <c r="J31" s="3" t="s">
        <v>56</v>
      </c>
      <c r="K31" s="3" t="s">
        <v>259</v>
      </c>
      <c r="L31" s="3">
        <v>48</v>
      </c>
      <c r="M31" s="7">
        <v>250</v>
      </c>
      <c r="N31" s="8">
        <v>12000</v>
      </c>
      <c r="O31" s="3" t="s">
        <v>367</v>
      </c>
      <c r="P31" s="3" t="s">
        <v>370</v>
      </c>
      <c r="S31"/>
    </row>
    <row r="32" spans="1:24" ht="15.6" x14ac:dyDescent="0.3">
      <c r="A32" s="3">
        <v>10248</v>
      </c>
      <c r="B32" s="3" t="s">
        <v>436</v>
      </c>
      <c r="C32" s="4">
        <v>38114</v>
      </c>
      <c r="D32" s="4" t="s">
        <v>282</v>
      </c>
      <c r="E32" s="3" t="s">
        <v>67</v>
      </c>
      <c r="F32" s="3" t="s">
        <v>28</v>
      </c>
      <c r="G32" s="3" t="s">
        <v>15</v>
      </c>
      <c r="H32" s="3" t="s">
        <v>16</v>
      </c>
      <c r="I32" s="3" t="s">
        <v>17</v>
      </c>
      <c r="J32" s="3" t="s">
        <v>82</v>
      </c>
      <c r="K32" s="3" t="s">
        <v>270</v>
      </c>
      <c r="L32" s="3">
        <v>30</v>
      </c>
      <c r="M32" s="7">
        <v>75</v>
      </c>
      <c r="N32" s="8">
        <v>2250</v>
      </c>
      <c r="O32" s="3" t="s">
        <v>367</v>
      </c>
      <c r="P32" s="3" t="s">
        <v>370</v>
      </c>
      <c r="S32"/>
    </row>
    <row r="33" spans="1:19" ht="15.6" x14ac:dyDescent="0.3">
      <c r="A33" s="3">
        <v>10248</v>
      </c>
      <c r="B33" s="3" t="s">
        <v>437</v>
      </c>
      <c r="C33" s="4">
        <v>38114</v>
      </c>
      <c r="D33" s="4" t="s">
        <v>282</v>
      </c>
      <c r="E33" s="3" t="s">
        <v>67</v>
      </c>
      <c r="F33" s="3" t="s">
        <v>28</v>
      </c>
      <c r="G33" s="3" t="s">
        <v>15</v>
      </c>
      <c r="H33" s="3" t="s">
        <v>16</v>
      </c>
      <c r="I33" s="3" t="s">
        <v>17</v>
      </c>
      <c r="J33" s="3" t="s">
        <v>20</v>
      </c>
      <c r="K33" s="3" t="s">
        <v>242</v>
      </c>
      <c r="L33" s="3">
        <v>23</v>
      </c>
      <c r="M33" s="7">
        <v>48</v>
      </c>
      <c r="N33" s="8">
        <v>1104</v>
      </c>
      <c r="O33" s="3" t="s">
        <v>367</v>
      </c>
      <c r="P33" s="3" t="s">
        <v>370</v>
      </c>
      <c r="S33"/>
    </row>
    <row r="34" spans="1:19" ht="15.6" x14ac:dyDescent="0.3">
      <c r="A34" s="3">
        <v>10248</v>
      </c>
      <c r="B34" s="3" t="s">
        <v>438</v>
      </c>
      <c r="C34" s="4">
        <v>38114</v>
      </c>
      <c r="D34" s="4" t="s">
        <v>282</v>
      </c>
      <c r="E34" s="3" t="s">
        <v>67</v>
      </c>
      <c r="F34" s="3" t="s">
        <v>28</v>
      </c>
      <c r="G34" s="3" t="s">
        <v>15</v>
      </c>
      <c r="H34" s="3" t="s">
        <v>16</v>
      </c>
      <c r="I34" s="3" t="s">
        <v>54</v>
      </c>
      <c r="J34" s="3" t="s">
        <v>57</v>
      </c>
      <c r="K34" s="3" t="s">
        <v>260</v>
      </c>
      <c r="L34" s="3">
        <v>36</v>
      </c>
      <c r="M34" s="7">
        <v>220</v>
      </c>
      <c r="N34" s="8">
        <v>7920</v>
      </c>
      <c r="O34" s="3" t="s">
        <v>367</v>
      </c>
      <c r="P34" s="3" t="s">
        <v>370</v>
      </c>
      <c r="S34"/>
    </row>
    <row r="35" spans="1:19" ht="15.6" x14ac:dyDescent="0.3">
      <c r="A35" s="3">
        <v>10248</v>
      </c>
      <c r="B35" s="3" t="s">
        <v>439</v>
      </c>
      <c r="C35" s="4">
        <v>38114</v>
      </c>
      <c r="D35" s="4" t="s">
        <v>282</v>
      </c>
      <c r="E35" s="3" t="s">
        <v>67</v>
      </c>
      <c r="F35" s="3" t="s">
        <v>28</v>
      </c>
      <c r="G35" s="3" t="s">
        <v>15</v>
      </c>
      <c r="H35" s="3" t="s">
        <v>16</v>
      </c>
      <c r="I35" s="3" t="s">
        <v>54</v>
      </c>
      <c r="J35" s="3" t="s">
        <v>57</v>
      </c>
      <c r="K35" s="3" t="s">
        <v>260</v>
      </c>
      <c r="L35" s="3">
        <v>40</v>
      </c>
      <c r="M35" s="7">
        <v>220</v>
      </c>
      <c r="N35" s="8">
        <v>8800</v>
      </c>
      <c r="O35" s="3" t="s">
        <v>367</v>
      </c>
      <c r="P35" s="3" t="s">
        <v>370</v>
      </c>
      <c r="S35"/>
    </row>
    <row r="36" spans="1:19" ht="15.6" x14ac:dyDescent="0.3">
      <c r="A36" s="3">
        <v>10248</v>
      </c>
      <c r="B36" s="3" t="s">
        <v>440</v>
      </c>
      <c r="C36" s="4">
        <v>38114</v>
      </c>
      <c r="D36" s="4" t="s">
        <v>282</v>
      </c>
      <c r="E36" s="3" t="s">
        <v>67</v>
      </c>
      <c r="F36" s="3" t="s">
        <v>28</v>
      </c>
      <c r="G36" s="3" t="s">
        <v>15</v>
      </c>
      <c r="H36" s="3" t="s">
        <v>16</v>
      </c>
      <c r="I36" s="3" t="s">
        <v>54</v>
      </c>
      <c r="J36" s="3" t="s">
        <v>56</v>
      </c>
      <c r="K36" s="3" t="s">
        <v>259</v>
      </c>
      <c r="L36" s="3">
        <v>32</v>
      </c>
      <c r="M36" s="7">
        <v>250</v>
      </c>
      <c r="N36" s="8">
        <v>8000</v>
      </c>
      <c r="O36" s="3" t="s">
        <v>367</v>
      </c>
      <c r="P36" s="3" t="s">
        <v>370</v>
      </c>
      <c r="S36"/>
    </row>
    <row r="37" spans="1:19" ht="15.6" x14ac:dyDescent="0.3">
      <c r="A37" s="3">
        <v>10248</v>
      </c>
      <c r="B37" s="3" t="s">
        <v>441</v>
      </c>
      <c r="C37" s="4">
        <v>38114</v>
      </c>
      <c r="D37" s="4" t="s">
        <v>282</v>
      </c>
      <c r="E37" s="3" t="s">
        <v>67</v>
      </c>
      <c r="F37" s="3" t="s">
        <v>28</v>
      </c>
      <c r="G37" s="3" t="s">
        <v>15</v>
      </c>
      <c r="H37" s="3" t="s">
        <v>16</v>
      </c>
      <c r="I37" s="3" t="s">
        <v>54</v>
      </c>
      <c r="J37" s="3" t="s">
        <v>57</v>
      </c>
      <c r="K37" s="3" t="s">
        <v>260</v>
      </c>
      <c r="L37" s="3">
        <v>30</v>
      </c>
      <c r="M37" s="7">
        <v>220</v>
      </c>
      <c r="N37" s="8">
        <v>6600</v>
      </c>
      <c r="O37" s="3" t="s">
        <v>367</v>
      </c>
      <c r="P37" s="3" t="s">
        <v>370</v>
      </c>
      <c r="S37"/>
    </row>
    <row r="38" spans="1:19" ht="15.6" x14ac:dyDescent="0.3">
      <c r="A38" s="3">
        <v>10248</v>
      </c>
      <c r="B38" s="3" t="s">
        <v>442</v>
      </c>
      <c r="C38" s="4">
        <v>38114</v>
      </c>
      <c r="D38" s="4" t="s">
        <v>282</v>
      </c>
      <c r="E38" s="3" t="s">
        <v>67</v>
      </c>
      <c r="F38" s="3" t="s">
        <v>28</v>
      </c>
      <c r="G38" s="3" t="s">
        <v>15</v>
      </c>
      <c r="H38" s="3" t="s">
        <v>16</v>
      </c>
      <c r="I38" s="3" t="s">
        <v>54</v>
      </c>
      <c r="J38" s="3" t="s">
        <v>166</v>
      </c>
      <c r="K38" s="3" t="s">
        <v>273</v>
      </c>
      <c r="L38" s="3">
        <v>35</v>
      </c>
      <c r="M38" s="7">
        <v>160</v>
      </c>
      <c r="N38" s="8">
        <v>5600</v>
      </c>
      <c r="O38" s="3" t="s">
        <v>367</v>
      </c>
      <c r="P38" s="3" t="s">
        <v>370</v>
      </c>
      <c r="S38"/>
    </row>
    <row r="39" spans="1:19" ht="15.6" x14ac:dyDescent="0.3">
      <c r="A39" s="3">
        <v>10248</v>
      </c>
      <c r="B39" s="3" t="s">
        <v>443</v>
      </c>
      <c r="C39" s="4">
        <v>38114</v>
      </c>
      <c r="D39" s="4" t="s">
        <v>282</v>
      </c>
      <c r="E39" s="3" t="s">
        <v>67</v>
      </c>
      <c r="F39" s="3" t="s">
        <v>28</v>
      </c>
      <c r="G39" s="3" t="s">
        <v>15</v>
      </c>
      <c r="H39" s="3" t="s">
        <v>16</v>
      </c>
      <c r="I39" s="3" t="s">
        <v>54</v>
      </c>
      <c r="J39" s="3" t="s">
        <v>57</v>
      </c>
      <c r="K39" s="3" t="s">
        <v>260</v>
      </c>
      <c r="L39" s="3">
        <v>23</v>
      </c>
      <c r="M39" s="7">
        <v>220</v>
      </c>
      <c r="N39" s="8">
        <v>5060</v>
      </c>
      <c r="O39" s="3" t="s">
        <v>367</v>
      </c>
      <c r="P39" s="3" t="s">
        <v>370</v>
      </c>
      <c r="S39"/>
    </row>
    <row r="40" spans="1:19" ht="15.6" x14ac:dyDescent="0.3">
      <c r="A40" s="3">
        <v>10253</v>
      </c>
      <c r="B40" s="3" t="s">
        <v>444</v>
      </c>
      <c r="C40" s="4">
        <v>38139</v>
      </c>
      <c r="D40" s="4" t="s">
        <v>320</v>
      </c>
      <c r="E40" s="3" t="s">
        <v>154</v>
      </c>
      <c r="F40" s="3" t="s">
        <v>155</v>
      </c>
      <c r="G40" s="3" t="s">
        <v>81</v>
      </c>
      <c r="H40" s="3" t="s">
        <v>25</v>
      </c>
      <c r="I40" s="3" t="s">
        <v>32</v>
      </c>
      <c r="J40" s="3" t="s">
        <v>45</v>
      </c>
      <c r="K40" s="3" t="s">
        <v>253</v>
      </c>
      <c r="L40" s="3">
        <v>24</v>
      </c>
      <c r="M40" s="7">
        <v>35</v>
      </c>
      <c r="N40" s="8">
        <v>840</v>
      </c>
      <c r="O40" s="3" t="s">
        <v>367</v>
      </c>
      <c r="P40" s="3" t="s">
        <v>370</v>
      </c>
      <c r="S40"/>
    </row>
    <row r="41" spans="1:19" ht="15.6" x14ac:dyDescent="0.3">
      <c r="A41" s="3">
        <v>10253</v>
      </c>
      <c r="B41" s="3" t="s">
        <v>445</v>
      </c>
      <c r="C41" s="4">
        <v>38139</v>
      </c>
      <c r="D41" s="4" t="s">
        <v>320</v>
      </c>
      <c r="E41" s="3" t="s">
        <v>154</v>
      </c>
      <c r="F41" s="3" t="s">
        <v>155</v>
      </c>
      <c r="G41" s="3" t="s">
        <v>81</v>
      </c>
      <c r="H41" s="3" t="s">
        <v>25</v>
      </c>
      <c r="I41" s="3" t="s">
        <v>32</v>
      </c>
      <c r="J41" s="3" t="s">
        <v>46</v>
      </c>
      <c r="K41" s="3" t="s">
        <v>254</v>
      </c>
      <c r="L41" s="3">
        <v>22</v>
      </c>
      <c r="M41" s="7">
        <v>90</v>
      </c>
      <c r="N41" s="8">
        <v>1980</v>
      </c>
      <c r="O41" s="3" t="s">
        <v>367</v>
      </c>
      <c r="P41" s="3" t="s">
        <v>370</v>
      </c>
      <c r="S41"/>
    </row>
    <row r="42" spans="1:19" ht="15.6" x14ac:dyDescent="0.3">
      <c r="A42" s="3">
        <v>10253</v>
      </c>
      <c r="B42" s="3" t="s">
        <v>446</v>
      </c>
      <c r="C42" s="4">
        <v>38139</v>
      </c>
      <c r="D42" s="4" t="s">
        <v>320</v>
      </c>
      <c r="E42" s="3" t="s">
        <v>154</v>
      </c>
      <c r="F42" s="3" t="s">
        <v>155</v>
      </c>
      <c r="G42" s="3" t="s">
        <v>81</v>
      </c>
      <c r="H42" s="3" t="s">
        <v>25</v>
      </c>
      <c r="I42" s="3" t="s">
        <v>32</v>
      </c>
      <c r="J42" s="3" t="s">
        <v>46</v>
      </c>
      <c r="K42" s="3" t="s">
        <v>254</v>
      </c>
      <c r="L42" s="3">
        <v>25</v>
      </c>
      <c r="M42" s="7">
        <v>90</v>
      </c>
      <c r="N42" s="8">
        <v>2250</v>
      </c>
      <c r="O42" s="3" t="s">
        <v>367</v>
      </c>
      <c r="P42" s="3" t="s">
        <v>370</v>
      </c>
      <c r="S42"/>
    </row>
    <row r="43" spans="1:19" ht="15.6" x14ac:dyDescent="0.3">
      <c r="A43" s="3">
        <v>10253</v>
      </c>
      <c r="B43" s="3" t="s">
        <v>447</v>
      </c>
      <c r="C43" s="4">
        <v>38139</v>
      </c>
      <c r="D43" s="4" t="s">
        <v>320</v>
      </c>
      <c r="E43" s="3" t="s">
        <v>154</v>
      </c>
      <c r="F43" s="3" t="s">
        <v>155</v>
      </c>
      <c r="G43" s="3" t="s">
        <v>81</v>
      </c>
      <c r="H43" s="3" t="s">
        <v>25</v>
      </c>
      <c r="I43" s="3" t="s">
        <v>32</v>
      </c>
      <c r="J43" s="3" t="s">
        <v>33</v>
      </c>
      <c r="K43" s="3" t="s">
        <v>245</v>
      </c>
      <c r="L43" s="3">
        <v>41</v>
      </c>
      <c r="M43" s="7">
        <v>85</v>
      </c>
      <c r="N43" s="8">
        <v>3485</v>
      </c>
      <c r="O43" s="3" t="s">
        <v>367</v>
      </c>
      <c r="P43" s="3" t="s">
        <v>370</v>
      </c>
      <c r="S43"/>
    </row>
    <row r="44" spans="1:19" ht="15.6" x14ac:dyDescent="0.3">
      <c r="A44" s="3">
        <v>10253</v>
      </c>
      <c r="B44" s="3" t="s">
        <v>448</v>
      </c>
      <c r="C44" s="4">
        <v>38139</v>
      </c>
      <c r="D44" s="4" t="s">
        <v>320</v>
      </c>
      <c r="E44" s="3" t="s">
        <v>154</v>
      </c>
      <c r="F44" s="3" t="s">
        <v>155</v>
      </c>
      <c r="G44" s="3" t="s">
        <v>81</v>
      </c>
      <c r="H44" s="3" t="s">
        <v>25</v>
      </c>
      <c r="I44" s="3" t="s">
        <v>32</v>
      </c>
      <c r="J44" s="3" t="s">
        <v>33</v>
      </c>
      <c r="K44" s="3" t="s">
        <v>245</v>
      </c>
      <c r="L44" s="3">
        <v>26</v>
      </c>
      <c r="M44" s="7">
        <v>85</v>
      </c>
      <c r="N44" s="8">
        <v>2210</v>
      </c>
      <c r="O44" s="3" t="s">
        <v>367</v>
      </c>
      <c r="P44" s="3" t="s">
        <v>370</v>
      </c>
      <c r="S44"/>
    </row>
    <row r="45" spans="1:19" ht="15.6" x14ac:dyDescent="0.3">
      <c r="A45" s="3">
        <v>10253</v>
      </c>
      <c r="B45" s="3" t="s">
        <v>449</v>
      </c>
      <c r="C45" s="4">
        <v>38139</v>
      </c>
      <c r="D45" s="4" t="s">
        <v>320</v>
      </c>
      <c r="E45" s="3" t="s">
        <v>154</v>
      </c>
      <c r="F45" s="3" t="s">
        <v>155</v>
      </c>
      <c r="G45" s="3" t="s">
        <v>81</v>
      </c>
      <c r="H45" s="3" t="s">
        <v>25</v>
      </c>
      <c r="I45" s="3" t="s">
        <v>32</v>
      </c>
      <c r="J45" s="3" t="s">
        <v>46</v>
      </c>
      <c r="K45" s="3" t="s">
        <v>254</v>
      </c>
      <c r="L45" s="3">
        <v>24</v>
      </c>
      <c r="M45" s="7">
        <v>90</v>
      </c>
      <c r="N45" s="8">
        <v>2160</v>
      </c>
      <c r="O45" s="3" t="s">
        <v>367</v>
      </c>
      <c r="P45" s="3" t="s">
        <v>370</v>
      </c>
      <c r="S45"/>
    </row>
    <row r="46" spans="1:19" ht="15.6" x14ac:dyDescent="0.3">
      <c r="A46" s="3">
        <v>10253</v>
      </c>
      <c r="B46" s="3" t="s">
        <v>450</v>
      </c>
      <c r="C46" s="4">
        <v>38139</v>
      </c>
      <c r="D46" s="4" t="s">
        <v>320</v>
      </c>
      <c r="E46" s="3" t="s">
        <v>154</v>
      </c>
      <c r="F46" s="3" t="s">
        <v>155</v>
      </c>
      <c r="G46" s="3" t="s">
        <v>81</v>
      </c>
      <c r="H46" s="3" t="s">
        <v>25</v>
      </c>
      <c r="I46" s="3" t="s">
        <v>32</v>
      </c>
      <c r="J46" s="3" t="s">
        <v>34</v>
      </c>
      <c r="K46" s="3" t="s">
        <v>246</v>
      </c>
      <c r="L46" s="3">
        <v>23</v>
      </c>
      <c r="M46" s="7">
        <v>80</v>
      </c>
      <c r="N46" s="8">
        <v>1840</v>
      </c>
      <c r="O46" s="3" t="s">
        <v>367</v>
      </c>
      <c r="P46" s="3" t="s">
        <v>370</v>
      </c>
      <c r="S46"/>
    </row>
    <row r="47" spans="1:19" ht="15.6" x14ac:dyDescent="0.3">
      <c r="A47" s="3">
        <v>10253</v>
      </c>
      <c r="B47" s="3" t="s">
        <v>451</v>
      </c>
      <c r="C47" s="4">
        <v>38139</v>
      </c>
      <c r="D47" s="4" t="s">
        <v>320</v>
      </c>
      <c r="E47" s="3" t="s">
        <v>154</v>
      </c>
      <c r="F47" s="3" t="s">
        <v>155</v>
      </c>
      <c r="G47" s="3" t="s">
        <v>81</v>
      </c>
      <c r="H47" s="3" t="s">
        <v>25</v>
      </c>
      <c r="I47" s="3" t="s">
        <v>32</v>
      </c>
      <c r="J47" s="3" t="s">
        <v>33</v>
      </c>
      <c r="K47" s="3" t="s">
        <v>245</v>
      </c>
      <c r="L47" s="3">
        <v>33</v>
      </c>
      <c r="M47" s="7">
        <v>85</v>
      </c>
      <c r="N47" s="8">
        <v>2805</v>
      </c>
      <c r="O47" s="3" t="s">
        <v>367</v>
      </c>
      <c r="P47" s="3" t="s">
        <v>370</v>
      </c>
      <c r="S47"/>
    </row>
    <row r="48" spans="1:19" ht="15.6" x14ac:dyDescent="0.3">
      <c r="A48" s="3">
        <v>10253</v>
      </c>
      <c r="B48" s="3" t="s">
        <v>452</v>
      </c>
      <c r="C48" s="4">
        <v>38139</v>
      </c>
      <c r="D48" s="4" t="s">
        <v>320</v>
      </c>
      <c r="E48" s="3" t="s">
        <v>154</v>
      </c>
      <c r="F48" s="3" t="s">
        <v>155</v>
      </c>
      <c r="G48" s="3" t="s">
        <v>81</v>
      </c>
      <c r="H48" s="3" t="s">
        <v>25</v>
      </c>
      <c r="I48" s="3" t="s">
        <v>32</v>
      </c>
      <c r="J48" s="3" t="s">
        <v>46</v>
      </c>
      <c r="K48" s="3" t="s">
        <v>254</v>
      </c>
      <c r="L48" s="3">
        <v>37</v>
      </c>
      <c r="M48" s="7">
        <v>90</v>
      </c>
      <c r="N48" s="8">
        <v>3330</v>
      </c>
      <c r="O48" s="3" t="s">
        <v>367</v>
      </c>
      <c r="P48" s="3" t="s">
        <v>370</v>
      </c>
      <c r="S48"/>
    </row>
    <row r="49" spans="1:19" ht="15.6" x14ac:dyDescent="0.3">
      <c r="A49" s="3">
        <v>10253</v>
      </c>
      <c r="B49" s="3" t="s">
        <v>453</v>
      </c>
      <c r="C49" s="4">
        <v>38139</v>
      </c>
      <c r="D49" s="4" t="s">
        <v>320</v>
      </c>
      <c r="E49" s="3" t="s">
        <v>154</v>
      </c>
      <c r="F49" s="3" t="s">
        <v>155</v>
      </c>
      <c r="G49" s="3" t="s">
        <v>81</v>
      </c>
      <c r="H49" s="3" t="s">
        <v>25</v>
      </c>
      <c r="I49" s="3" t="s">
        <v>32</v>
      </c>
      <c r="J49" s="3" t="s">
        <v>44</v>
      </c>
      <c r="K49" s="3" t="s">
        <v>252</v>
      </c>
      <c r="L49" s="3">
        <v>40</v>
      </c>
      <c r="M49" s="7">
        <v>55</v>
      </c>
      <c r="N49" s="8">
        <v>2200</v>
      </c>
      <c r="O49" s="3" t="s">
        <v>367</v>
      </c>
      <c r="P49" s="3" t="s">
        <v>370</v>
      </c>
      <c r="S49"/>
    </row>
    <row r="50" spans="1:19" ht="15.6" x14ac:dyDescent="0.3">
      <c r="A50" s="3">
        <v>10253</v>
      </c>
      <c r="B50" s="3" t="s">
        <v>454</v>
      </c>
      <c r="C50" s="4">
        <v>38139</v>
      </c>
      <c r="D50" s="4" t="s">
        <v>320</v>
      </c>
      <c r="E50" s="3" t="s">
        <v>154</v>
      </c>
      <c r="F50" s="3" t="s">
        <v>155</v>
      </c>
      <c r="G50" s="3" t="s">
        <v>81</v>
      </c>
      <c r="H50" s="3" t="s">
        <v>25</v>
      </c>
      <c r="I50" s="3" t="s">
        <v>32</v>
      </c>
      <c r="J50" s="3" t="s">
        <v>44</v>
      </c>
      <c r="K50" s="3" t="s">
        <v>252</v>
      </c>
      <c r="L50" s="3">
        <v>31</v>
      </c>
      <c r="M50" s="7">
        <v>55</v>
      </c>
      <c r="N50" s="8">
        <v>1705</v>
      </c>
      <c r="O50" s="3" t="s">
        <v>367</v>
      </c>
      <c r="P50" s="3" t="s">
        <v>370</v>
      </c>
      <c r="S50"/>
    </row>
    <row r="51" spans="1:19" ht="15.6" x14ac:dyDescent="0.3">
      <c r="A51" s="3">
        <v>10253</v>
      </c>
      <c r="B51" s="3" t="s">
        <v>455</v>
      </c>
      <c r="C51" s="4">
        <v>38139</v>
      </c>
      <c r="D51" s="4" t="s">
        <v>320</v>
      </c>
      <c r="E51" s="3" t="s">
        <v>154</v>
      </c>
      <c r="F51" s="3" t="s">
        <v>155</v>
      </c>
      <c r="G51" s="3" t="s">
        <v>81</v>
      </c>
      <c r="H51" s="3" t="s">
        <v>25</v>
      </c>
      <c r="I51" s="3" t="s">
        <v>32</v>
      </c>
      <c r="J51" s="3" t="s">
        <v>46</v>
      </c>
      <c r="K51" s="3" t="s">
        <v>254</v>
      </c>
      <c r="L51" s="3">
        <v>40</v>
      </c>
      <c r="M51" s="7">
        <v>90</v>
      </c>
      <c r="N51" s="8">
        <v>3600</v>
      </c>
      <c r="O51" s="3" t="s">
        <v>367</v>
      </c>
      <c r="P51" s="3" t="s">
        <v>370</v>
      </c>
      <c r="S51"/>
    </row>
    <row r="52" spans="1:19" ht="15.6" x14ac:dyDescent="0.3">
      <c r="A52" s="3">
        <v>10253</v>
      </c>
      <c r="B52" s="3" t="s">
        <v>456</v>
      </c>
      <c r="C52" s="4">
        <v>38139</v>
      </c>
      <c r="D52" s="4" t="s">
        <v>320</v>
      </c>
      <c r="E52" s="3" t="s">
        <v>154</v>
      </c>
      <c r="F52" s="3" t="s">
        <v>155</v>
      </c>
      <c r="G52" s="3" t="s">
        <v>81</v>
      </c>
      <c r="H52" s="3" t="s">
        <v>25</v>
      </c>
      <c r="I52" s="3" t="s">
        <v>32</v>
      </c>
      <c r="J52" s="3" t="s">
        <v>33</v>
      </c>
      <c r="K52" s="3" t="s">
        <v>245</v>
      </c>
      <c r="L52" s="3">
        <v>24</v>
      </c>
      <c r="M52" s="7">
        <v>85</v>
      </c>
      <c r="N52" s="8">
        <v>2040</v>
      </c>
      <c r="O52" s="3" t="s">
        <v>367</v>
      </c>
      <c r="P52" s="3" t="s">
        <v>370</v>
      </c>
      <c r="S52"/>
    </row>
    <row r="53" spans="1:19" ht="15.6" x14ac:dyDescent="0.3">
      <c r="A53" s="3">
        <v>10253</v>
      </c>
      <c r="B53" s="3" t="s">
        <v>457</v>
      </c>
      <c r="C53" s="4">
        <v>38139</v>
      </c>
      <c r="D53" s="4" t="s">
        <v>320</v>
      </c>
      <c r="E53" s="3" t="s">
        <v>154</v>
      </c>
      <c r="F53" s="3" t="s">
        <v>155</v>
      </c>
      <c r="G53" s="3" t="s">
        <v>81</v>
      </c>
      <c r="H53" s="3" t="s">
        <v>25</v>
      </c>
      <c r="I53" s="3" t="s">
        <v>32</v>
      </c>
      <c r="J53" s="3" t="s">
        <v>34</v>
      </c>
      <c r="K53" s="3" t="s">
        <v>246</v>
      </c>
      <c r="L53" s="3">
        <v>39</v>
      </c>
      <c r="M53" s="7">
        <v>80</v>
      </c>
      <c r="N53" s="8">
        <v>3120</v>
      </c>
      <c r="O53" s="3" t="s">
        <v>367</v>
      </c>
      <c r="P53" s="3" t="s">
        <v>370</v>
      </c>
      <c r="S53"/>
    </row>
    <row r="54" spans="1:19" ht="15.6" x14ac:dyDescent="0.3">
      <c r="A54" s="3">
        <v>10262</v>
      </c>
      <c r="B54" s="3" t="s">
        <v>458</v>
      </c>
      <c r="C54" s="4">
        <v>38162</v>
      </c>
      <c r="D54" s="4" t="s">
        <v>279</v>
      </c>
      <c r="E54" s="3" t="s">
        <v>41</v>
      </c>
      <c r="F54" s="3" t="s">
        <v>42</v>
      </c>
      <c r="G54" s="3" t="s">
        <v>43</v>
      </c>
      <c r="H54" s="3" t="s">
        <v>25</v>
      </c>
      <c r="I54" s="3" t="s">
        <v>61</v>
      </c>
      <c r="J54" s="3" t="s">
        <v>66</v>
      </c>
      <c r="K54" s="3" t="s">
        <v>265</v>
      </c>
      <c r="L54" s="3">
        <v>49</v>
      </c>
      <c r="M54" s="7">
        <v>35</v>
      </c>
      <c r="N54" s="8">
        <v>1715</v>
      </c>
      <c r="O54" s="3" t="s">
        <v>367</v>
      </c>
      <c r="P54" s="3" t="s">
        <v>370</v>
      </c>
      <c r="S54"/>
    </row>
    <row r="55" spans="1:19" ht="15.6" x14ac:dyDescent="0.3">
      <c r="A55" s="3">
        <v>10262</v>
      </c>
      <c r="B55" s="3" t="s">
        <v>459</v>
      </c>
      <c r="C55" s="4">
        <v>38162</v>
      </c>
      <c r="D55" s="4" t="s">
        <v>279</v>
      </c>
      <c r="E55" s="3" t="s">
        <v>41</v>
      </c>
      <c r="F55" s="3" t="s">
        <v>42</v>
      </c>
      <c r="G55" s="3" t="s">
        <v>43</v>
      </c>
      <c r="H55" s="3" t="s">
        <v>25</v>
      </c>
      <c r="I55" s="3" t="s">
        <v>54</v>
      </c>
      <c r="J55" s="3" t="s">
        <v>57</v>
      </c>
      <c r="K55" s="3" t="s">
        <v>260</v>
      </c>
      <c r="L55" s="3">
        <v>32</v>
      </c>
      <c r="M55" s="7">
        <v>220</v>
      </c>
      <c r="N55" s="8">
        <v>7040</v>
      </c>
      <c r="O55" s="3" t="s">
        <v>367</v>
      </c>
      <c r="P55" s="3" t="s">
        <v>370</v>
      </c>
      <c r="S55"/>
    </row>
    <row r="56" spans="1:19" ht="15.6" x14ac:dyDescent="0.3">
      <c r="A56" s="3">
        <v>10262</v>
      </c>
      <c r="B56" s="3" t="s">
        <v>460</v>
      </c>
      <c r="C56" s="4">
        <v>38162</v>
      </c>
      <c r="D56" s="4" t="s">
        <v>279</v>
      </c>
      <c r="E56" s="3" t="s">
        <v>41</v>
      </c>
      <c r="F56" s="3" t="s">
        <v>42</v>
      </c>
      <c r="G56" s="3" t="s">
        <v>43</v>
      </c>
      <c r="H56" s="3" t="s">
        <v>25</v>
      </c>
      <c r="I56" s="3" t="s">
        <v>17</v>
      </c>
      <c r="J56" s="3" t="s">
        <v>21</v>
      </c>
      <c r="K56" s="3" t="s">
        <v>243</v>
      </c>
      <c r="L56" s="3">
        <v>34</v>
      </c>
      <c r="M56" s="7">
        <v>110</v>
      </c>
      <c r="N56" s="8">
        <v>3740</v>
      </c>
      <c r="O56" s="3" t="s">
        <v>367</v>
      </c>
      <c r="P56" s="3" t="s">
        <v>370</v>
      </c>
      <c r="S56"/>
    </row>
    <row r="57" spans="1:19" ht="15.6" x14ac:dyDescent="0.3">
      <c r="A57" s="3">
        <v>10262</v>
      </c>
      <c r="B57" s="3" t="s">
        <v>461</v>
      </c>
      <c r="C57" s="4">
        <v>38162</v>
      </c>
      <c r="D57" s="4" t="s">
        <v>279</v>
      </c>
      <c r="E57" s="3" t="s">
        <v>41</v>
      </c>
      <c r="F57" s="3" t="s">
        <v>42</v>
      </c>
      <c r="G57" s="3" t="s">
        <v>43</v>
      </c>
      <c r="H57" s="3" t="s">
        <v>25</v>
      </c>
      <c r="I57" s="3" t="s">
        <v>61</v>
      </c>
      <c r="J57" s="3" t="s">
        <v>66</v>
      </c>
      <c r="K57" s="3" t="s">
        <v>265</v>
      </c>
      <c r="L57" s="3">
        <v>34</v>
      </c>
      <c r="M57" s="7">
        <v>35</v>
      </c>
      <c r="N57" s="8">
        <v>1190</v>
      </c>
      <c r="O57" s="3" t="s">
        <v>367</v>
      </c>
      <c r="P57" s="3" t="s">
        <v>370</v>
      </c>
      <c r="S57"/>
    </row>
    <row r="58" spans="1:19" ht="15.6" x14ac:dyDescent="0.3">
      <c r="A58" s="3">
        <v>10262</v>
      </c>
      <c r="B58" s="3" t="s">
        <v>462</v>
      </c>
      <c r="C58" s="4">
        <v>38162</v>
      </c>
      <c r="D58" s="4" t="s">
        <v>279</v>
      </c>
      <c r="E58" s="3" t="s">
        <v>41</v>
      </c>
      <c r="F58" s="3" t="s">
        <v>42</v>
      </c>
      <c r="G58" s="3" t="s">
        <v>43</v>
      </c>
      <c r="H58" s="3" t="s">
        <v>25</v>
      </c>
      <c r="I58" s="3" t="s">
        <v>61</v>
      </c>
      <c r="J58" s="3" t="s">
        <v>66</v>
      </c>
      <c r="K58" s="3" t="s">
        <v>265</v>
      </c>
      <c r="L58" s="3">
        <v>24</v>
      </c>
      <c r="M58" s="7">
        <v>35</v>
      </c>
      <c r="N58" s="8">
        <v>840</v>
      </c>
      <c r="O58" s="3" t="s">
        <v>367</v>
      </c>
      <c r="P58" s="3" t="s">
        <v>370</v>
      </c>
      <c r="S58"/>
    </row>
    <row r="59" spans="1:19" ht="15.6" x14ac:dyDescent="0.3">
      <c r="A59" s="3">
        <v>10262</v>
      </c>
      <c r="B59" s="3" t="s">
        <v>463</v>
      </c>
      <c r="C59" s="4">
        <v>38162</v>
      </c>
      <c r="D59" s="4" t="s">
        <v>279</v>
      </c>
      <c r="E59" s="3" t="s">
        <v>41</v>
      </c>
      <c r="F59" s="3" t="s">
        <v>42</v>
      </c>
      <c r="G59" s="3" t="s">
        <v>43</v>
      </c>
      <c r="H59" s="3" t="s">
        <v>25</v>
      </c>
      <c r="I59" s="3" t="s">
        <v>17</v>
      </c>
      <c r="J59" s="3" t="s">
        <v>26</v>
      </c>
      <c r="K59" s="3" t="s">
        <v>244</v>
      </c>
      <c r="L59" s="3">
        <v>46</v>
      </c>
      <c r="M59" s="7">
        <v>60</v>
      </c>
      <c r="N59" s="8">
        <v>2760</v>
      </c>
      <c r="O59" s="3" t="s">
        <v>367</v>
      </c>
      <c r="P59" s="3" t="s">
        <v>370</v>
      </c>
      <c r="S59"/>
    </row>
    <row r="60" spans="1:19" ht="15.6" x14ac:dyDescent="0.3">
      <c r="A60" s="3">
        <v>10262</v>
      </c>
      <c r="B60" s="3" t="s">
        <v>464</v>
      </c>
      <c r="C60" s="4">
        <v>38162</v>
      </c>
      <c r="D60" s="4" t="s">
        <v>279</v>
      </c>
      <c r="E60" s="3" t="s">
        <v>41</v>
      </c>
      <c r="F60" s="3" t="s">
        <v>42</v>
      </c>
      <c r="G60" s="3" t="s">
        <v>43</v>
      </c>
      <c r="H60" s="3" t="s">
        <v>25</v>
      </c>
      <c r="I60" s="3" t="s">
        <v>17</v>
      </c>
      <c r="J60" s="3" t="s">
        <v>20</v>
      </c>
      <c r="K60" s="3" t="s">
        <v>242</v>
      </c>
      <c r="L60" s="3">
        <v>49</v>
      </c>
      <c r="M60" s="7">
        <v>48</v>
      </c>
      <c r="N60" s="8">
        <v>2352</v>
      </c>
      <c r="O60" s="3" t="s">
        <v>367</v>
      </c>
      <c r="P60" s="3" t="s">
        <v>370</v>
      </c>
      <c r="S60"/>
    </row>
    <row r="61" spans="1:19" ht="15.6" x14ac:dyDescent="0.3">
      <c r="A61" s="3">
        <v>10262</v>
      </c>
      <c r="B61" s="3" t="s">
        <v>465</v>
      </c>
      <c r="C61" s="4">
        <v>38162</v>
      </c>
      <c r="D61" s="4" t="s">
        <v>279</v>
      </c>
      <c r="E61" s="3" t="s">
        <v>41</v>
      </c>
      <c r="F61" s="3" t="s">
        <v>42</v>
      </c>
      <c r="G61" s="3" t="s">
        <v>43</v>
      </c>
      <c r="H61" s="3" t="s">
        <v>25</v>
      </c>
      <c r="I61" s="3" t="s">
        <v>61</v>
      </c>
      <c r="J61" s="3" t="s">
        <v>65</v>
      </c>
      <c r="K61" s="3" t="s">
        <v>264</v>
      </c>
      <c r="L61" s="3">
        <v>48</v>
      </c>
      <c r="M61" s="7">
        <v>30</v>
      </c>
      <c r="N61" s="8">
        <v>1440</v>
      </c>
      <c r="O61" s="3" t="s">
        <v>367</v>
      </c>
      <c r="P61" s="3" t="s">
        <v>370</v>
      </c>
      <c r="S61"/>
    </row>
    <row r="62" spans="1:19" ht="15.6" x14ac:dyDescent="0.3">
      <c r="A62" s="3">
        <v>10262</v>
      </c>
      <c r="B62" s="3" t="s">
        <v>466</v>
      </c>
      <c r="C62" s="4">
        <v>38162</v>
      </c>
      <c r="D62" s="4" t="s">
        <v>279</v>
      </c>
      <c r="E62" s="3" t="s">
        <v>41</v>
      </c>
      <c r="F62" s="3" t="s">
        <v>42</v>
      </c>
      <c r="G62" s="3" t="s">
        <v>43</v>
      </c>
      <c r="H62" s="3" t="s">
        <v>25</v>
      </c>
      <c r="I62" s="3" t="s">
        <v>17</v>
      </c>
      <c r="J62" s="3" t="s">
        <v>26</v>
      </c>
      <c r="K62" s="3" t="s">
        <v>244</v>
      </c>
      <c r="L62" s="3">
        <v>40</v>
      </c>
      <c r="M62" s="7">
        <v>60</v>
      </c>
      <c r="N62" s="8">
        <v>2400</v>
      </c>
      <c r="O62" s="3" t="s">
        <v>367</v>
      </c>
      <c r="P62" s="3" t="s">
        <v>370</v>
      </c>
      <c r="S62"/>
    </row>
    <row r="63" spans="1:19" ht="15.6" x14ac:dyDescent="0.3">
      <c r="A63" s="3">
        <v>10262</v>
      </c>
      <c r="B63" s="3" t="s">
        <v>467</v>
      </c>
      <c r="C63" s="4">
        <v>38162</v>
      </c>
      <c r="D63" s="4" t="s">
        <v>279</v>
      </c>
      <c r="E63" s="3" t="s">
        <v>41</v>
      </c>
      <c r="F63" s="3" t="s">
        <v>42</v>
      </c>
      <c r="G63" s="3" t="s">
        <v>43</v>
      </c>
      <c r="H63" s="3" t="s">
        <v>25</v>
      </c>
      <c r="I63" s="3" t="s">
        <v>17</v>
      </c>
      <c r="J63" s="3" t="s">
        <v>20</v>
      </c>
      <c r="K63" s="3" t="s">
        <v>242</v>
      </c>
      <c r="L63" s="3">
        <v>49</v>
      </c>
      <c r="M63" s="7">
        <v>48</v>
      </c>
      <c r="N63" s="8">
        <v>2352</v>
      </c>
      <c r="O63" s="3" t="s">
        <v>367</v>
      </c>
      <c r="P63" s="3" t="s">
        <v>370</v>
      </c>
      <c r="S63"/>
    </row>
    <row r="64" spans="1:19" ht="15.6" x14ac:dyDescent="0.3">
      <c r="A64" s="3">
        <v>10262</v>
      </c>
      <c r="B64" s="3" t="s">
        <v>468</v>
      </c>
      <c r="C64" s="4">
        <v>38162</v>
      </c>
      <c r="D64" s="4" t="s">
        <v>279</v>
      </c>
      <c r="E64" s="3" t="s">
        <v>41</v>
      </c>
      <c r="F64" s="3" t="s">
        <v>42</v>
      </c>
      <c r="G64" s="3" t="s">
        <v>43</v>
      </c>
      <c r="H64" s="3" t="s">
        <v>25</v>
      </c>
      <c r="I64" s="3" t="s">
        <v>61</v>
      </c>
      <c r="J64" s="3" t="s">
        <v>66</v>
      </c>
      <c r="K64" s="3" t="s">
        <v>265</v>
      </c>
      <c r="L64" s="3">
        <v>40</v>
      </c>
      <c r="M64" s="7">
        <v>35</v>
      </c>
      <c r="N64" s="8">
        <v>1400</v>
      </c>
      <c r="O64" s="3" t="s">
        <v>367</v>
      </c>
      <c r="P64" s="3" t="s">
        <v>370</v>
      </c>
      <c r="S64"/>
    </row>
    <row r="65" spans="1:19" ht="15.6" x14ac:dyDescent="0.3">
      <c r="A65" s="3">
        <v>10262</v>
      </c>
      <c r="B65" s="3" t="s">
        <v>469</v>
      </c>
      <c r="C65" s="4">
        <v>38162</v>
      </c>
      <c r="D65" s="4" t="s">
        <v>279</v>
      </c>
      <c r="E65" s="3" t="s">
        <v>41</v>
      </c>
      <c r="F65" s="3" t="s">
        <v>42</v>
      </c>
      <c r="G65" s="3" t="s">
        <v>43</v>
      </c>
      <c r="H65" s="3" t="s">
        <v>25</v>
      </c>
      <c r="I65" s="3" t="s">
        <v>54</v>
      </c>
      <c r="J65" s="3" t="s">
        <v>56</v>
      </c>
      <c r="K65" s="3" t="s">
        <v>259</v>
      </c>
      <c r="L65" s="3">
        <v>44</v>
      </c>
      <c r="M65" s="7">
        <v>250</v>
      </c>
      <c r="N65" s="8">
        <v>11000</v>
      </c>
      <c r="O65" s="3" t="s">
        <v>367</v>
      </c>
      <c r="P65" s="3" t="s">
        <v>370</v>
      </c>
      <c r="S65"/>
    </row>
    <row r="66" spans="1:19" ht="15.6" x14ac:dyDescent="0.3">
      <c r="A66" s="3">
        <v>10262</v>
      </c>
      <c r="B66" s="3" t="s">
        <v>470</v>
      </c>
      <c r="C66" s="4">
        <v>38162</v>
      </c>
      <c r="D66" s="4" t="s">
        <v>279</v>
      </c>
      <c r="E66" s="3" t="s">
        <v>41</v>
      </c>
      <c r="F66" s="3" t="s">
        <v>42</v>
      </c>
      <c r="G66" s="3" t="s">
        <v>43</v>
      </c>
      <c r="H66" s="3" t="s">
        <v>25</v>
      </c>
      <c r="I66" s="3" t="s">
        <v>61</v>
      </c>
      <c r="J66" s="3" t="s">
        <v>66</v>
      </c>
      <c r="K66" s="3" t="s">
        <v>265</v>
      </c>
      <c r="L66" s="3">
        <v>33</v>
      </c>
      <c r="M66" s="7">
        <v>35</v>
      </c>
      <c r="N66" s="8">
        <v>1155</v>
      </c>
      <c r="O66" s="3" t="s">
        <v>367</v>
      </c>
      <c r="P66" s="3" t="s">
        <v>370</v>
      </c>
      <c r="S66"/>
    </row>
    <row r="67" spans="1:19" ht="15.6" x14ac:dyDescent="0.3">
      <c r="A67" s="3">
        <v>10262</v>
      </c>
      <c r="B67" s="3" t="s">
        <v>471</v>
      </c>
      <c r="C67" s="4">
        <v>38162</v>
      </c>
      <c r="D67" s="4" t="s">
        <v>279</v>
      </c>
      <c r="E67" s="3" t="s">
        <v>41</v>
      </c>
      <c r="F67" s="3" t="s">
        <v>42</v>
      </c>
      <c r="G67" s="3" t="s">
        <v>43</v>
      </c>
      <c r="H67" s="3" t="s">
        <v>25</v>
      </c>
      <c r="I67" s="3" t="s">
        <v>61</v>
      </c>
      <c r="J67" s="3" t="s">
        <v>63</v>
      </c>
      <c r="K67" s="3" t="s">
        <v>262</v>
      </c>
      <c r="L67" s="3">
        <v>27</v>
      </c>
      <c r="M67" s="7">
        <v>40</v>
      </c>
      <c r="N67" s="8">
        <v>1080</v>
      </c>
      <c r="O67" s="3" t="s">
        <v>367</v>
      </c>
      <c r="P67" s="3" t="s">
        <v>370</v>
      </c>
      <c r="S67"/>
    </row>
    <row r="68" spans="1:19" ht="15.6" x14ac:dyDescent="0.3">
      <c r="A68" s="3">
        <v>10262</v>
      </c>
      <c r="B68" s="3" t="s">
        <v>472</v>
      </c>
      <c r="C68" s="4">
        <v>38162</v>
      </c>
      <c r="D68" s="4" t="s">
        <v>279</v>
      </c>
      <c r="E68" s="3" t="s">
        <v>41</v>
      </c>
      <c r="F68" s="3" t="s">
        <v>42</v>
      </c>
      <c r="G68" s="3" t="s">
        <v>43</v>
      </c>
      <c r="H68" s="3" t="s">
        <v>25</v>
      </c>
      <c r="I68" s="3" t="s">
        <v>61</v>
      </c>
      <c r="J68" s="3" t="s">
        <v>63</v>
      </c>
      <c r="K68" s="3" t="s">
        <v>262</v>
      </c>
      <c r="L68" s="3">
        <v>35</v>
      </c>
      <c r="M68" s="7">
        <v>40</v>
      </c>
      <c r="N68" s="8">
        <v>1400</v>
      </c>
      <c r="O68" s="3" t="s">
        <v>367</v>
      </c>
      <c r="P68" s="3" t="s">
        <v>370</v>
      </c>
      <c r="S68"/>
    </row>
    <row r="69" spans="1:19" ht="15.6" x14ac:dyDescent="0.3">
      <c r="A69" s="3">
        <v>10262</v>
      </c>
      <c r="B69" s="3" t="s">
        <v>473</v>
      </c>
      <c r="C69" s="4">
        <v>38162</v>
      </c>
      <c r="D69" s="4" t="s">
        <v>279</v>
      </c>
      <c r="E69" s="3" t="s">
        <v>41</v>
      </c>
      <c r="F69" s="3" t="s">
        <v>42</v>
      </c>
      <c r="G69" s="3" t="s">
        <v>43</v>
      </c>
      <c r="H69" s="3" t="s">
        <v>25</v>
      </c>
      <c r="I69" s="3" t="s">
        <v>61</v>
      </c>
      <c r="J69" s="3" t="s">
        <v>62</v>
      </c>
      <c r="K69" s="3" t="s">
        <v>261</v>
      </c>
      <c r="L69" s="3">
        <v>21</v>
      </c>
      <c r="M69" s="7">
        <v>15</v>
      </c>
      <c r="N69" s="8">
        <v>315</v>
      </c>
      <c r="O69" s="3" t="s">
        <v>367</v>
      </c>
      <c r="P69" s="3" t="s">
        <v>370</v>
      </c>
      <c r="S69"/>
    </row>
    <row r="70" spans="1:19" ht="15.6" x14ac:dyDescent="0.3">
      <c r="A70" s="3">
        <v>10327</v>
      </c>
      <c r="B70" s="3" t="s">
        <v>474</v>
      </c>
      <c r="C70" s="4">
        <v>38301</v>
      </c>
      <c r="D70" s="4" t="s">
        <v>280</v>
      </c>
      <c r="E70" s="3" t="s">
        <v>49</v>
      </c>
      <c r="F70" s="3" t="s">
        <v>50</v>
      </c>
      <c r="G70" s="3" t="s">
        <v>51</v>
      </c>
      <c r="H70" s="3" t="s">
        <v>25</v>
      </c>
      <c r="I70" s="3" t="s">
        <v>61</v>
      </c>
      <c r="J70" s="3" t="s">
        <v>63</v>
      </c>
      <c r="K70" s="3" t="s">
        <v>262</v>
      </c>
      <c r="L70" s="3">
        <v>25</v>
      </c>
      <c r="M70" s="7">
        <v>40</v>
      </c>
      <c r="N70" s="8">
        <v>1000</v>
      </c>
      <c r="O70" s="3" t="s">
        <v>367</v>
      </c>
      <c r="P70" s="3" t="s">
        <v>370</v>
      </c>
      <c r="S70"/>
    </row>
    <row r="71" spans="1:19" ht="15.6" x14ac:dyDescent="0.3">
      <c r="A71" s="3">
        <v>10327</v>
      </c>
      <c r="B71" s="3" t="s">
        <v>475</v>
      </c>
      <c r="C71" s="4">
        <v>38301</v>
      </c>
      <c r="D71" s="4" t="s">
        <v>280</v>
      </c>
      <c r="E71" s="3" t="s">
        <v>49</v>
      </c>
      <c r="F71" s="3" t="s">
        <v>50</v>
      </c>
      <c r="G71" s="3" t="s">
        <v>51</v>
      </c>
      <c r="H71" s="3" t="s">
        <v>25</v>
      </c>
      <c r="I71" s="3" t="s">
        <v>61</v>
      </c>
      <c r="J71" s="3" t="s">
        <v>66</v>
      </c>
      <c r="K71" s="3" t="s">
        <v>265</v>
      </c>
      <c r="L71" s="3">
        <v>45</v>
      </c>
      <c r="M71" s="7">
        <v>35</v>
      </c>
      <c r="N71" s="8">
        <v>1575</v>
      </c>
      <c r="O71" s="3" t="s">
        <v>367</v>
      </c>
      <c r="P71" s="3" t="s">
        <v>370</v>
      </c>
      <c r="S71"/>
    </row>
    <row r="72" spans="1:19" ht="15.6" x14ac:dyDescent="0.3">
      <c r="A72" s="3">
        <v>10327</v>
      </c>
      <c r="B72" s="3" t="s">
        <v>476</v>
      </c>
      <c r="C72" s="4">
        <v>38301</v>
      </c>
      <c r="D72" s="4" t="s">
        <v>280</v>
      </c>
      <c r="E72" s="3" t="s">
        <v>49</v>
      </c>
      <c r="F72" s="3" t="s">
        <v>50</v>
      </c>
      <c r="G72" s="3" t="s">
        <v>51</v>
      </c>
      <c r="H72" s="3" t="s">
        <v>25</v>
      </c>
      <c r="I72" s="3" t="s">
        <v>54</v>
      </c>
      <c r="J72" s="3" t="s">
        <v>55</v>
      </c>
      <c r="K72" s="3" t="s">
        <v>258</v>
      </c>
      <c r="L72" s="3">
        <v>25</v>
      </c>
      <c r="M72" s="7">
        <v>180</v>
      </c>
      <c r="N72" s="8">
        <v>4500</v>
      </c>
      <c r="O72" s="3" t="s">
        <v>367</v>
      </c>
      <c r="P72" s="3" t="s">
        <v>370</v>
      </c>
      <c r="S72"/>
    </row>
    <row r="73" spans="1:19" ht="15.6" x14ac:dyDescent="0.3">
      <c r="A73" s="3">
        <v>10327</v>
      </c>
      <c r="B73" s="3" t="s">
        <v>477</v>
      </c>
      <c r="C73" s="4">
        <v>38301</v>
      </c>
      <c r="D73" s="4" t="s">
        <v>280</v>
      </c>
      <c r="E73" s="3" t="s">
        <v>49</v>
      </c>
      <c r="F73" s="3" t="s">
        <v>50</v>
      </c>
      <c r="G73" s="3" t="s">
        <v>51</v>
      </c>
      <c r="H73" s="3" t="s">
        <v>25</v>
      </c>
      <c r="I73" s="3" t="s">
        <v>54</v>
      </c>
      <c r="J73" s="3" t="s">
        <v>56</v>
      </c>
      <c r="K73" s="3" t="s">
        <v>259</v>
      </c>
      <c r="L73" s="3">
        <v>20</v>
      </c>
      <c r="M73" s="7">
        <v>250</v>
      </c>
      <c r="N73" s="8">
        <v>5000</v>
      </c>
      <c r="O73" s="3" t="s">
        <v>367</v>
      </c>
      <c r="P73" s="3" t="s">
        <v>370</v>
      </c>
      <c r="S73"/>
    </row>
    <row r="74" spans="1:19" ht="15.6" x14ac:dyDescent="0.3">
      <c r="A74" s="3">
        <v>10327</v>
      </c>
      <c r="B74" s="3" t="s">
        <v>478</v>
      </c>
      <c r="C74" s="4">
        <v>38301</v>
      </c>
      <c r="D74" s="4" t="s">
        <v>280</v>
      </c>
      <c r="E74" s="3" t="s">
        <v>49</v>
      </c>
      <c r="F74" s="3" t="s">
        <v>50</v>
      </c>
      <c r="G74" s="3" t="s">
        <v>51</v>
      </c>
      <c r="H74" s="3" t="s">
        <v>25</v>
      </c>
      <c r="I74" s="3" t="s">
        <v>54</v>
      </c>
      <c r="J74" s="3" t="s">
        <v>57</v>
      </c>
      <c r="K74" s="3" t="s">
        <v>260</v>
      </c>
      <c r="L74" s="3">
        <v>21</v>
      </c>
      <c r="M74" s="7">
        <v>220</v>
      </c>
      <c r="N74" s="8">
        <v>4620</v>
      </c>
      <c r="O74" s="3" t="s">
        <v>367</v>
      </c>
      <c r="P74" s="3" t="s">
        <v>370</v>
      </c>
      <c r="S74"/>
    </row>
    <row r="75" spans="1:19" ht="15.6" x14ac:dyDescent="0.3">
      <c r="A75" s="3">
        <v>10327</v>
      </c>
      <c r="B75" s="3" t="s">
        <v>479</v>
      </c>
      <c r="C75" s="4">
        <v>38301</v>
      </c>
      <c r="D75" s="4" t="s">
        <v>280</v>
      </c>
      <c r="E75" s="3" t="s">
        <v>49</v>
      </c>
      <c r="F75" s="3" t="s">
        <v>50</v>
      </c>
      <c r="G75" s="3" t="s">
        <v>51</v>
      </c>
      <c r="H75" s="3" t="s">
        <v>25</v>
      </c>
      <c r="I75" s="3" t="s">
        <v>54</v>
      </c>
      <c r="J75" s="3" t="s">
        <v>55</v>
      </c>
      <c r="K75" s="3" t="s">
        <v>258</v>
      </c>
      <c r="L75" s="3">
        <v>43</v>
      </c>
      <c r="M75" s="7">
        <v>180</v>
      </c>
      <c r="N75" s="8">
        <v>7740</v>
      </c>
      <c r="O75" s="3" t="s">
        <v>367</v>
      </c>
      <c r="P75" s="3" t="s">
        <v>370</v>
      </c>
      <c r="S75"/>
    </row>
    <row r="76" spans="1:19" ht="15.6" x14ac:dyDescent="0.3">
      <c r="A76" s="3">
        <v>10327</v>
      </c>
      <c r="B76" s="3" t="s">
        <v>480</v>
      </c>
      <c r="C76" s="4">
        <v>38301</v>
      </c>
      <c r="D76" s="4" t="s">
        <v>280</v>
      </c>
      <c r="E76" s="3" t="s">
        <v>49</v>
      </c>
      <c r="F76" s="3" t="s">
        <v>50</v>
      </c>
      <c r="G76" s="3" t="s">
        <v>51</v>
      </c>
      <c r="H76" s="3" t="s">
        <v>25</v>
      </c>
      <c r="I76" s="3" t="s">
        <v>54</v>
      </c>
      <c r="J76" s="3" t="s">
        <v>57</v>
      </c>
      <c r="K76" s="3" t="s">
        <v>260</v>
      </c>
      <c r="L76" s="3">
        <v>37</v>
      </c>
      <c r="M76" s="7">
        <v>220</v>
      </c>
      <c r="N76" s="8">
        <v>8140</v>
      </c>
      <c r="O76" s="3" t="s">
        <v>367</v>
      </c>
      <c r="P76" s="3" t="s">
        <v>370</v>
      </c>
      <c r="S76"/>
    </row>
    <row r="77" spans="1:19" ht="15.6" x14ac:dyDescent="0.3">
      <c r="A77" s="3">
        <v>10327</v>
      </c>
      <c r="B77" s="3" t="s">
        <v>481</v>
      </c>
      <c r="C77" s="4">
        <v>38301</v>
      </c>
      <c r="D77" s="4" t="s">
        <v>280</v>
      </c>
      <c r="E77" s="3" t="s">
        <v>49</v>
      </c>
      <c r="F77" s="3" t="s">
        <v>50</v>
      </c>
      <c r="G77" s="3" t="s">
        <v>51</v>
      </c>
      <c r="H77" s="3" t="s">
        <v>25</v>
      </c>
      <c r="I77" s="3" t="s">
        <v>54</v>
      </c>
      <c r="J77" s="3" t="s">
        <v>57</v>
      </c>
      <c r="K77" s="3" t="s">
        <v>260</v>
      </c>
      <c r="L77" s="3">
        <v>37</v>
      </c>
      <c r="M77" s="7">
        <v>220</v>
      </c>
      <c r="N77" s="8">
        <v>8140</v>
      </c>
      <c r="O77" s="3" t="s">
        <v>367</v>
      </c>
      <c r="P77" s="3" t="s">
        <v>370</v>
      </c>
      <c r="S77"/>
    </row>
    <row r="78" spans="1:19" ht="15.6" x14ac:dyDescent="0.3">
      <c r="A78" s="3">
        <v>10334</v>
      </c>
      <c r="B78" s="3" t="s">
        <v>482</v>
      </c>
      <c r="C78" s="4">
        <v>38310</v>
      </c>
      <c r="D78" s="4" t="s">
        <v>286</v>
      </c>
      <c r="E78" s="3" t="s">
        <v>83</v>
      </c>
      <c r="F78" s="3" t="s">
        <v>84</v>
      </c>
      <c r="G78" s="3" t="s">
        <v>85</v>
      </c>
      <c r="H78" s="3" t="s">
        <v>25</v>
      </c>
      <c r="I78" s="3" t="s">
        <v>32</v>
      </c>
      <c r="J78" s="3" t="s">
        <v>34</v>
      </c>
      <c r="K78" s="3" t="s">
        <v>246</v>
      </c>
      <c r="L78" s="3">
        <v>26</v>
      </c>
      <c r="M78" s="7">
        <v>80</v>
      </c>
      <c r="N78" s="8">
        <v>2080</v>
      </c>
      <c r="O78" s="3" t="s">
        <v>367</v>
      </c>
      <c r="P78" s="3" t="s">
        <v>370</v>
      </c>
      <c r="S78"/>
    </row>
    <row r="79" spans="1:19" ht="15.6" x14ac:dyDescent="0.3">
      <c r="A79" s="3">
        <v>10334</v>
      </c>
      <c r="B79" s="3" t="s">
        <v>483</v>
      </c>
      <c r="C79" s="4">
        <v>38310</v>
      </c>
      <c r="D79" s="4" t="s">
        <v>286</v>
      </c>
      <c r="E79" s="3" t="s">
        <v>83</v>
      </c>
      <c r="F79" s="3" t="s">
        <v>84</v>
      </c>
      <c r="G79" s="3" t="s">
        <v>85</v>
      </c>
      <c r="H79" s="3" t="s">
        <v>25</v>
      </c>
      <c r="I79" s="3" t="s">
        <v>35</v>
      </c>
      <c r="J79" s="3" t="s">
        <v>40</v>
      </c>
      <c r="K79" s="3" t="s">
        <v>251</v>
      </c>
      <c r="L79" s="3">
        <v>46</v>
      </c>
      <c r="M79" s="7">
        <v>25</v>
      </c>
      <c r="N79" s="8">
        <v>1150</v>
      </c>
      <c r="O79" s="3" t="s">
        <v>367</v>
      </c>
      <c r="P79" s="3" t="s">
        <v>370</v>
      </c>
      <c r="S79"/>
    </row>
    <row r="80" spans="1:19" ht="15.6" x14ac:dyDescent="0.3">
      <c r="A80" s="3">
        <v>10334</v>
      </c>
      <c r="B80" s="3" t="s">
        <v>484</v>
      </c>
      <c r="C80" s="4">
        <v>38310</v>
      </c>
      <c r="D80" s="4" t="s">
        <v>286</v>
      </c>
      <c r="E80" s="3" t="s">
        <v>83</v>
      </c>
      <c r="F80" s="3" t="s">
        <v>84</v>
      </c>
      <c r="G80" s="3" t="s">
        <v>85</v>
      </c>
      <c r="H80" s="3" t="s">
        <v>25</v>
      </c>
      <c r="I80" s="3" t="s">
        <v>35</v>
      </c>
      <c r="J80" s="3" t="s">
        <v>39</v>
      </c>
      <c r="K80" s="3" t="s">
        <v>250</v>
      </c>
      <c r="L80" s="3">
        <v>34</v>
      </c>
      <c r="M80" s="7">
        <v>20</v>
      </c>
      <c r="N80" s="8">
        <v>680</v>
      </c>
      <c r="O80" s="3" t="s">
        <v>367</v>
      </c>
      <c r="P80" s="3" t="s">
        <v>370</v>
      </c>
      <c r="S80"/>
    </row>
    <row r="81" spans="1:19" ht="15.6" x14ac:dyDescent="0.3">
      <c r="A81" s="3">
        <v>10334</v>
      </c>
      <c r="B81" s="3" t="s">
        <v>485</v>
      </c>
      <c r="C81" s="4">
        <v>38310</v>
      </c>
      <c r="D81" s="4" t="s">
        <v>286</v>
      </c>
      <c r="E81" s="3" t="s">
        <v>83</v>
      </c>
      <c r="F81" s="3" t="s">
        <v>84</v>
      </c>
      <c r="G81" s="3" t="s">
        <v>85</v>
      </c>
      <c r="H81" s="3" t="s">
        <v>25</v>
      </c>
      <c r="I81" s="3" t="s">
        <v>32</v>
      </c>
      <c r="J81" s="3" t="s">
        <v>34</v>
      </c>
      <c r="K81" s="3" t="s">
        <v>246</v>
      </c>
      <c r="L81" s="3">
        <v>20</v>
      </c>
      <c r="M81" s="7">
        <v>80</v>
      </c>
      <c r="N81" s="8">
        <v>1600</v>
      </c>
      <c r="O81" s="3" t="s">
        <v>367</v>
      </c>
      <c r="P81" s="3" t="s">
        <v>370</v>
      </c>
      <c r="S81"/>
    </row>
    <row r="82" spans="1:19" ht="15.6" x14ac:dyDescent="0.3">
      <c r="A82" s="3">
        <v>10334</v>
      </c>
      <c r="B82" s="3" t="s">
        <v>486</v>
      </c>
      <c r="C82" s="4">
        <v>38310</v>
      </c>
      <c r="D82" s="4" t="s">
        <v>286</v>
      </c>
      <c r="E82" s="3" t="s">
        <v>83</v>
      </c>
      <c r="F82" s="3" t="s">
        <v>84</v>
      </c>
      <c r="G82" s="3" t="s">
        <v>85</v>
      </c>
      <c r="H82" s="3" t="s">
        <v>25</v>
      </c>
      <c r="I82" s="3" t="s">
        <v>35</v>
      </c>
      <c r="J82" s="3" t="s">
        <v>38</v>
      </c>
      <c r="K82" s="3" t="s">
        <v>249</v>
      </c>
      <c r="L82" s="3">
        <v>49</v>
      </c>
      <c r="M82" s="7">
        <v>20</v>
      </c>
      <c r="N82" s="8">
        <v>980</v>
      </c>
      <c r="O82" s="3" t="s">
        <v>367</v>
      </c>
      <c r="P82" s="3" t="s">
        <v>370</v>
      </c>
      <c r="S82"/>
    </row>
    <row r="83" spans="1:19" ht="15.6" x14ac:dyDescent="0.3">
      <c r="A83" s="3">
        <v>10334</v>
      </c>
      <c r="B83" s="3" t="s">
        <v>487</v>
      </c>
      <c r="C83" s="4">
        <v>38310</v>
      </c>
      <c r="D83" s="4" t="s">
        <v>286</v>
      </c>
      <c r="E83" s="3" t="s">
        <v>83</v>
      </c>
      <c r="F83" s="3" t="s">
        <v>84</v>
      </c>
      <c r="G83" s="3" t="s">
        <v>85</v>
      </c>
      <c r="H83" s="3" t="s">
        <v>25</v>
      </c>
      <c r="I83" s="3" t="s">
        <v>35</v>
      </c>
      <c r="J83" s="3" t="s">
        <v>36</v>
      </c>
      <c r="K83" s="3" t="s">
        <v>247</v>
      </c>
      <c r="L83" s="3">
        <v>42</v>
      </c>
      <c r="M83" s="7">
        <v>30</v>
      </c>
      <c r="N83" s="8">
        <v>1260</v>
      </c>
      <c r="O83" s="3" t="s">
        <v>367</v>
      </c>
      <c r="P83" s="3" t="s">
        <v>370</v>
      </c>
      <c r="S83"/>
    </row>
    <row r="84" spans="1:19" ht="15.6" x14ac:dyDescent="0.3">
      <c r="A84" s="3">
        <v>10367</v>
      </c>
      <c r="B84" s="3" t="s">
        <v>488</v>
      </c>
      <c r="C84" s="4">
        <v>38364</v>
      </c>
      <c r="D84" s="4" t="s">
        <v>311</v>
      </c>
      <c r="E84" s="3" t="s">
        <v>138</v>
      </c>
      <c r="F84" s="3" t="s">
        <v>139</v>
      </c>
      <c r="G84" s="3" t="s">
        <v>15</v>
      </c>
      <c r="H84" s="3" t="s">
        <v>16</v>
      </c>
      <c r="I84" s="3" t="s">
        <v>32</v>
      </c>
      <c r="J84" s="3" t="s">
        <v>33</v>
      </c>
      <c r="K84" s="3" t="s">
        <v>245</v>
      </c>
      <c r="L84" s="3">
        <v>49</v>
      </c>
      <c r="M84" s="7">
        <v>85</v>
      </c>
      <c r="N84" s="8">
        <v>4165</v>
      </c>
      <c r="O84" s="3" t="s">
        <v>367</v>
      </c>
      <c r="P84" s="3" t="s">
        <v>370</v>
      </c>
      <c r="S84"/>
    </row>
    <row r="85" spans="1:19" ht="15.6" x14ac:dyDescent="0.3">
      <c r="A85" s="3">
        <v>10367</v>
      </c>
      <c r="B85" s="3" t="s">
        <v>489</v>
      </c>
      <c r="C85" s="4">
        <v>38364</v>
      </c>
      <c r="D85" s="4" t="s">
        <v>311</v>
      </c>
      <c r="E85" s="3" t="s">
        <v>138</v>
      </c>
      <c r="F85" s="3" t="s">
        <v>139</v>
      </c>
      <c r="G85" s="3" t="s">
        <v>15</v>
      </c>
      <c r="H85" s="3" t="s">
        <v>16</v>
      </c>
      <c r="I85" s="3" t="s">
        <v>17</v>
      </c>
      <c r="J85" s="3" t="s">
        <v>82</v>
      </c>
      <c r="K85" s="3" t="s">
        <v>270</v>
      </c>
      <c r="L85" s="3">
        <v>37</v>
      </c>
      <c r="M85" s="7">
        <v>75</v>
      </c>
      <c r="N85" s="8">
        <v>2775</v>
      </c>
      <c r="O85" s="3" t="s">
        <v>367</v>
      </c>
      <c r="P85" s="3" t="s">
        <v>370</v>
      </c>
      <c r="S85"/>
    </row>
    <row r="86" spans="1:19" ht="15.6" x14ac:dyDescent="0.3">
      <c r="A86" s="3">
        <v>10367</v>
      </c>
      <c r="B86" s="3" t="s">
        <v>490</v>
      </c>
      <c r="C86" s="4">
        <v>38364</v>
      </c>
      <c r="D86" s="4" t="s">
        <v>311</v>
      </c>
      <c r="E86" s="3" t="s">
        <v>138</v>
      </c>
      <c r="F86" s="3" t="s">
        <v>139</v>
      </c>
      <c r="G86" s="3" t="s">
        <v>15</v>
      </c>
      <c r="H86" s="3" t="s">
        <v>16</v>
      </c>
      <c r="I86" s="3" t="s">
        <v>17</v>
      </c>
      <c r="J86" s="3" t="s">
        <v>26</v>
      </c>
      <c r="K86" s="3" t="s">
        <v>244</v>
      </c>
      <c r="L86" s="3">
        <v>45</v>
      </c>
      <c r="M86" s="7">
        <v>60</v>
      </c>
      <c r="N86" s="8">
        <v>2700</v>
      </c>
      <c r="O86" s="3" t="s">
        <v>367</v>
      </c>
      <c r="P86" s="3" t="s">
        <v>370</v>
      </c>
      <c r="S86"/>
    </row>
    <row r="87" spans="1:19" ht="15.6" x14ac:dyDescent="0.3">
      <c r="A87" s="3">
        <v>10367</v>
      </c>
      <c r="B87" s="3" t="s">
        <v>491</v>
      </c>
      <c r="C87" s="4">
        <v>38364</v>
      </c>
      <c r="D87" s="4" t="s">
        <v>311</v>
      </c>
      <c r="E87" s="3" t="s">
        <v>138</v>
      </c>
      <c r="F87" s="3" t="s">
        <v>139</v>
      </c>
      <c r="G87" s="3" t="s">
        <v>15</v>
      </c>
      <c r="H87" s="3" t="s">
        <v>16</v>
      </c>
      <c r="I87" s="3" t="s">
        <v>17</v>
      </c>
      <c r="J87" s="3" t="s">
        <v>20</v>
      </c>
      <c r="K87" s="3" t="s">
        <v>242</v>
      </c>
      <c r="L87" s="3">
        <v>27</v>
      </c>
      <c r="M87" s="7">
        <v>48</v>
      </c>
      <c r="N87" s="8">
        <v>1296</v>
      </c>
      <c r="O87" s="3" t="s">
        <v>367</v>
      </c>
      <c r="P87" s="3" t="s">
        <v>370</v>
      </c>
      <c r="S87"/>
    </row>
    <row r="88" spans="1:19" ht="15.6" x14ac:dyDescent="0.3">
      <c r="A88" s="3">
        <v>10367</v>
      </c>
      <c r="B88" s="3" t="s">
        <v>492</v>
      </c>
      <c r="C88" s="4">
        <v>38364</v>
      </c>
      <c r="D88" s="4" t="s">
        <v>311</v>
      </c>
      <c r="E88" s="3" t="s">
        <v>138</v>
      </c>
      <c r="F88" s="3" t="s">
        <v>139</v>
      </c>
      <c r="G88" s="3" t="s">
        <v>15</v>
      </c>
      <c r="H88" s="3" t="s">
        <v>16</v>
      </c>
      <c r="I88" s="3" t="s">
        <v>17</v>
      </c>
      <c r="J88" s="3" t="s">
        <v>20</v>
      </c>
      <c r="K88" s="3" t="s">
        <v>242</v>
      </c>
      <c r="L88" s="3">
        <v>32</v>
      </c>
      <c r="M88" s="7">
        <v>48</v>
      </c>
      <c r="N88" s="8">
        <v>1536</v>
      </c>
      <c r="O88" s="3" t="s">
        <v>367</v>
      </c>
      <c r="P88" s="3" t="s">
        <v>370</v>
      </c>
      <c r="S88"/>
    </row>
    <row r="89" spans="1:19" ht="15.6" x14ac:dyDescent="0.3">
      <c r="A89" s="3">
        <v>10367</v>
      </c>
      <c r="B89" s="3" t="s">
        <v>493</v>
      </c>
      <c r="C89" s="4">
        <v>38364</v>
      </c>
      <c r="D89" s="4" t="s">
        <v>311</v>
      </c>
      <c r="E89" s="3" t="s">
        <v>138</v>
      </c>
      <c r="F89" s="3" t="s">
        <v>139</v>
      </c>
      <c r="G89" s="3" t="s">
        <v>15</v>
      </c>
      <c r="H89" s="3" t="s">
        <v>16</v>
      </c>
      <c r="I89" s="3" t="s">
        <v>32</v>
      </c>
      <c r="J89" s="3" t="s">
        <v>33</v>
      </c>
      <c r="K89" s="3" t="s">
        <v>245</v>
      </c>
      <c r="L89" s="3">
        <v>46</v>
      </c>
      <c r="M89" s="7">
        <v>85</v>
      </c>
      <c r="N89" s="8">
        <v>3910</v>
      </c>
      <c r="O89" s="3" t="s">
        <v>367</v>
      </c>
      <c r="P89" s="3" t="s">
        <v>370</v>
      </c>
      <c r="S89"/>
    </row>
    <row r="90" spans="1:19" ht="15.6" x14ac:dyDescent="0.3">
      <c r="A90" s="3">
        <v>10367</v>
      </c>
      <c r="B90" s="3" t="s">
        <v>494</v>
      </c>
      <c r="C90" s="4">
        <v>38364</v>
      </c>
      <c r="D90" s="4" t="s">
        <v>311</v>
      </c>
      <c r="E90" s="3" t="s">
        <v>138</v>
      </c>
      <c r="F90" s="3" t="s">
        <v>139</v>
      </c>
      <c r="G90" s="3" t="s">
        <v>15</v>
      </c>
      <c r="H90" s="3" t="s">
        <v>16</v>
      </c>
      <c r="I90" s="3" t="s">
        <v>17</v>
      </c>
      <c r="J90" s="3" t="s">
        <v>26</v>
      </c>
      <c r="K90" s="3" t="s">
        <v>244</v>
      </c>
      <c r="L90" s="3">
        <v>43</v>
      </c>
      <c r="M90" s="7">
        <v>60</v>
      </c>
      <c r="N90" s="8">
        <v>2580</v>
      </c>
      <c r="O90" s="3" t="s">
        <v>367</v>
      </c>
      <c r="P90" s="3" t="s">
        <v>370</v>
      </c>
      <c r="S90"/>
    </row>
    <row r="91" spans="1:19" ht="15.6" x14ac:dyDescent="0.3">
      <c r="A91" s="3">
        <v>10367</v>
      </c>
      <c r="B91" s="3" t="s">
        <v>495</v>
      </c>
      <c r="C91" s="4">
        <v>38364</v>
      </c>
      <c r="D91" s="4" t="s">
        <v>311</v>
      </c>
      <c r="E91" s="3" t="s">
        <v>138</v>
      </c>
      <c r="F91" s="3" t="s">
        <v>139</v>
      </c>
      <c r="G91" s="3" t="s">
        <v>15</v>
      </c>
      <c r="H91" s="3" t="s">
        <v>16</v>
      </c>
      <c r="I91" s="3" t="s">
        <v>32</v>
      </c>
      <c r="J91" s="3" t="s">
        <v>46</v>
      </c>
      <c r="K91" s="3" t="s">
        <v>254</v>
      </c>
      <c r="L91" s="3">
        <v>44</v>
      </c>
      <c r="M91" s="7">
        <v>90</v>
      </c>
      <c r="N91" s="8">
        <v>3960</v>
      </c>
      <c r="O91" s="3" t="s">
        <v>367</v>
      </c>
      <c r="P91" s="3" t="s">
        <v>370</v>
      </c>
      <c r="S91"/>
    </row>
    <row r="92" spans="1:19" ht="15.6" x14ac:dyDescent="0.3">
      <c r="A92" s="3">
        <v>10367</v>
      </c>
      <c r="B92" s="3" t="s">
        <v>496</v>
      </c>
      <c r="C92" s="4">
        <v>38364</v>
      </c>
      <c r="D92" s="4" t="s">
        <v>311</v>
      </c>
      <c r="E92" s="3" t="s">
        <v>138</v>
      </c>
      <c r="F92" s="3" t="s">
        <v>139</v>
      </c>
      <c r="G92" s="3" t="s">
        <v>15</v>
      </c>
      <c r="H92" s="3" t="s">
        <v>16</v>
      </c>
      <c r="I92" s="3" t="s">
        <v>32</v>
      </c>
      <c r="J92" s="3" t="s">
        <v>46</v>
      </c>
      <c r="K92" s="3" t="s">
        <v>254</v>
      </c>
      <c r="L92" s="3">
        <v>21</v>
      </c>
      <c r="M92" s="7">
        <v>90</v>
      </c>
      <c r="N92" s="8">
        <v>1890</v>
      </c>
      <c r="O92" s="3" t="s">
        <v>367</v>
      </c>
      <c r="P92" s="3" t="s">
        <v>370</v>
      </c>
      <c r="S92"/>
    </row>
    <row r="93" spans="1:19" ht="15.6" x14ac:dyDescent="0.3">
      <c r="A93" s="3">
        <v>10367</v>
      </c>
      <c r="B93" s="3" t="s">
        <v>497</v>
      </c>
      <c r="C93" s="4">
        <v>38364</v>
      </c>
      <c r="D93" s="4" t="s">
        <v>311</v>
      </c>
      <c r="E93" s="3" t="s">
        <v>138</v>
      </c>
      <c r="F93" s="3" t="s">
        <v>139</v>
      </c>
      <c r="G93" s="3" t="s">
        <v>15</v>
      </c>
      <c r="H93" s="3" t="s">
        <v>16</v>
      </c>
      <c r="I93" s="3" t="s">
        <v>32</v>
      </c>
      <c r="J93" s="3" t="s">
        <v>34</v>
      </c>
      <c r="K93" s="3" t="s">
        <v>246</v>
      </c>
      <c r="L93" s="3">
        <v>38</v>
      </c>
      <c r="M93" s="7">
        <v>80</v>
      </c>
      <c r="N93" s="8">
        <v>3040</v>
      </c>
      <c r="O93" s="3" t="s">
        <v>367</v>
      </c>
      <c r="P93" s="3" t="s">
        <v>370</v>
      </c>
      <c r="S93"/>
    </row>
    <row r="94" spans="1:19" ht="15.6" x14ac:dyDescent="0.3">
      <c r="A94" s="3">
        <v>10367</v>
      </c>
      <c r="B94" s="3" t="s">
        <v>498</v>
      </c>
      <c r="C94" s="4">
        <v>38364</v>
      </c>
      <c r="D94" s="4" t="s">
        <v>311</v>
      </c>
      <c r="E94" s="3" t="s">
        <v>138</v>
      </c>
      <c r="F94" s="3" t="s">
        <v>139</v>
      </c>
      <c r="G94" s="3" t="s">
        <v>15</v>
      </c>
      <c r="H94" s="3" t="s">
        <v>16</v>
      </c>
      <c r="I94" s="3" t="s">
        <v>17</v>
      </c>
      <c r="J94" s="3" t="s">
        <v>18</v>
      </c>
      <c r="K94" s="3" t="s">
        <v>241</v>
      </c>
      <c r="L94" s="3">
        <v>23</v>
      </c>
      <c r="M94" s="7">
        <v>30</v>
      </c>
      <c r="N94" s="8">
        <v>690</v>
      </c>
      <c r="O94" s="3" t="s">
        <v>367</v>
      </c>
      <c r="P94" s="3" t="s">
        <v>370</v>
      </c>
      <c r="S94"/>
    </row>
    <row r="95" spans="1:19" ht="15.6" x14ac:dyDescent="0.3">
      <c r="A95" s="3">
        <v>10367</v>
      </c>
      <c r="B95" s="3" t="s">
        <v>499</v>
      </c>
      <c r="C95" s="4">
        <v>38364</v>
      </c>
      <c r="D95" s="4" t="s">
        <v>311</v>
      </c>
      <c r="E95" s="3" t="s">
        <v>138</v>
      </c>
      <c r="F95" s="3" t="s">
        <v>139</v>
      </c>
      <c r="G95" s="3" t="s">
        <v>15</v>
      </c>
      <c r="H95" s="3" t="s">
        <v>16</v>
      </c>
      <c r="I95" s="3" t="s">
        <v>17</v>
      </c>
      <c r="J95" s="3" t="s">
        <v>26</v>
      </c>
      <c r="K95" s="3" t="s">
        <v>244</v>
      </c>
      <c r="L95" s="3">
        <v>28</v>
      </c>
      <c r="M95" s="7">
        <v>60</v>
      </c>
      <c r="N95" s="8">
        <v>1680</v>
      </c>
      <c r="O95" s="3" t="s">
        <v>367</v>
      </c>
      <c r="P95" s="3" t="s">
        <v>370</v>
      </c>
      <c r="S95"/>
    </row>
    <row r="96" spans="1:19" ht="15.6" x14ac:dyDescent="0.3">
      <c r="A96" s="3">
        <v>10367</v>
      </c>
      <c r="B96" s="3" t="s">
        <v>500</v>
      </c>
      <c r="C96" s="4">
        <v>38364</v>
      </c>
      <c r="D96" s="4" t="s">
        <v>311</v>
      </c>
      <c r="E96" s="3" t="s">
        <v>138</v>
      </c>
      <c r="F96" s="3" t="s">
        <v>139</v>
      </c>
      <c r="G96" s="3" t="s">
        <v>15</v>
      </c>
      <c r="H96" s="3" t="s">
        <v>16</v>
      </c>
      <c r="I96" s="3" t="s">
        <v>32</v>
      </c>
      <c r="J96" s="3" t="s">
        <v>46</v>
      </c>
      <c r="K96" s="3" t="s">
        <v>254</v>
      </c>
      <c r="L96" s="3">
        <v>36</v>
      </c>
      <c r="M96" s="7">
        <v>90</v>
      </c>
      <c r="N96" s="8">
        <v>3240</v>
      </c>
      <c r="O96" s="3" t="s">
        <v>367</v>
      </c>
      <c r="P96" s="3" t="s">
        <v>370</v>
      </c>
      <c r="S96"/>
    </row>
    <row r="97" spans="1:19" ht="15.6" x14ac:dyDescent="0.3">
      <c r="A97" s="3">
        <v>10386</v>
      </c>
      <c r="B97" s="3" t="s">
        <v>501</v>
      </c>
      <c r="C97" s="4">
        <v>38412</v>
      </c>
      <c r="D97" s="4" t="s">
        <v>279</v>
      </c>
      <c r="E97" s="3" t="s">
        <v>41</v>
      </c>
      <c r="F97" s="3" t="s">
        <v>42</v>
      </c>
      <c r="G97" s="3" t="s">
        <v>43</v>
      </c>
      <c r="H97" s="3" t="s">
        <v>25</v>
      </c>
      <c r="I97" s="3" t="s">
        <v>61</v>
      </c>
      <c r="J97" s="3" t="s">
        <v>64</v>
      </c>
      <c r="K97" s="3" t="s">
        <v>263</v>
      </c>
      <c r="L97" s="3">
        <v>25</v>
      </c>
      <c r="M97" s="7">
        <v>35</v>
      </c>
      <c r="N97" s="8">
        <v>875</v>
      </c>
      <c r="O97" s="3" t="s">
        <v>367</v>
      </c>
      <c r="P97" s="3" t="s">
        <v>370</v>
      </c>
      <c r="S97"/>
    </row>
    <row r="98" spans="1:19" ht="15.6" x14ac:dyDescent="0.3">
      <c r="A98" s="3">
        <v>10386</v>
      </c>
      <c r="B98" s="3" t="s">
        <v>502</v>
      </c>
      <c r="C98" s="4">
        <v>38412</v>
      </c>
      <c r="D98" s="4" t="s">
        <v>279</v>
      </c>
      <c r="E98" s="3" t="s">
        <v>41</v>
      </c>
      <c r="F98" s="3" t="s">
        <v>42</v>
      </c>
      <c r="G98" s="3" t="s">
        <v>43</v>
      </c>
      <c r="H98" s="3" t="s">
        <v>25</v>
      </c>
      <c r="I98" s="3" t="s">
        <v>61</v>
      </c>
      <c r="J98" s="3" t="s">
        <v>62</v>
      </c>
      <c r="K98" s="3" t="s">
        <v>261</v>
      </c>
      <c r="L98" s="3">
        <v>21</v>
      </c>
      <c r="M98" s="7">
        <v>15</v>
      </c>
      <c r="N98" s="8">
        <v>315</v>
      </c>
      <c r="O98" s="3" t="s">
        <v>367</v>
      </c>
      <c r="P98" s="3" t="s">
        <v>370</v>
      </c>
      <c r="S98"/>
    </row>
    <row r="99" spans="1:19" ht="15.6" x14ac:dyDescent="0.3">
      <c r="A99" s="3">
        <v>10386</v>
      </c>
      <c r="B99" s="3" t="s">
        <v>503</v>
      </c>
      <c r="C99" s="4">
        <v>38412</v>
      </c>
      <c r="D99" s="4" t="s">
        <v>279</v>
      </c>
      <c r="E99" s="3" t="s">
        <v>41</v>
      </c>
      <c r="F99" s="3" t="s">
        <v>42</v>
      </c>
      <c r="G99" s="3" t="s">
        <v>43</v>
      </c>
      <c r="H99" s="3" t="s">
        <v>25</v>
      </c>
      <c r="I99" s="3" t="s">
        <v>54</v>
      </c>
      <c r="J99" s="3" t="s">
        <v>55</v>
      </c>
      <c r="K99" s="3" t="s">
        <v>258</v>
      </c>
      <c r="L99" s="3">
        <v>37</v>
      </c>
      <c r="M99" s="7">
        <v>180</v>
      </c>
      <c r="N99" s="8">
        <v>6660</v>
      </c>
      <c r="O99" s="3" t="s">
        <v>367</v>
      </c>
      <c r="P99" s="3" t="s">
        <v>370</v>
      </c>
      <c r="S99"/>
    </row>
    <row r="100" spans="1:19" ht="15.6" x14ac:dyDescent="0.3">
      <c r="A100" s="3">
        <v>10386</v>
      </c>
      <c r="B100" s="3" t="s">
        <v>504</v>
      </c>
      <c r="C100" s="4">
        <v>38412</v>
      </c>
      <c r="D100" s="4" t="s">
        <v>279</v>
      </c>
      <c r="E100" s="3" t="s">
        <v>41</v>
      </c>
      <c r="F100" s="3" t="s">
        <v>42</v>
      </c>
      <c r="G100" s="3" t="s">
        <v>43</v>
      </c>
      <c r="H100" s="3" t="s">
        <v>25</v>
      </c>
      <c r="I100" s="3" t="s">
        <v>17</v>
      </c>
      <c r="J100" s="3" t="s">
        <v>20</v>
      </c>
      <c r="K100" s="3" t="s">
        <v>242</v>
      </c>
      <c r="L100" s="3">
        <v>22</v>
      </c>
      <c r="M100" s="7">
        <v>48</v>
      </c>
      <c r="N100" s="8">
        <v>1056</v>
      </c>
      <c r="O100" s="3" t="s">
        <v>367</v>
      </c>
      <c r="P100" s="3" t="s">
        <v>370</v>
      </c>
      <c r="S100"/>
    </row>
    <row r="101" spans="1:19" ht="15.6" x14ac:dyDescent="0.3">
      <c r="A101" s="3">
        <v>10386</v>
      </c>
      <c r="B101" s="3" t="s">
        <v>505</v>
      </c>
      <c r="C101" s="4">
        <v>38412</v>
      </c>
      <c r="D101" s="4" t="s">
        <v>279</v>
      </c>
      <c r="E101" s="3" t="s">
        <v>41</v>
      </c>
      <c r="F101" s="3" t="s">
        <v>42</v>
      </c>
      <c r="G101" s="3" t="s">
        <v>43</v>
      </c>
      <c r="H101" s="3" t="s">
        <v>25</v>
      </c>
      <c r="I101" s="3" t="s">
        <v>61</v>
      </c>
      <c r="J101" s="3" t="s">
        <v>64</v>
      </c>
      <c r="K101" s="3" t="s">
        <v>263</v>
      </c>
      <c r="L101" s="3">
        <v>33</v>
      </c>
      <c r="M101" s="7">
        <v>35</v>
      </c>
      <c r="N101" s="8">
        <v>1155</v>
      </c>
      <c r="O101" s="3" t="s">
        <v>367</v>
      </c>
      <c r="P101" s="3" t="s">
        <v>370</v>
      </c>
      <c r="S101"/>
    </row>
    <row r="102" spans="1:19" ht="15.6" x14ac:dyDescent="0.3">
      <c r="A102" s="3">
        <v>10386</v>
      </c>
      <c r="B102" s="3" t="s">
        <v>506</v>
      </c>
      <c r="C102" s="4">
        <v>38412</v>
      </c>
      <c r="D102" s="4" t="s">
        <v>279</v>
      </c>
      <c r="E102" s="3" t="s">
        <v>41</v>
      </c>
      <c r="F102" s="3" t="s">
        <v>42</v>
      </c>
      <c r="G102" s="3" t="s">
        <v>43</v>
      </c>
      <c r="H102" s="3" t="s">
        <v>25</v>
      </c>
      <c r="I102" s="3" t="s">
        <v>61</v>
      </c>
      <c r="J102" s="3" t="s">
        <v>66</v>
      </c>
      <c r="K102" s="3" t="s">
        <v>265</v>
      </c>
      <c r="L102" s="3">
        <v>39</v>
      </c>
      <c r="M102" s="7">
        <v>35</v>
      </c>
      <c r="N102" s="8">
        <v>1365</v>
      </c>
      <c r="O102" s="3" t="s">
        <v>367</v>
      </c>
      <c r="P102" s="3" t="s">
        <v>370</v>
      </c>
      <c r="S102"/>
    </row>
    <row r="103" spans="1:19" ht="15.6" x14ac:dyDescent="0.3">
      <c r="A103" s="3">
        <v>10386</v>
      </c>
      <c r="B103" s="3" t="s">
        <v>507</v>
      </c>
      <c r="C103" s="4">
        <v>38412</v>
      </c>
      <c r="D103" s="4" t="s">
        <v>279</v>
      </c>
      <c r="E103" s="3" t="s">
        <v>41</v>
      </c>
      <c r="F103" s="3" t="s">
        <v>42</v>
      </c>
      <c r="G103" s="3" t="s">
        <v>43</v>
      </c>
      <c r="H103" s="3" t="s">
        <v>25</v>
      </c>
      <c r="I103" s="3" t="s">
        <v>17</v>
      </c>
      <c r="J103" s="3" t="s">
        <v>26</v>
      </c>
      <c r="K103" s="3" t="s">
        <v>244</v>
      </c>
      <c r="L103" s="3">
        <v>35</v>
      </c>
      <c r="M103" s="7">
        <v>60</v>
      </c>
      <c r="N103" s="8">
        <v>2100</v>
      </c>
      <c r="O103" s="3" t="s">
        <v>367</v>
      </c>
      <c r="P103" s="3" t="s">
        <v>370</v>
      </c>
      <c r="S103"/>
    </row>
    <row r="104" spans="1:19" ht="15.6" x14ac:dyDescent="0.3">
      <c r="A104" s="3">
        <v>10386</v>
      </c>
      <c r="B104" s="3" t="s">
        <v>508</v>
      </c>
      <c r="C104" s="4">
        <v>38412</v>
      </c>
      <c r="D104" s="4" t="s">
        <v>279</v>
      </c>
      <c r="E104" s="3" t="s">
        <v>41</v>
      </c>
      <c r="F104" s="3" t="s">
        <v>42</v>
      </c>
      <c r="G104" s="3" t="s">
        <v>43</v>
      </c>
      <c r="H104" s="3" t="s">
        <v>25</v>
      </c>
      <c r="I104" s="3" t="s">
        <v>61</v>
      </c>
      <c r="J104" s="3" t="s">
        <v>66</v>
      </c>
      <c r="K104" s="3" t="s">
        <v>265</v>
      </c>
      <c r="L104" s="3">
        <v>41</v>
      </c>
      <c r="M104" s="7">
        <v>35</v>
      </c>
      <c r="N104" s="8">
        <v>1435</v>
      </c>
      <c r="O104" s="3" t="s">
        <v>367</v>
      </c>
      <c r="P104" s="3" t="s">
        <v>370</v>
      </c>
      <c r="S104"/>
    </row>
    <row r="105" spans="1:19" ht="15.6" x14ac:dyDescent="0.3">
      <c r="A105" s="3">
        <v>10386</v>
      </c>
      <c r="B105" s="3" t="s">
        <v>509</v>
      </c>
      <c r="C105" s="4">
        <v>38412</v>
      </c>
      <c r="D105" s="4" t="s">
        <v>279</v>
      </c>
      <c r="E105" s="3" t="s">
        <v>41</v>
      </c>
      <c r="F105" s="3" t="s">
        <v>42</v>
      </c>
      <c r="G105" s="3" t="s">
        <v>43</v>
      </c>
      <c r="H105" s="3" t="s">
        <v>25</v>
      </c>
      <c r="I105" s="3" t="s">
        <v>61</v>
      </c>
      <c r="J105" s="3" t="s">
        <v>62</v>
      </c>
      <c r="K105" s="3" t="s">
        <v>261</v>
      </c>
      <c r="L105" s="3">
        <v>50</v>
      </c>
      <c r="M105" s="7">
        <v>15</v>
      </c>
      <c r="N105" s="8">
        <v>750</v>
      </c>
      <c r="O105" s="3" t="s">
        <v>368</v>
      </c>
      <c r="P105" s="3" t="s">
        <v>370</v>
      </c>
      <c r="S105"/>
    </row>
    <row r="106" spans="1:19" ht="15.6" x14ac:dyDescent="0.3">
      <c r="A106" s="3">
        <v>10386</v>
      </c>
      <c r="B106" s="3" t="s">
        <v>510</v>
      </c>
      <c r="C106" s="4">
        <v>38412</v>
      </c>
      <c r="D106" s="4" t="s">
        <v>279</v>
      </c>
      <c r="E106" s="3" t="s">
        <v>41</v>
      </c>
      <c r="F106" s="3" t="s">
        <v>42</v>
      </c>
      <c r="G106" s="3" t="s">
        <v>43</v>
      </c>
      <c r="H106" s="3" t="s">
        <v>25</v>
      </c>
      <c r="I106" s="3" t="s">
        <v>54</v>
      </c>
      <c r="J106" s="3" t="s">
        <v>56</v>
      </c>
      <c r="K106" s="3" t="s">
        <v>259</v>
      </c>
      <c r="L106" s="3">
        <v>29</v>
      </c>
      <c r="M106" s="7">
        <v>250</v>
      </c>
      <c r="N106" s="8">
        <v>7250</v>
      </c>
      <c r="O106" s="3" t="s">
        <v>367</v>
      </c>
      <c r="P106" s="3" t="s">
        <v>370</v>
      </c>
      <c r="S106"/>
    </row>
    <row r="107" spans="1:19" ht="15.6" x14ac:dyDescent="0.3">
      <c r="A107" s="3">
        <v>10386</v>
      </c>
      <c r="B107" s="3" t="s">
        <v>511</v>
      </c>
      <c r="C107" s="4">
        <v>38412</v>
      </c>
      <c r="D107" s="4" t="s">
        <v>279</v>
      </c>
      <c r="E107" s="3" t="s">
        <v>41</v>
      </c>
      <c r="F107" s="3" t="s">
        <v>42</v>
      </c>
      <c r="G107" s="3" t="s">
        <v>43</v>
      </c>
      <c r="H107" s="3" t="s">
        <v>25</v>
      </c>
      <c r="I107" s="3" t="s">
        <v>61</v>
      </c>
      <c r="J107" s="3" t="s">
        <v>62</v>
      </c>
      <c r="K107" s="3" t="s">
        <v>261</v>
      </c>
      <c r="L107" s="3">
        <v>37</v>
      </c>
      <c r="M107" s="7">
        <v>15</v>
      </c>
      <c r="N107" s="8">
        <v>555</v>
      </c>
      <c r="O107" s="3" t="s">
        <v>367</v>
      </c>
      <c r="P107" s="3" t="s">
        <v>370</v>
      </c>
      <c r="S107"/>
    </row>
    <row r="108" spans="1:19" ht="15.6" x14ac:dyDescent="0.3">
      <c r="A108" s="3">
        <v>10386</v>
      </c>
      <c r="B108" s="3" t="s">
        <v>512</v>
      </c>
      <c r="C108" s="4">
        <v>38412</v>
      </c>
      <c r="D108" s="4" t="s">
        <v>279</v>
      </c>
      <c r="E108" s="3" t="s">
        <v>41</v>
      </c>
      <c r="F108" s="3" t="s">
        <v>42</v>
      </c>
      <c r="G108" s="3" t="s">
        <v>43</v>
      </c>
      <c r="H108" s="3" t="s">
        <v>25</v>
      </c>
      <c r="I108" s="3" t="s">
        <v>54</v>
      </c>
      <c r="J108" s="3" t="s">
        <v>166</v>
      </c>
      <c r="K108" s="3" t="s">
        <v>273</v>
      </c>
      <c r="L108" s="3">
        <v>37</v>
      </c>
      <c r="M108" s="7">
        <v>160</v>
      </c>
      <c r="N108" s="8">
        <v>5920</v>
      </c>
      <c r="O108" s="3" t="s">
        <v>367</v>
      </c>
      <c r="P108" s="3" t="s">
        <v>370</v>
      </c>
      <c r="S108"/>
    </row>
    <row r="109" spans="1:19" ht="15.6" x14ac:dyDescent="0.3">
      <c r="A109" s="3">
        <v>10386</v>
      </c>
      <c r="B109" s="3" t="s">
        <v>513</v>
      </c>
      <c r="C109" s="4">
        <v>38412</v>
      </c>
      <c r="D109" s="4" t="s">
        <v>279</v>
      </c>
      <c r="E109" s="3" t="s">
        <v>41</v>
      </c>
      <c r="F109" s="3" t="s">
        <v>42</v>
      </c>
      <c r="G109" s="3" t="s">
        <v>43</v>
      </c>
      <c r="H109" s="3" t="s">
        <v>25</v>
      </c>
      <c r="I109" s="3" t="s">
        <v>61</v>
      </c>
      <c r="J109" s="3" t="s">
        <v>62</v>
      </c>
      <c r="K109" s="3" t="s">
        <v>261</v>
      </c>
      <c r="L109" s="3">
        <v>32</v>
      </c>
      <c r="M109" s="7">
        <v>15</v>
      </c>
      <c r="N109" s="8">
        <v>480</v>
      </c>
      <c r="O109" s="3" t="s">
        <v>367</v>
      </c>
      <c r="P109" s="3" t="s">
        <v>370</v>
      </c>
      <c r="S109"/>
    </row>
    <row r="110" spans="1:19" ht="15.6" x14ac:dyDescent="0.3">
      <c r="A110" s="3">
        <v>10386</v>
      </c>
      <c r="B110" s="3" t="s">
        <v>514</v>
      </c>
      <c r="C110" s="4">
        <v>38412</v>
      </c>
      <c r="D110" s="4" t="s">
        <v>279</v>
      </c>
      <c r="E110" s="3" t="s">
        <v>41</v>
      </c>
      <c r="F110" s="3" t="s">
        <v>42</v>
      </c>
      <c r="G110" s="3" t="s">
        <v>43</v>
      </c>
      <c r="H110" s="3" t="s">
        <v>25</v>
      </c>
      <c r="I110" s="3" t="s">
        <v>54</v>
      </c>
      <c r="J110" s="3" t="s">
        <v>57</v>
      </c>
      <c r="K110" s="3" t="s">
        <v>260</v>
      </c>
      <c r="L110" s="3">
        <v>45</v>
      </c>
      <c r="M110" s="7">
        <v>220</v>
      </c>
      <c r="N110" s="8">
        <v>9900</v>
      </c>
      <c r="O110" s="3" t="s">
        <v>367</v>
      </c>
      <c r="P110" s="3" t="s">
        <v>370</v>
      </c>
      <c r="S110"/>
    </row>
    <row r="111" spans="1:19" ht="15.6" x14ac:dyDescent="0.3">
      <c r="A111" s="3">
        <v>10386</v>
      </c>
      <c r="B111" s="3" t="s">
        <v>515</v>
      </c>
      <c r="C111" s="4">
        <v>38412</v>
      </c>
      <c r="D111" s="4" t="s">
        <v>279</v>
      </c>
      <c r="E111" s="3" t="s">
        <v>41</v>
      </c>
      <c r="F111" s="3" t="s">
        <v>42</v>
      </c>
      <c r="G111" s="3" t="s">
        <v>43</v>
      </c>
      <c r="H111" s="3" t="s">
        <v>25</v>
      </c>
      <c r="I111" s="3" t="s">
        <v>54</v>
      </c>
      <c r="J111" s="3" t="s">
        <v>57</v>
      </c>
      <c r="K111" s="3" t="s">
        <v>260</v>
      </c>
      <c r="L111" s="3">
        <v>30</v>
      </c>
      <c r="M111" s="7">
        <v>220</v>
      </c>
      <c r="N111" s="8">
        <v>6600</v>
      </c>
      <c r="O111" s="3" t="s">
        <v>367</v>
      </c>
      <c r="P111" s="3" t="s">
        <v>370</v>
      </c>
      <c r="S111"/>
    </row>
    <row r="112" spans="1:19" ht="15.6" x14ac:dyDescent="0.3">
      <c r="A112" s="3">
        <v>10386</v>
      </c>
      <c r="B112" s="3" t="s">
        <v>516</v>
      </c>
      <c r="C112" s="4">
        <v>38412</v>
      </c>
      <c r="D112" s="4" t="s">
        <v>279</v>
      </c>
      <c r="E112" s="3" t="s">
        <v>41</v>
      </c>
      <c r="F112" s="3" t="s">
        <v>42</v>
      </c>
      <c r="G112" s="3" t="s">
        <v>43</v>
      </c>
      <c r="H112" s="3" t="s">
        <v>25</v>
      </c>
      <c r="I112" s="3" t="s">
        <v>61</v>
      </c>
      <c r="J112" s="3" t="s">
        <v>62</v>
      </c>
      <c r="K112" s="3" t="s">
        <v>261</v>
      </c>
      <c r="L112" s="3">
        <v>44</v>
      </c>
      <c r="M112" s="7">
        <v>15</v>
      </c>
      <c r="N112" s="8">
        <v>660</v>
      </c>
      <c r="O112" s="3" t="s">
        <v>367</v>
      </c>
      <c r="P112" s="3" t="s">
        <v>370</v>
      </c>
      <c r="S112"/>
    </row>
    <row r="113" spans="1:19" ht="15.6" x14ac:dyDescent="0.3">
      <c r="A113" s="3">
        <v>10386</v>
      </c>
      <c r="B113" s="3" t="s">
        <v>517</v>
      </c>
      <c r="C113" s="4">
        <v>38412</v>
      </c>
      <c r="D113" s="4" t="s">
        <v>279</v>
      </c>
      <c r="E113" s="3" t="s">
        <v>41</v>
      </c>
      <c r="F113" s="3" t="s">
        <v>42</v>
      </c>
      <c r="G113" s="3" t="s">
        <v>43</v>
      </c>
      <c r="H113" s="3" t="s">
        <v>25</v>
      </c>
      <c r="I113" s="3" t="s">
        <v>61</v>
      </c>
      <c r="J113" s="3" t="s">
        <v>62</v>
      </c>
      <c r="K113" s="3" t="s">
        <v>261</v>
      </c>
      <c r="L113" s="3">
        <v>50</v>
      </c>
      <c r="M113" s="7">
        <v>15</v>
      </c>
      <c r="N113" s="8">
        <v>750</v>
      </c>
      <c r="O113" s="3" t="s">
        <v>368</v>
      </c>
      <c r="P113" s="3" t="s">
        <v>370</v>
      </c>
      <c r="S113"/>
    </row>
    <row r="114" spans="1:19" ht="15.6" x14ac:dyDescent="0.3">
      <c r="A114" s="3">
        <v>10386</v>
      </c>
      <c r="B114" s="3" t="s">
        <v>518</v>
      </c>
      <c r="C114" s="4">
        <v>38412</v>
      </c>
      <c r="D114" s="4" t="s">
        <v>279</v>
      </c>
      <c r="E114" s="3" t="s">
        <v>41</v>
      </c>
      <c r="F114" s="3" t="s">
        <v>42</v>
      </c>
      <c r="G114" s="3" t="s">
        <v>43</v>
      </c>
      <c r="H114" s="3" t="s">
        <v>25</v>
      </c>
      <c r="I114" s="3" t="s">
        <v>54</v>
      </c>
      <c r="J114" s="3" t="s">
        <v>166</v>
      </c>
      <c r="K114" s="3" t="s">
        <v>273</v>
      </c>
      <c r="L114" s="3">
        <v>43</v>
      </c>
      <c r="M114" s="7">
        <v>160</v>
      </c>
      <c r="N114" s="8">
        <v>6880</v>
      </c>
      <c r="O114" s="3" t="s">
        <v>367</v>
      </c>
      <c r="P114" s="3" t="s">
        <v>370</v>
      </c>
      <c r="S114"/>
    </row>
    <row r="115" spans="1:19" ht="15.6" x14ac:dyDescent="0.3">
      <c r="A115" s="3">
        <v>10401</v>
      </c>
      <c r="B115" s="3" t="s">
        <v>519</v>
      </c>
      <c r="C115" s="4">
        <v>38445</v>
      </c>
      <c r="D115" s="4" t="s">
        <v>354</v>
      </c>
      <c r="E115" s="3" t="s">
        <v>219</v>
      </c>
      <c r="F115" s="3" t="s">
        <v>220</v>
      </c>
      <c r="G115" s="3" t="s">
        <v>15</v>
      </c>
      <c r="H115" s="3" t="s">
        <v>16</v>
      </c>
      <c r="I115" s="3" t="s">
        <v>61</v>
      </c>
      <c r="J115" s="3" t="s">
        <v>66</v>
      </c>
      <c r="K115" s="3" t="s">
        <v>265</v>
      </c>
      <c r="L115" s="3">
        <v>42</v>
      </c>
      <c r="M115" s="7">
        <v>35</v>
      </c>
      <c r="N115" s="8">
        <v>1470</v>
      </c>
      <c r="O115" s="3" t="s">
        <v>367</v>
      </c>
      <c r="P115" s="3" t="s">
        <v>370</v>
      </c>
      <c r="S115"/>
    </row>
    <row r="116" spans="1:19" ht="15.6" x14ac:dyDescent="0.3">
      <c r="A116" s="3">
        <v>10401</v>
      </c>
      <c r="B116" s="3" t="s">
        <v>520</v>
      </c>
      <c r="C116" s="4">
        <v>38445</v>
      </c>
      <c r="D116" s="4" t="s">
        <v>354</v>
      </c>
      <c r="E116" s="3" t="s">
        <v>219</v>
      </c>
      <c r="F116" s="3" t="s">
        <v>220</v>
      </c>
      <c r="G116" s="3" t="s">
        <v>15</v>
      </c>
      <c r="H116" s="3" t="s">
        <v>16</v>
      </c>
      <c r="I116" s="3" t="s">
        <v>61</v>
      </c>
      <c r="J116" s="3" t="s">
        <v>62</v>
      </c>
      <c r="K116" s="3" t="s">
        <v>261</v>
      </c>
      <c r="L116" s="3">
        <v>38</v>
      </c>
      <c r="M116" s="7">
        <v>15</v>
      </c>
      <c r="N116" s="8">
        <v>570</v>
      </c>
      <c r="O116" s="3" t="s">
        <v>367</v>
      </c>
      <c r="P116" s="3" t="s">
        <v>370</v>
      </c>
      <c r="S116"/>
    </row>
    <row r="117" spans="1:19" ht="15.6" x14ac:dyDescent="0.3">
      <c r="A117" s="3">
        <v>10401</v>
      </c>
      <c r="B117" s="3" t="s">
        <v>521</v>
      </c>
      <c r="C117" s="4">
        <v>38445</v>
      </c>
      <c r="D117" s="4" t="s">
        <v>354</v>
      </c>
      <c r="E117" s="3" t="s">
        <v>219</v>
      </c>
      <c r="F117" s="3" t="s">
        <v>220</v>
      </c>
      <c r="G117" s="3" t="s">
        <v>15</v>
      </c>
      <c r="H117" s="3" t="s">
        <v>16</v>
      </c>
      <c r="I117" s="3" t="s">
        <v>61</v>
      </c>
      <c r="J117" s="3" t="s">
        <v>62</v>
      </c>
      <c r="K117" s="3" t="s">
        <v>261</v>
      </c>
      <c r="L117" s="3">
        <v>64</v>
      </c>
      <c r="M117" s="7">
        <v>15</v>
      </c>
      <c r="N117" s="8">
        <v>960</v>
      </c>
      <c r="O117" s="3" t="s">
        <v>368</v>
      </c>
      <c r="P117" s="3" t="s">
        <v>370</v>
      </c>
      <c r="S117"/>
    </row>
    <row r="118" spans="1:19" ht="15.6" x14ac:dyDescent="0.3">
      <c r="A118" s="3">
        <v>10401</v>
      </c>
      <c r="B118" s="3" t="s">
        <v>522</v>
      </c>
      <c r="C118" s="4">
        <v>38445</v>
      </c>
      <c r="D118" s="4" t="s">
        <v>354</v>
      </c>
      <c r="E118" s="3" t="s">
        <v>219</v>
      </c>
      <c r="F118" s="3" t="s">
        <v>220</v>
      </c>
      <c r="G118" s="3" t="s">
        <v>15</v>
      </c>
      <c r="H118" s="3" t="s">
        <v>16</v>
      </c>
      <c r="I118" s="3" t="s">
        <v>61</v>
      </c>
      <c r="J118" s="3" t="s">
        <v>62</v>
      </c>
      <c r="K118" s="3" t="s">
        <v>261</v>
      </c>
      <c r="L118" s="3">
        <v>52</v>
      </c>
      <c r="M118" s="7">
        <v>15</v>
      </c>
      <c r="N118" s="8">
        <v>780</v>
      </c>
      <c r="O118" s="3" t="s">
        <v>368</v>
      </c>
      <c r="P118" s="3" t="s">
        <v>370</v>
      </c>
      <c r="S118"/>
    </row>
    <row r="119" spans="1:19" ht="15.6" x14ac:dyDescent="0.3">
      <c r="A119" s="3">
        <v>10401</v>
      </c>
      <c r="B119" s="3" t="s">
        <v>523</v>
      </c>
      <c r="C119" s="4">
        <v>38445</v>
      </c>
      <c r="D119" s="4" t="s">
        <v>354</v>
      </c>
      <c r="E119" s="3" t="s">
        <v>219</v>
      </c>
      <c r="F119" s="3" t="s">
        <v>220</v>
      </c>
      <c r="G119" s="3" t="s">
        <v>15</v>
      </c>
      <c r="H119" s="3" t="s">
        <v>16</v>
      </c>
      <c r="I119" s="3" t="s">
        <v>68</v>
      </c>
      <c r="J119" s="3" t="s">
        <v>69</v>
      </c>
      <c r="K119" s="3" t="s">
        <v>266</v>
      </c>
      <c r="L119" s="3">
        <v>49</v>
      </c>
      <c r="M119" s="7">
        <v>25</v>
      </c>
      <c r="N119" s="8">
        <v>1225</v>
      </c>
      <c r="O119" s="3" t="s">
        <v>367</v>
      </c>
      <c r="P119" s="3" t="s">
        <v>370</v>
      </c>
      <c r="S119"/>
    </row>
    <row r="120" spans="1:19" ht="15.6" x14ac:dyDescent="0.3">
      <c r="A120" s="3">
        <v>10401</v>
      </c>
      <c r="B120" s="3" t="s">
        <v>524</v>
      </c>
      <c r="C120" s="4">
        <v>38445</v>
      </c>
      <c r="D120" s="4" t="s">
        <v>354</v>
      </c>
      <c r="E120" s="3" t="s">
        <v>219</v>
      </c>
      <c r="F120" s="3" t="s">
        <v>220</v>
      </c>
      <c r="G120" s="3" t="s">
        <v>15</v>
      </c>
      <c r="H120" s="3" t="s">
        <v>16</v>
      </c>
      <c r="I120" s="3" t="s">
        <v>17</v>
      </c>
      <c r="J120" s="3" t="s">
        <v>20</v>
      </c>
      <c r="K120" s="3" t="s">
        <v>242</v>
      </c>
      <c r="L120" s="3">
        <v>62</v>
      </c>
      <c r="M120" s="7">
        <v>48</v>
      </c>
      <c r="N120" s="8">
        <v>2976</v>
      </c>
      <c r="O120" s="3" t="s">
        <v>368</v>
      </c>
      <c r="P120" s="3" t="s">
        <v>370</v>
      </c>
      <c r="S120"/>
    </row>
    <row r="121" spans="1:19" ht="15.6" x14ac:dyDescent="0.3">
      <c r="A121" s="3">
        <v>10401</v>
      </c>
      <c r="B121" s="3" t="s">
        <v>525</v>
      </c>
      <c r="C121" s="4">
        <v>38445</v>
      </c>
      <c r="D121" s="4" t="s">
        <v>354</v>
      </c>
      <c r="E121" s="3" t="s">
        <v>219</v>
      </c>
      <c r="F121" s="3" t="s">
        <v>220</v>
      </c>
      <c r="G121" s="3" t="s">
        <v>15</v>
      </c>
      <c r="H121" s="3" t="s">
        <v>16</v>
      </c>
      <c r="I121" s="3" t="s">
        <v>17</v>
      </c>
      <c r="J121" s="3" t="s">
        <v>18</v>
      </c>
      <c r="K121" s="3" t="s">
        <v>241</v>
      </c>
      <c r="L121" s="3">
        <v>56</v>
      </c>
      <c r="M121" s="7">
        <v>30</v>
      </c>
      <c r="N121" s="8">
        <v>1680</v>
      </c>
      <c r="O121" s="3" t="s">
        <v>368</v>
      </c>
      <c r="P121" s="3" t="s">
        <v>370</v>
      </c>
      <c r="S121"/>
    </row>
    <row r="122" spans="1:19" ht="15.6" x14ac:dyDescent="0.3">
      <c r="A122" s="3">
        <v>10401</v>
      </c>
      <c r="B122" s="3" t="s">
        <v>526</v>
      </c>
      <c r="C122" s="4">
        <v>38445</v>
      </c>
      <c r="D122" s="4" t="s">
        <v>354</v>
      </c>
      <c r="E122" s="3" t="s">
        <v>219</v>
      </c>
      <c r="F122" s="3" t="s">
        <v>220</v>
      </c>
      <c r="G122" s="3" t="s">
        <v>15</v>
      </c>
      <c r="H122" s="3" t="s">
        <v>16</v>
      </c>
      <c r="I122" s="3" t="s">
        <v>61</v>
      </c>
      <c r="J122" s="3" t="s">
        <v>66</v>
      </c>
      <c r="K122" s="3" t="s">
        <v>265</v>
      </c>
      <c r="L122" s="3">
        <v>11</v>
      </c>
      <c r="M122" s="7">
        <v>35</v>
      </c>
      <c r="N122" s="8">
        <v>385</v>
      </c>
      <c r="O122" s="3" t="s">
        <v>367</v>
      </c>
      <c r="P122" s="3" t="s">
        <v>370</v>
      </c>
      <c r="S122"/>
    </row>
    <row r="123" spans="1:19" ht="15.6" x14ac:dyDescent="0.3">
      <c r="A123" s="3">
        <v>10401</v>
      </c>
      <c r="B123" s="3" t="s">
        <v>527</v>
      </c>
      <c r="C123" s="4">
        <v>38445</v>
      </c>
      <c r="D123" s="4" t="s">
        <v>354</v>
      </c>
      <c r="E123" s="3" t="s">
        <v>219</v>
      </c>
      <c r="F123" s="3" t="s">
        <v>220</v>
      </c>
      <c r="G123" s="3" t="s">
        <v>15</v>
      </c>
      <c r="H123" s="3" t="s">
        <v>16</v>
      </c>
      <c r="I123" s="3" t="s">
        <v>61</v>
      </c>
      <c r="J123" s="3" t="s">
        <v>66</v>
      </c>
      <c r="K123" s="3" t="s">
        <v>265</v>
      </c>
      <c r="L123" s="3">
        <v>85</v>
      </c>
      <c r="M123" s="7">
        <v>35</v>
      </c>
      <c r="N123" s="8">
        <v>2975</v>
      </c>
      <c r="O123" s="3" t="s">
        <v>369</v>
      </c>
      <c r="P123" s="3" t="s">
        <v>370</v>
      </c>
      <c r="S123"/>
    </row>
    <row r="124" spans="1:19" ht="15.6" x14ac:dyDescent="0.3">
      <c r="A124" s="3">
        <v>10401</v>
      </c>
      <c r="B124" s="3" t="s">
        <v>528</v>
      </c>
      <c r="C124" s="4">
        <v>38445</v>
      </c>
      <c r="D124" s="4" t="s">
        <v>354</v>
      </c>
      <c r="E124" s="3" t="s">
        <v>219</v>
      </c>
      <c r="F124" s="3" t="s">
        <v>220</v>
      </c>
      <c r="G124" s="3" t="s">
        <v>15</v>
      </c>
      <c r="H124" s="3" t="s">
        <v>16</v>
      </c>
      <c r="I124" s="3" t="s">
        <v>61</v>
      </c>
      <c r="J124" s="3" t="s">
        <v>62</v>
      </c>
      <c r="K124" s="3" t="s">
        <v>261</v>
      </c>
      <c r="L124" s="3">
        <v>21</v>
      </c>
      <c r="M124" s="7">
        <v>15</v>
      </c>
      <c r="N124" s="8">
        <v>315</v>
      </c>
      <c r="O124" s="3" t="s">
        <v>367</v>
      </c>
      <c r="P124" s="3" t="s">
        <v>370</v>
      </c>
      <c r="S124"/>
    </row>
    <row r="125" spans="1:19" ht="15.6" x14ac:dyDescent="0.3">
      <c r="A125" s="3">
        <v>10401</v>
      </c>
      <c r="B125" s="3" t="s">
        <v>529</v>
      </c>
      <c r="C125" s="4">
        <v>38445</v>
      </c>
      <c r="D125" s="4" t="s">
        <v>354</v>
      </c>
      <c r="E125" s="3" t="s">
        <v>219</v>
      </c>
      <c r="F125" s="3" t="s">
        <v>220</v>
      </c>
      <c r="G125" s="3" t="s">
        <v>15</v>
      </c>
      <c r="H125" s="3" t="s">
        <v>16</v>
      </c>
      <c r="I125" s="3" t="s">
        <v>61</v>
      </c>
      <c r="J125" s="3" t="s">
        <v>65</v>
      </c>
      <c r="K125" s="3" t="s">
        <v>264</v>
      </c>
      <c r="L125" s="3">
        <v>77</v>
      </c>
      <c r="M125" s="7">
        <v>30</v>
      </c>
      <c r="N125" s="8">
        <v>2310</v>
      </c>
      <c r="O125" s="3" t="s">
        <v>369</v>
      </c>
      <c r="P125" s="3" t="s">
        <v>370</v>
      </c>
      <c r="S125"/>
    </row>
    <row r="126" spans="1:19" ht="15.6" x14ac:dyDescent="0.3">
      <c r="A126" s="3">
        <v>10401</v>
      </c>
      <c r="B126" s="3" t="s">
        <v>530</v>
      </c>
      <c r="C126" s="4">
        <v>38445</v>
      </c>
      <c r="D126" s="4" t="s">
        <v>354</v>
      </c>
      <c r="E126" s="3" t="s">
        <v>219</v>
      </c>
      <c r="F126" s="3" t="s">
        <v>220</v>
      </c>
      <c r="G126" s="3" t="s">
        <v>15</v>
      </c>
      <c r="H126" s="3" t="s">
        <v>16</v>
      </c>
      <c r="I126" s="3" t="s">
        <v>61</v>
      </c>
      <c r="J126" s="3" t="s">
        <v>62</v>
      </c>
      <c r="K126" s="3" t="s">
        <v>261</v>
      </c>
      <c r="L126" s="3">
        <v>28</v>
      </c>
      <c r="M126" s="7">
        <v>15</v>
      </c>
      <c r="N126" s="8">
        <v>420</v>
      </c>
      <c r="O126" s="3" t="s">
        <v>367</v>
      </c>
      <c r="P126" s="3" t="s">
        <v>370</v>
      </c>
      <c r="S126"/>
    </row>
    <row r="127" spans="1:19" ht="15.6" x14ac:dyDescent="0.3">
      <c r="A127" s="3">
        <v>10406</v>
      </c>
      <c r="B127" s="3" t="s">
        <v>531</v>
      </c>
      <c r="C127" s="4">
        <v>38457</v>
      </c>
      <c r="D127" s="4" t="s">
        <v>280</v>
      </c>
      <c r="E127" s="3" t="s">
        <v>49</v>
      </c>
      <c r="F127" s="3" t="s">
        <v>50</v>
      </c>
      <c r="G127" s="3" t="s">
        <v>51</v>
      </c>
      <c r="H127" s="3" t="s">
        <v>25</v>
      </c>
      <c r="I127" s="3" t="s">
        <v>32</v>
      </c>
      <c r="J127" s="3" t="s">
        <v>46</v>
      </c>
      <c r="K127" s="3" t="s">
        <v>254</v>
      </c>
      <c r="L127" s="3">
        <v>61</v>
      </c>
      <c r="M127" s="7">
        <v>90</v>
      </c>
      <c r="N127" s="8">
        <v>5490</v>
      </c>
      <c r="O127" s="3" t="s">
        <v>368</v>
      </c>
      <c r="P127" s="3" t="s">
        <v>370</v>
      </c>
      <c r="S127"/>
    </row>
    <row r="128" spans="1:19" ht="15.6" x14ac:dyDescent="0.3">
      <c r="A128" s="3">
        <v>10406</v>
      </c>
      <c r="B128" s="3" t="s">
        <v>532</v>
      </c>
      <c r="C128" s="4">
        <v>38457</v>
      </c>
      <c r="D128" s="4" t="s">
        <v>280</v>
      </c>
      <c r="E128" s="3" t="s">
        <v>49</v>
      </c>
      <c r="F128" s="3" t="s">
        <v>50</v>
      </c>
      <c r="G128" s="3" t="s">
        <v>51</v>
      </c>
      <c r="H128" s="3" t="s">
        <v>25</v>
      </c>
      <c r="I128" s="3" t="s">
        <v>32</v>
      </c>
      <c r="J128" s="3" t="s">
        <v>45</v>
      </c>
      <c r="K128" s="3" t="s">
        <v>253</v>
      </c>
      <c r="L128" s="3">
        <v>48</v>
      </c>
      <c r="M128" s="7">
        <v>35</v>
      </c>
      <c r="N128" s="8">
        <v>1680</v>
      </c>
      <c r="O128" s="3" t="s">
        <v>367</v>
      </c>
      <c r="P128" s="3" t="s">
        <v>370</v>
      </c>
      <c r="S128"/>
    </row>
    <row r="129" spans="1:19" ht="15.6" x14ac:dyDescent="0.3">
      <c r="A129" s="3">
        <v>10406</v>
      </c>
      <c r="B129" s="3" t="s">
        <v>533</v>
      </c>
      <c r="C129" s="4">
        <v>38457</v>
      </c>
      <c r="D129" s="4" t="s">
        <v>280</v>
      </c>
      <c r="E129" s="3" t="s">
        <v>49</v>
      </c>
      <c r="F129" s="3" t="s">
        <v>50</v>
      </c>
      <c r="G129" s="3" t="s">
        <v>51</v>
      </c>
      <c r="H129" s="3" t="s">
        <v>25</v>
      </c>
      <c r="I129" s="3" t="s">
        <v>32</v>
      </c>
      <c r="J129" s="3" t="s">
        <v>46</v>
      </c>
      <c r="K129" s="3" t="s">
        <v>254</v>
      </c>
      <c r="L129" s="3">
        <v>65</v>
      </c>
      <c r="M129" s="7">
        <v>90</v>
      </c>
      <c r="N129" s="8">
        <v>5850</v>
      </c>
      <c r="O129" s="3" t="s">
        <v>368</v>
      </c>
      <c r="P129" s="3" t="s">
        <v>370</v>
      </c>
      <c r="S129"/>
    </row>
    <row r="130" spans="1:19" ht="15.6" x14ac:dyDescent="0.3">
      <c r="A130" s="3">
        <v>10407</v>
      </c>
      <c r="B130" s="3" t="s">
        <v>534</v>
      </c>
      <c r="C130" s="4">
        <v>38464</v>
      </c>
      <c r="D130" s="4" t="s">
        <v>358</v>
      </c>
      <c r="E130" s="3" t="s">
        <v>226</v>
      </c>
      <c r="F130" s="3" t="s">
        <v>227</v>
      </c>
      <c r="G130" s="3" t="s">
        <v>15</v>
      </c>
      <c r="H130" s="3" t="s">
        <v>16</v>
      </c>
      <c r="I130" s="3" t="s">
        <v>32</v>
      </c>
      <c r="J130" s="3" t="s">
        <v>34</v>
      </c>
      <c r="K130" s="3" t="s">
        <v>246</v>
      </c>
      <c r="L130" s="3">
        <v>59</v>
      </c>
      <c r="M130" s="7">
        <v>80</v>
      </c>
      <c r="N130" s="8">
        <v>4720</v>
      </c>
      <c r="O130" s="3" t="s">
        <v>368</v>
      </c>
      <c r="P130" s="3" t="s">
        <v>370</v>
      </c>
      <c r="S130"/>
    </row>
    <row r="131" spans="1:19" ht="15.6" x14ac:dyDescent="0.3">
      <c r="A131" s="3">
        <v>10407</v>
      </c>
      <c r="B131" s="3" t="s">
        <v>535</v>
      </c>
      <c r="C131" s="4">
        <v>38464</v>
      </c>
      <c r="D131" s="4" t="s">
        <v>358</v>
      </c>
      <c r="E131" s="3" t="s">
        <v>226</v>
      </c>
      <c r="F131" s="3" t="s">
        <v>227</v>
      </c>
      <c r="G131" s="3" t="s">
        <v>15</v>
      </c>
      <c r="H131" s="3" t="s">
        <v>16</v>
      </c>
      <c r="I131" s="3" t="s">
        <v>17</v>
      </c>
      <c r="J131" s="3" t="s">
        <v>20</v>
      </c>
      <c r="K131" s="3" t="s">
        <v>242</v>
      </c>
      <c r="L131" s="3">
        <v>76</v>
      </c>
      <c r="M131" s="7">
        <v>48</v>
      </c>
      <c r="N131" s="8">
        <v>3648</v>
      </c>
      <c r="O131" s="3" t="s">
        <v>369</v>
      </c>
      <c r="P131" s="3" t="s">
        <v>370</v>
      </c>
      <c r="S131"/>
    </row>
    <row r="132" spans="1:19" ht="15.6" x14ac:dyDescent="0.3">
      <c r="A132" s="3">
        <v>10407</v>
      </c>
      <c r="B132" s="3" t="s">
        <v>536</v>
      </c>
      <c r="C132" s="4">
        <v>38464</v>
      </c>
      <c r="D132" s="4" t="s">
        <v>358</v>
      </c>
      <c r="E132" s="3" t="s">
        <v>226</v>
      </c>
      <c r="F132" s="3" t="s">
        <v>227</v>
      </c>
      <c r="G132" s="3" t="s">
        <v>15</v>
      </c>
      <c r="H132" s="3" t="s">
        <v>16</v>
      </c>
      <c r="I132" s="3" t="s">
        <v>17</v>
      </c>
      <c r="J132" s="3" t="s">
        <v>20</v>
      </c>
      <c r="K132" s="3" t="s">
        <v>242</v>
      </c>
      <c r="L132" s="3">
        <v>42</v>
      </c>
      <c r="M132" s="7">
        <v>48</v>
      </c>
      <c r="N132" s="8">
        <v>2016</v>
      </c>
      <c r="O132" s="3" t="s">
        <v>367</v>
      </c>
      <c r="P132" s="3" t="s">
        <v>370</v>
      </c>
      <c r="S132"/>
    </row>
    <row r="133" spans="1:19" ht="15.6" x14ac:dyDescent="0.3">
      <c r="A133" s="3">
        <v>10407</v>
      </c>
      <c r="B133" s="3" t="s">
        <v>537</v>
      </c>
      <c r="C133" s="4">
        <v>38464</v>
      </c>
      <c r="D133" s="4" t="s">
        <v>358</v>
      </c>
      <c r="E133" s="3" t="s">
        <v>226</v>
      </c>
      <c r="F133" s="3" t="s">
        <v>227</v>
      </c>
      <c r="G133" s="3" t="s">
        <v>15</v>
      </c>
      <c r="H133" s="3" t="s">
        <v>16</v>
      </c>
      <c r="I133" s="3" t="s">
        <v>32</v>
      </c>
      <c r="J133" s="3" t="s">
        <v>46</v>
      </c>
      <c r="K133" s="3" t="s">
        <v>254</v>
      </c>
      <c r="L133" s="3">
        <v>41</v>
      </c>
      <c r="M133" s="7">
        <v>90</v>
      </c>
      <c r="N133" s="8">
        <v>3690</v>
      </c>
      <c r="O133" s="3" t="s">
        <v>367</v>
      </c>
      <c r="P133" s="3" t="s">
        <v>370</v>
      </c>
      <c r="S133"/>
    </row>
    <row r="134" spans="1:19" ht="15.6" x14ac:dyDescent="0.3">
      <c r="A134" s="3">
        <v>10407</v>
      </c>
      <c r="B134" s="3" t="s">
        <v>538</v>
      </c>
      <c r="C134" s="4">
        <v>38464</v>
      </c>
      <c r="D134" s="4" t="s">
        <v>358</v>
      </c>
      <c r="E134" s="3" t="s">
        <v>226</v>
      </c>
      <c r="F134" s="3" t="s">
        <v>227</v>
      </c>
      <c r="G134" s="3" t="s">
        <v>15</v>
      </c>
      <c r="H134" s="3" t="s">
        <v>16</v>
      </c>
      <c r="I134" s="3" t="s">
        <v>17</v>
      </c>
      <c r="J134" s="3" t="s">
        <v>20</v>
      </c>
      <c r="K134" s="3" t="s">
        <v>242</v>
      </c>
      <c r="L134" s="3">
        <v>6</v>
      </c>
      <c r="M134" s="7">
        <v>48</v>
      </c>
      <c r="N134" s="8">
        <v>288</v>
      </c>
      <c r="O134" s="3" t="s">
        <v>367</v>
      </c>
      <c r="P134" s="3" t="s">
        <v>370</v>
      </c>
      <c r="S134"/>
    </row>
    <row r="135" spans="1:19" ht="15.6" x14ac:dyDescent="0.3">
      <c r="A135" s="3">
        <v>10407</v>
      </c>
      <c r="B135" s="3" t="s">
        <v>539</v>
      </c>
      <c r="C135" s="4">
        <v>38464</v>
      </c>
      <c r="D135" s="4" t="s">
        <v>358</v>
      </c>
      <c r="E135" s="3" t="s">
        <v>226</v>
      </c>
      <c r="F135" s="3" t="s">
        <v>227</v>
      </c>
      <c r="G135" s="3" t="s">
        <v>15</v>
      </c>
      <c r="H135" s="3" t="s">
        <v>16</v>
      </c>
      <c r="I135" s="3" t="s">
        <v>32</v>
      </c>
      <c r="J135" s="3" t="s">
        <v>33</v>
      </c>
      <c r="K135" s="3" t="s">
        <v>245</v>
      </c>
      <c r="L135" s="3">
        <v>66</v>
      </c>
      <c r="M135" s="7">
        <v>85</v>
      </c>
      <c r="N135" s="8">
        <v>5610</v>
      </c>
      <c r="O135" s="3" t="s">
        <v>368</v>
      </c>
      <c r="P135" s="3" t="s">
        <v>370</v>
      </c>
      <c r="S135"/>
    </row>
    <row r="136" spans="1:19" ht="15.6" x14ac:dyDescent="0.3">
      <c r="A136" s="3">
        <v>10407</v>
      </c>
      <c r="B136" s="3" t="s">
        <v>540</v>
      </c>
      <c r="C136" s="4">
        <v>38464</v>
      </c>
      <c r="D136" s="4" t="s">
        <v>358</v>
      </c>
      <c r="E136" s="3" t="s">
        <v>226</v>
      </c>
      <c r="F136" s="3" t="s">
        <v>227</v>
      </c>
      <c r="G136" s="3" t="s">
        <v>15</v>
      </c>
      <c r="H136" s="3" t="s">
        <v>16</v>
      </c>
      <c r="I136" s="3" t="s">
        <v>32</v>
      </c>
      <c r="J136" s="3" t="s">
        <v>34</v>
      </c>
      <c r="K136" s="3" t="s">
        <v>246</v>
      </c>
      <c r="L136" s="3">
        <v>26</v>
      </c>
      <c r="M136" s="7">
        <v>80</v>
      </c>
      <c r="N136" s="8">
        <v>2080</v>
      </c>
      <c r="O136" s="3" t="s">
        <v>367</v>
      </c>
      <c r="P136" s="3" t="s">
        <v>370</v>
      </c>
      <c r="S136"/>
    </row>
    <row r="137" spans="1:19" ht="15.6" x14ac:dyDescent="0.3">
      <c r="A137" s="3">
        <v>10407</v>
      </c>
      <c r="B137" s="3" t="s">
        <v>541</v>
      </c>
      <c r="C137" s="4">
        <v>38464</v>
      </c>
      <c r="D137" s="4" t="s">
        <v>358</v>
      </c>
      <c r="E137" s="3" t="s">
        <v>226</v>
      </c>
      <c r="F137" s="3" t="s">
        <v>227</v>
      </c>
      <c r="G137" s="3" t="s">
        <v>15</v>
      </c>
      <c r="H137" s="3" t="s">
        <v>16</v>
      </c>
      <c r="I137" s="3" t="s">
        <v>32</v>
      </c>
      <c r="J137" s="3" t="s">
        <v>33</v>
      </c>
      <c r="K137" s="3" t="s">
        <v>245</v>
      </c>
      <c r="L137" s="3">
        <v>64</v>
      </c>
      <c r="M137" s="7">
        <v>85</v>
      </c>
      <c r="N137" s="8">
        <v>5440</v>
      </c>
      <c r="O137" s="3" t="s">
        <v>368</v>
      </c>
      <c r="P137" s="3" t="s">
        <v>370</v>
      </c>
      <c r="S137"/>
    </row>
    <row r="138" spans="1:19" ht="15.6" x14ac:dyDescent="0.3">
      <c r="A138" s="3">
        <v>10407</v>
      </c>
      <c r="B138" s="3" t="s">
        <v>542</v>
      </c>
      <c r="C138" s="4">
        <v>38464</v>
      </c>
      <c r="D138" s="4" t="s">
        <v>358</v>
      </c>
      <c r="E138" s="3" t="s">
        <v>226</v>
      </c>
      <c r="F138" s="3" t="s">
        <v>227</v>
      </c>
      <c r="G138" s="3" t="s">
        <v>15</v>
      </c>
      <c r="H138" s="3" t="s">
        <v>16</v>
      </c>
      <c r="I138" s="3" t="s">
        <v>32</v>
      </c>
      <c r="J138" s="3" t="s">
        <v>34</v>
      </c>
      <c r="K138" s="3" t="s">
        <v>246</v>
      </c>
      <c r="L138" s="3">
        <v>76</v>
      </c>
      <c r="M138" s="7">
        <v>80</v>
      </c>
      <c r="N138" s="8">
        <v>6080</v>
      </c>
      <c r="O138" s="3" t="s">
        <v>369</v>
      </c>
      <c r="P138" s="3" t="s">
        <v>370</v>
      </c>
      <c r="S138"/>
    </row>
    <row r="139" spans="1:19" ht="15.6" x14ac:dyDescent="0.3">
      <c r="A139" s="3">
        <v>10407</v>
      </c>
      <c r="B139" s="3" t="s">
        <v>543</v>
      </c>
      <c r="C139" s="4">
        <v>38464</v>
      </c>
      <c r="D139" s="4" t="s">
        <v>358</v>
      </c>
      <c r="E139" s="3" t="s">
        <v>226</v>
      </c>
      <c r="F139" s="3" t="s">
        <v>227</v>
      </c>
      <c r="G139" s="3" t="s">
        <v>15</v>
      </c>
      <c r="H139" s="3" t="s">
        <v>16</v>
      </c>
      <c r="I139" s="3" t="s">
        <v>32</v>
      </c>
      <c r="J139" s="3" t="s">
        <v>45</v>
      </c>
      <c r="K139" s="3" t="s">
        <v>253</v>
      </c>
      <c r="L139" s="3">
        <v>59</v>
      </c>
      <c r="M139" s="7">
        <v>35</v>
      </c>
      <c r="N139" s="8">
        <v>2065</v>
      </c>
      <c r="O139" s="3" t="s">
        <v>368</v>
      </c>
      <c r="P139" s="3" t="s">
        <v>370</v>
      </c>
      <c r="S139"/>
    </row>
    <row r="140" spans="1:19" ht="15.6" x14ac:dyDescent="0.3">
      <c r="A140" s="3">
        <v>10407</v>
      </c>
      <c r="B140" s="3" t="s">
        <v>544</v>
      </c>
      <c r="C140" s="4">
        <v>38464</v>
      </c>
      <c r="D140" s="4" t="s">
        <v>358</v>
      </c>
      <c r="E140" s="3" t="s">
        <v>226</v>
      </c>
      <c r="F140" s="3" t="s">
        <v>227</v>
      </c>
      <c r="G140" s="3" t="s">
        <v>15</v>
      </c>
      <c r="H140" s="3" t="s">
        <v>16</v>
      </c>
      <c r="I140" s="3" t="s">
        <v>32</v>
      </c>
      <c r="J140" s="3" t="s">
        <v>34</v>
      </c>
      <c r="K140" s="3" t="s">
        <v>246</v>
      </c>
      <c r="L140" s="3">
        <v>13</v>
      </c>
      <c r="M140" s="7">
        <v>80</v>
      </c>
      <c r="N140" s="8">
        <v>1040</v>
      </c>
      <c r="O140" s="3" t="s">
        <v>367</v>
      </c>
      <c r="P140" s="3" t="s">
        <v>370</v>
      </c>
      <c r="S140"/>
    </row>
    <row r="141" spans="1:19" ht="15.6" x14ac:dyDescent="0.3">
      <c r="A141" s="3">
        <v>10407</v>
      </c>
      <c r="B141" s="3" t="s">
        <v>545</v>
      </c>
      <c r="C141" s="4">
        <v>38464</v>
      </c>
      <c r="D141" s="4" t="s">
        <v>358</v>
      </c>
      <c r="E141" s="3" t="s">
        <v>226</v>
      </c>
      <c r="F141" s="3" t="s">
        <v>227</v>
      </c>
      <c r="G141" s="3" t="s">
        <v>15</v>
      </c>
      <c r="H141" s="3" t="s">
        <v>16</v>
      </c>
      <c r="I141" s="3" t="s">
        <v>32</v>
      </c>
      <c r="J141" s="3" t="s">
        <v>44</v>
      </c>
      <c r="K141" s="3" t="s">
        <v>252</v>
      </c>
      <c r="L141" s="3">
        <v>43</v>
      </c>
      <c r="M141" s="7">
        <v>55</v>
      </c>
      <c r="N141" s="8">
        <v>2365</v>
      </c>
      <c r="O141" s="3" t="s">
        <v>367</v>
      </c>
      <c r="P141" s="3" t="s">
        <v>370</v>
      </c>
      <c r="S141"/>
    </row>
    <row r="142" spans="1:19" ht="15.6" x14ac:dyDescent="0.3">
      <c r="A142" s="3">
        <v>10414</v>
      </c>
      <c r="B142" s="3" t="s">
        <v>546</v>
      </c>
      <c r="C142" s="4">
        <v>38478</v>
      </c>
      <c r="D142" s="4" t="s">
        <v>360</v>
      </c>
      <c r="E142" s="3" t="s">
        <v>230</v>
      </c>
      <c r="F142" s="3" t="s">
        <v>198</v>
      </c>
      <c r="G142" s="3" t="s">
        <v>15</v>
      </c>
      <c r="H142" s="3" t="s">
        <v>16</v>
      </c>
      <c r="I142" s="3" t="s">
        <v>32</v>
      </c>
      <c r="J142" s="3" t="s">
        <v>34</v>
      </c>
      <c r="K142" s="3" t="s">
        <v>246</v>
      </c>
      <c r="L142" s="3">
        <v>19</v>
      </c>
      <c r="M142" s="7">
        <v>80</v>
      </c>
      <c r="N142" s="8">
        <v>1520</v>
      </c>
      <c r="O142" s="3" t="s">
        <v>367</v>
      </c>
      <c r="P142" s="3" t="s">
        <v>370</v>
      </c>
      <c r="S142"/>
    </row>
    <row r="143" spans="1:19" ht="15.6" x14ac:dyDescent="0.3">
      <c r="A143" s="3">
        <v>10414</v>
      </c>
      <c r="B143" s="3" t="s">
        <v>547</v>
      </c>
      <c r="C143" s="4">
        <v>38478</v>
      </c>
      <c r="D143" s="4" t="s">
        <v>360</v>
      </c>
      <c r="E143" s="3" t="s">
        <v>230</v>
      </c>
      <c r="F143" s="3" t="s">
        <v>198</v>
      </c>
      <c r="G143" s="3" t="s">
        <v>15</v>
      </c>
      <c r="H143" s="3" t="s">
        <v>16</v>
      </c>
      <c r="I143" s="3" t="s">
        <v>54</v>
      </c>
      <c r="J143" s="3" t="s">
        <v>57</v>
      </c>
      <c r="K143" s="3" t="s">
        <v>260</v>
      </c>
      <c r="L143" s="3">
        <v>44</v>
      </c>
      <c r="M143" s="7">
        <v>220</v>
      </c>
      <c r="N143" s="8">
        <v>9680</v>
      </c>
      <c r="O143" s="3" t="s">
        <v>367</v>
      </c>
      <c r="P143" s="3" t="s">
        <v>370</v>
      </c>
      <c r="S143"/>
    </row>
    <row r="144" spans="1:19" ht="15.6" x14ac:dyDescent="0.3">
      <c r="A144" s="3">
        <v>10414</v>
      </c>
      <c r="B144" s="3" t="s">
        <v>548</v>
      </c>
      <c r="C144" s="4">
        <v>38478</v>
      </c>
      <c r="D144" s="4" t="s">
        <v>360</v>
      </c>
      <c r="E144" s="3" t="s">
        <v>230</v>
      </c>
      <c r="F144" s="3" t="s">
        <v>198</v>
      </c>
      <c r="G144" s="3" t="s">
        <v>15</v>
      </c>
      <c r="H144" s="3" t="s">
        <v>16</v>
      </c>
      <c r="I144" s="3" t="s">
        <v>17</v>
      </c>
      <c r="J144" s="3" t="s">
        <v>20</v>
      </c>
      <c r="K144" s="3" t="s">
        <v>242</v>
      </c>
      <c r="L144" s="3">
        <v>41</v>
      </c>
      <c r="M144" s="7">
        <v>48</v>
      </c>
      <c r="N144" s="8">
        <v>1968</v>
      </c>
      <c r="O144" s="3" t="s">
        <v>367</v>
      </c>
      <c r="P144" s="3" t="s">
        <v>370</v>
      </c>
      <c r="S144"/>
    </row>
    <row r="145" spans="1:19" ht="15.6" x14ac:dyDescent="0.3">
      <c r="A145" s="3">
        <v>10414</v>
      </c>
      <c r="B145" s="3" t="s">
        <v>549</v>
      </c>
      <c r="C145" s="4">
        <v>38478</v>
      </c>
      <c r="D145" s="4" t="s">
        <v>360</v>
      </c>
      <c r="E145" s="3" t="s">
        <v>230</v>
      </c>
      <c r="F145" s="3" t="s">
        <v>198</v>
      </c>
      <c r="G145" s="3" t="s">
        <v>15</v>
      </c>
      <c r="H145" s="3" t="s">
        <v>16</v>
      </c>
      <c r="I145" s="3" t="s">
        <v>47</v>
      </c>
      <c r="J145" s="3" t="s">
        <v>53</v>
      </c>
      <c r="K145" s="3" t="s">
        <v>257</v>
      </c>
      <c r="L145" s="3">
        <v>48</v>
      </c>
      <c r="M145" s="7">
        <v>90</v>
      </c>
      <c r="N145" s="8">
        <v>4320</v>
      </c>
      <c r="O145" s="3" t="s">
        <v>367</v>
      </c>
      <c r="P145" s="3" t="s">
        <v>370</v>
      </c>
      <c r="S145"/>
    </row>
    <row r="146" spans="1:19" ht="15.6" x14ac:dyDescent="0.3">
      <c r="A146" s="3">
        <v>10414</v>
      </c>
      <c r="B146" s="3" t="s">
        <v>550</v>
      </c>
      <c r="C146" s="4">
        <v>38478</v>
      </c>
      <c r="D146" s="4" t="s">
        <v>360</v>
      </c>
      <c r="E146" s="3" t="s">
        <v>230</v>
      </c>
      <c r="F146" s="3" t="s">
        <v>198</v>
      </c>
      <c r="G146" s="3" t="s">
        <v>15</v>
      </c>
      <c r="H146" s="3" t="s">
        <v>16</v>
      </c>
      <c r="I146" s="3" t="s">
        <v>17</v>
      </c>
      <c r="J146" s="3" t="s">
        <v>82</v>
      </c>
      <c r="K146" s="3" t="s">
        <v>270</v>
      </c>
      <c r="L146" s="3">
        <v>16</v>
      </c>
      <c r="M146" s="7">
        <v>75</v>
      </c>
      <c r="N146" s="8">
        <v>1200</v>
      </c>
      <c r="O146" s="3" t="s">
        <v>367</v>
      </c>
      <c r="P146" s="3" t="s">
        <v>370</v>
      </c>
      <c r="S146"/>
    </row>
    <row r="147" spans="1:19" ht="15.6" x14ac:dyDescent="0.3">
      <c r="A147" s="3">
        <v>10414</v>
      </c>
      <c r="B147" s="3" t="s">
        <v>551</v>
      </c>
      <c r="C147" s="4">
        <v>38478</v>
      </c>
      <c r="D147" s="4" t="s">
        <v>360</v>
      </c>
      <c r="E147" s="3" t="s">
        <v>230</v>
      </c>
      <c r="F147" s="3" t="s">
        <v>198</v>
      </c>
      <c r="G147" s="3" t="s">
        <v>15</v>
      </c>
      <c r="H147" s="3" t="s">
        <v>16</v>
      </c>
      <c r="I147" s="3" t="s">
        <v>54</v>
      </c>
      <c r="J147" s="3" t="s">
        <v>57</v>
      </c>
      <c r="K147" s="3" t="s">
        <v>260</v>
      </c>
      <c r="L147" s="3">
        <v>23</v>
      </c>
      <c r="M147" s="7">
        <v>220</v>
      </c>
      <c r="N147" s="8">
        <v>5060</v>
      </c>
      <c r="O147" s="3" t="s">
        <v>367</v>
      </c>
      <c r="P147" s="3" t="s">
        <v>370</v>
      </c>
      <c r="S147"/>
    </row>
    <row r="148" spans="1:19" ht="15.6" x14ac:dyDescent="0.3">
      <c r="A148" s="3">
        <v>10414</v>
      </c>
      <c r="B148" s="3" t="s">
        <v>552</v>
      </c>
      <c r="C148" s="4">
        <v>38478</v>
      </c>
      <c r="D148" s="4" t="s">
        <v>360</v>
      </c>
      <c r="E148" s="3" t="s">
        <v>230</v>
      </c>
      <c r="F148" s="3" t="s">
        <v>198</v>
      </c>
      <c r="G148" s="3" t="s">
        <v>15</v>
      </c>
      <c r="H148" s="3" t="s">
        <v>16</v>
      </c>
      <c r="I148" s="3" t="s">
        <v>17</v>
      </c>
      <c r="J148" s="3" t="s">
        <v>20</v>
      </c>
      <c r="K148" s="3" t="s">
        <v>242</v>
      </c>
      <c r="L148" s="3">
        <v>60</v>
      </c>
      <c r="M148" s="7">
        <v>48</v>
      </c>
      <c r="N148" s="8">
        <v>2880</v>
      </c>
      <c r="O148" s="3" t="s">
        <v>368</v>
      </c>
      <c r="P148" s="3" t="s">
        <v>370</v>
      </c>
      <c r="S148"/>
    </row>
    <row r="149" spans="1:19" ht="15.6" x14ac:dyDescent="0.3">
      <c r="A149" s="3">
        <v>10414</v>
      </c>
      <c r="B149" s="3" t="s">
        <v>553</v>
      </c>
      <c r="C149" s="4">
        <v>38478</v>
      </c>
      <c r="D149" s="4" t="s">
        <v>360</v>
      </c>
      <c r="E149" s="3" t="s">
        <v>230</v>
      </c>
      <c r="F149" s="3" t="s">
        <v>198</v>
      </c>
      <c r="G149" s="3" t="s">
        <v>15</v>
      </c>
      <c r="H149" s="3" t="s">
        <v>16</v>
      </c>
      <c r="I149" s="3" t="s">
        <v>17</v>
      </c>
      <c r="J149" s="3" t="s">
        <v>26</v>
      </c>
      <c r="K149" s="3" t="s">
        <v>244</v>
      </c>
      <c r="L149" s="3">
        <v>51</v>
      </c>
      <c r="M149" s="7">
        <v>60</v>
      </c>
      <c r="N149" s="8">
        <v>3060</v>
      </c>
      <c r="O149" s="3" t="s">
        <v>368</v>
      </c>
      <c r="P149" s="3" t="s">
        <v>370</v>
      </c>
      <c r="S149"/>
    </row>
    <row r="150" spans="1:19" ht="15.6" x14ac:dyDescent="0.3">
      <c r="A150" s="3">
        <v>10414</v>
      </c>
      <c r="B150" s="3" t="s">
        <v>554</v>
      </c>
      <c r="C150" s="4">
        <v>38478</v>
      </c>
      <c r="D150" s="4" t="s">
        <v>360</v>
      </c>
      <c r="E150" s="3" t="s">
        <v>230</v>
      </c>
      <c r="F150" s="3" t="s">
        <v>198</v>
      </c>
      <c r="G150" s="3" t="s">
        <v>15</v>
      </c>
      <c r="H150" s="3" t="s">
        <v>16</v>
      </c>
      <c r="I150" s="3" t="s">
        <v>54</v>
      </c>
      <c r="J150" s="3" t="s">
        <v>57</v>
      </c>
      <c r="K150" s="3" t="s">
        <v>260</v>
      </c>
      <c r="L150" s="3">
        <v>37</v>
      </c>
      <c r="M150" s="7">
        <v>220</v>
      </c>
      <c r="N150" s="8">
        <v>8140</v>
      </c>
      <c r="O150" s="3" t="s">
        <v>367</v>
      </c>
      <c r="P150" s="3" t="s">
        <v>370</v>
      </c>
      <c r="S150"/>
    </row>
    <row r="151" spans="1:19" ht="15.6" x14ac:dyDescent="0.3">
      <c r="A151" s="3">
        <v>10414</v>
      </c>
      <c r="B151" s="3" t="s">
        <v>555</v>
      </c>
      <c r="C151" s="4">
        <v>38478</v>
      </c>
      <c r="D151" s="4" t="s">
        <v>360</v>
      </c>
      <c r="E151" s="3" t="s">
        <v>230</v>
      </c>
      <c r="F151" s="3" t="s">
        <v>198</v>
      </c>
      <c r="G151" s="3" t="s">
        <v>15</v>
      </c>
      <c r="H151" s="3" t="s">
        <v>16</v>
      </c>
      <c r="I151" s="3" t="s">
        <v>54</v>
      </c>
      <c r="J151" s="3" t="s">
        <v>56</v>
      </c>
      <c r="K151" s="3" t="s">
        <v>259</v>
      </c>
      <c r="L151" s="3">
        <v>34</v>
      </c>
      <c r="M151" s="7">
        <v>250</v>
      </c>
      <c r="N151" s="8">
        <v>8500</v>
      </c>
      <c r="O151" s="3" t="s">
        <v>367</v>
      </c>
      <c r="P151" s="3" t="s">
        <v>370</v>
      </c>
      <c r="S151"/>
    </row>
    <row r="152" spans="1:19" ht="15.6" x14ac:dyDescent="0.3">
      <c r="A152" s="3">
        <v>10414</v>
      </c>
      <c r="B152" s="3" t="s">
        <v>556</v>
      </c>
      <c r="C152" s="4">
        <v>38478</v>
      </c>
      <c r="D152" s="4" t="s">
        <v>360</v>
      </c>
      <c r="E152" s="3" t="s">
        <v>230</v>
      </c>
      <c r="F152" s="3" t="s">
        <v>198</v>
      </c>
      <c r="G152" s="3" t="s">
        <v>15</v>
      </c>
      <c r="H152" s="3" t="s">
        <v>16</v>
      </c>
      <c r="I152" s="3" t="s">
        <v>54</v>
      </c>
      <c r="J152" s="3" t="s">
        <v>56</v>
      </c>
      <c r="K152" s="3" t="s">
        <v>259</v>
      </c>
      <c r="L152" s="3">
        <v>31</v>
      </c>
      <c r="M152" s="7">
        <v>250</v>
      </c>
      <c r="N152" s="8">
        <v>7750</v>
      </c>
      <c r="O152" s="3" t="s">
        <v>367</v>
      </c>
      <c r="P152" s="3" t="s">
        <v>370</v>
      </c>
      <c r="S152"/>
    </row>
    <row r="153" spans="1:19" ht="15.6" x14ac:dyDescent="0.3">
      <c r="A153" s="3">
        <v>10414</v>
      </c>
      <c r="B153" s="3" t="s">
        <v>557</v>
      </c>
      <c r="C153" s="4">
        <v>38478</v>
      </c>
      <c r="D153" s="4" t="s">
        <v>360</v>
      </c>
      <c r="E153" s="3" t="s">
        <v>230</v>
      </c>
      <c r="F153" s="3" t="s">
        <v>198</v>
      </c>
      <c r="G153" s="3" t="s">
        <v>15</v>
      </c>
      <c r="H153" s="3" t="s">
        <v>16</v>
      </c>
      <c r="I153" s="3" t="s">
        <v>54</v>
      </c>
      <c r="J153" s="3" t="s">
        <v>57</v>
      </c>
      <c r="K153" s="3" t="s">
        <v>260</v>
      </c>
      <c r="L153" s="3">
        <v>28</v>
      </c>
      <c r="M153" s="7">
        <v>220</v>
      </c>
      <c r="N153" s="8">
        <v>6160</v>
      </c>
      <c r="O153" s="3" t="s">
        <v>367</v>
      </c>
      <c r="P153" s="3" t="s">
        <v>370</v>
      </c>
      <c r="S153"/>
    </row>
    <row r="154" spans="1:19" ht="15.6" x14ac:dyDescent="0.3">
      <c r="A154" s="3">
        <v>10414</v>
      </c>
      <c r="B154" s="3" t="s">
        <v>558</v>
      </c>
      <c r="C154" s="4">
        <v>38478</v>
      </c>
      <c r="D154" s="4" t="s">
        <v>360</v>
      </c>
      <c r="E154" s="3" t="s">
        <v>230</v>
      </c>
      <c r="F154" s="3" t="s">
        <v>198</v>
      </c>
      <c r="G154" s="3" t="s">
        <v>15</v>
      </c>
      <c r="H154" s="3" t="s">
        <v>16</v>
      </c>
      <c r="I154" s="3" t="s">
        <v>54</v>
      </c>
      <c r="J154" s="3" t="s">
        <v>57</v>
      </c>
      <c r="K154" s="3" t="s">
        <v>260</v>
      </c>
      <c r="L154" s="3">
        <v>27</v>
      </c>
      <c r="M154" s="7">
        <v>220</v>
      </c>
      <c r="N154" s="8">
        <v>5940</v>
      </c>
      <c r="O154" s="3" t="s">
        <v>367</v>
      </c>
      <c r="P154" s="3" t="s">
        <v>370</v>
      </c>
      <c r="S154"/>
    </row>
    <row r="155" spans="1:19" ht="15.6" x14ac:dyDescent="0.3">
      <c r="A155" s="3">
        <v>10414</v>
      </c>
      <c r="B155" s="3" t="s">
        <v>559</v>
      </c>
      <c r="C155" s="4">
        <v>38478</v>
      </c>
      <c r="D155" s="4" t="s">
        <v>360</v>
      </c>
      <c r="E155" s="3" t="s">
        <v>230</v>
      </c>
      <c r="F155" s="3" t="s">
        <v>198</v>
      </c>
      <c r="G155" s="3" t="s">
        <v>15</v>
      </c>
      <c r="H155" s="3" t="s">
        <v>16</v>
      </c>
      <c r="I155" s="3" t="s">
        <v>54</v>
      </c>
      <c r="J155" s="3" t="s">
        <v>57</v>
      </c>
      <c r="K155" s="3" t="s">
        <v>260</v>
      </c>
      <c r="L155" s="3">
        <v>47</v>
      </c>
      <c r="M155" s="7">
        <v>220</v>
      </c>
      <c r="N155" s="8">
        <v>10340</v>
      </c>
      <c r="O155" s="3" t="s">
        <v>367</v>
      </c>
      <c r="P155" s="3" t="s">
        <v>370</v>
      </c>
      <c r="S155"/>
    </row>
    <row r="156" spans="1:19" ht="15.6" x14ac:dyDescent="0.3">
      <c r="A156" s="3">
        <v>10415</v>
      </c>
      <c r="B156" s="3" t="s">
        <v>560</v>
      </c>
      <c r="C156" s="4">
        <v>38481</v>
      </c>
      <c r="D156" s="4" t="s">
        <v>337</v>
      </c>
      <c r="E156" s="3" t="s">
        <v>185</v>
      </c>
      <c r="F156" s="3" t="s">
        <v>186</v>
      </c>
      <c r="G156" s="3" t="s">
        <v>106</v>
      </c>
      <c r="H156" s="3" t="s">
        <v>107</v>
      </c>
      <c r="I156" s="3" t="s">
        <v>17</v>
      </c>
      <c r="J156" s="3" t="s">
        <v>26</v>
      </c>
      <c r="K156" s="3" t="s">
        <v>244</v>
      </c>
      <c r="L156" s="3">
        <v>51</v>
      </c>
      <c r="M156" s="7">
        <v>60</v>
      </c>
      <c r="N156" s="8">
        <v>3060</v>
      </c>
      <c r="O156" s="3" t="s">
        <v>368</v>
      </c>
      <c r="P156" s="3" t="s">
        <v>370</v>
      </c>
      <c r="S156"/>
    </row>
    <row r="157" spans="1:19" ht="15.6" x14ac:dyDescent="0.3">
      <c r="A157" s="3">
        <v>10415</v>
      </c>
      <c r="B157" s="3" t="s">
        <v>561</v>
      </c>
      <c r="C157" s="4">
        <v>38481</v>
      </c>
      <c r="D157" s="4" t="s">
        <v>337</v>
      </c>
      <c r="E157" s="3" t="s">
        <v>185</v>
      </c>
      <c r="F157" s="3" t="s">
        <v>186</v>
      </c>
      <c r="G157" s="3" t="s">
        <v>106</v>
      </c>
      <c r="H157" s="3" t="s">
        <v>107</v>
      </c>
      <c r="I157" s="3" t="s">
        <v>61</v>
      </c>
      <c r="J157" s="3" t="s">
        <v>62</v>
      </c>
      <c r="K157" s="3" t="s">
        <v>261</v>
      </c>
      <c r="L157" s="3">
        <v>21</v>
      </c>
      <c r="M157" s="7">
        <v>15</v>
      </c>
      <c r="N157" s="8">
        <v>315</v>
      </c>
      <c r="O157" s="3" t="s">
        <v>367</v>
      </c>
      <c r="P157" s="3" t="s">
        <v>370</v>
      </c>
      <c r="S157"/>
    </row>
    <row r="158" spans="1:19" ht="15.6" x14ac:dyDescent="0.3">
      <c r="A158" s="3">
        <v>10415</v>
      </c>
      <c r="B158" s="3" t="s">
        <v>562</v>
      </c>
      <c r="C158" s="4">
        <v>38481</v>
      </c>
      <c r="D158" s="4" t="s">
        <v>337</v>
      </c>
      <c r="E158" s="3" t="s">
        <v>185</v>
      </c>
      <c r="F158" s="3" t="s">
        <v>186</v>
      </c>
      <c r="G158" s="3" t="s">
        <v>106</v>
      </c>
      <c r="H158" s="3" t="s">
        <v>107</v>
      </c>
      <c r="I158" s="3" t="s">
        <v>17</v>
      </c>
      <c r="J158" s="3" t="s">
        <v>82</v>
      </c>
      <c r="K158" s="3" t="s">
        <v>270</v>
      </c>
      <c r="L158" s="3">
        <v>18</v>
      </c>
      <c r="M158" s="7">
        <v>75</v>
      </c>
      <c r="N158" s="8">
        <v>1350</v>
      </c>
      <c r="O158" s="3" t="s">
        <v>367</v>
      </c>
      <c r="P158" s="3" t="s">
        <v>370</v>
      </c>
      <c r="S158"/>
    </row>
    <row r="159" spans="1:19" ht="15.6" x14ac:dyDescent="0.3">
      <c r="A159" s="3">
        <v>10415</v>
      </c>
      <c r="B159" s="3" t="s">
        <v>563</v>
      </c>
      <c r="C159" s="4">
        <v>38481</v>
      </c>
      <c r="D159" s="4" t="s">
        <v>337</v>
      </c>
      <c r="E159" s="3" t="s">
        <v>185</v>
      </c>
      <c r="F159" s="3" t="s">
        <v>186</v>
      </c>
      <c r="G159" s="3" t="s">
        <v>106</v>
      </c>
      <c r="H159" s="3" t="s">
        <v>107</v>
      </c>
      <c r="I159" s="3" t="s">
        <v>54</v>
      </c>
      <c r="J159" s="3" t="s">
        <v>56</v>
      </c>
      <c r="K159" s="3" t="s">
        <v>259</v>
      </c>
      <c r="L159" s="3">
        <v>32</v>
      </c>
      <c r="M159" s="7">
        <v>250</v>
      </c>
      <c r="N159" s="8">
        <v>8000</v>
      </c>
      <c r="O159" s="3" t="s">
        <v>367</v>
      </c>
      <c r="P159" s="3" t="s">
        <v>370</v>
      </c>
      <c r="S159"/>
    </row>
    <row r="160" spans="1:19" ht="15.6" x14ac:dyDescent="0.3">
      <c r="A160" s="3">
        <v>10415</v>
      </c>
      <c r="B160" s="3" t="s">
        <v>564</v>
      </c>
      <c r="C160" s="4">
        <v>38481</v>
      </c>
      <c r="D160" s="4" t="s">
        <v>337</v>
      </c>
      <c r="E160" s="3" t="s">
        <v>185</v>
      </c>
      <c r="F160" s="3" t="s">
        <v>186</v>
      </c>
      <c r="G160" s="3" t="s">
        <v>106</v>
      </c>
      <c r="H160" s="3" t="s">
        <v>107</v>
      </c>
      <c r="I160" s="3" t="s">
        <v>61</v>
      </c>
      <c r="J160" s="3" t="s">
        <v>65</v>
      </c>
      <c r="K160" s="3" t="s">
        <v>264</v>
      </c>
      <c r="L160" s="3">
        <v>42</v>
      </c>
      <c r="M160" s="7">
        <v>30</v>
      </c>
      <c r="N160" s="8">
        <v>1260</v>
      </c>
      <c r="O160" s="3" t="s">
        <v>367</v>
      </c>
      <c r="P160" s="3" t="s">
        <v>370</v>
      </c>
      <c r="S160"/>
    </row>
    <row r="161" spans="1:19" ht="15.6" x14ac:dyDescent="0.3">
      <c r="A161" s="3">
        <v>10417</v>
      </c>
      <c r="B161" s="3" t="s">
        <v>565</v>
      </c>
      <c r="C161" s="4">
        <v>38485</v>
      </c>
      <c r="D161" s="4" t="s">
        <v>279</v>
      </c>
      <c r="E161" s="3" t="s">
        <v>41</v>
      </c>
      <c r="F161" s="3" t="s">
        <v>42</v>
      </c>
      <c r="G161" s="3" t="s">
        <v>43</v>
      </c>
      <c r="H161" s="3" t="s">
        <v>25</v>
      </c>
      <c r="I161" s="3" t="s">
        <v>68</v>
      </c>
      <c r="J161" s="3" t="s">
        <v>70</v>
      </c>
      <c r="K161" s="3" t="s">
        <v>267</v>
      </c>
      <c r="L161" s="3">
        <v>66</v>
      </c>
      <c r="M161" s="7">
        <v>50</v>
      </c>
      <c r="N161" s="8">
        <v>3300</v>
      </c>
      <c r="O161" s="3" t="s">
        <v>368</v>
      </c>
      <c r="P161" s="3" t="s">
        <v>370</v>
      </c>
      <c r="S161"/>
    </row>
    <row r="162" spans="1:19" ht="15.6" x14ac:dyDescent="0.3">
      <c r="A162" s="3">
        <v>10417</v>
      </c>
      <c r="B162" s="3" t="s">
        <v>566</v>
      </c>
      <c r="C162" s="4">
        <v>38485</v>
      </c>
      <c r="D162" s="4" t="s">
        <v>279</v>
      </c>
      <c r="E162" s="3" t="s">
        <v>41</v>
      </c>
      <c r="F162" s="3" t="s">
        <v>42</v>
      </c>
      <c r="G162" s="3" t="s">
        <v>43</v>
      </c>
      <c r="H162" s="3" t="s">
        <v>25</v>
      </c>
      <c r="I162" s="3" t="s">
        <v>68</v>
      </c>
      <c r="J162" s="3" t="s">
        <v>70</v>
      </c>
      <c r="K162" s="3" t="s">
        <v>267</v>
      </c>
      <c r="L162" s="3">
        <v>45</v>
      </c>
      <c r="M162" s="7">
        <v>50</v>
      </c>
      <c r="N162" s="8">
        <v>2250</v>
      </c>
      <c r="O162" s="3" t="s">
        <v>367</v>
      </c>
      <c r="P162" s="3" t="s">
        <v>370</v>
      </c>
      <c r="S162"/>
    </row>
    <row r="163" spans="1:19" ht="15.6" x14ac:dyDescent="0.3">
      <c r="A163" s="3">
        <v>10417</v>
      </c>
      <c r="B163" s="3" t="s">
        <v>567</v>
      </c>
      <c r="C163" s="4">
        <v>38485</v>
      </c>
      <c r="D163" s="4" t="s">
        <v>279</v>
      </c>
      <c r="E163" s="3" t="s">
        <v>41</v>
      </c>
      <c r="F163" s="3" t="s">
        <v>42</v>
      </c>
      <c r="G163" s="3" t="s">
        <v>43</v>
      </c>
      <c r="H163" s="3" t="s">
        <v>25</v>
      </c>
      <c r="I163" s="3" t="s">
        <v>68</v>
      </c>
      <c r="J163" s="3" t="s">
        <v>69</v>
      </c>
      <c r="K163" s="3" t="s">
        <v>266</v>
      </c>
      <c r="L163" s="3">
        <v>56</v>
      </c>
      <c r="M163" s="7">
        <v>25</v>
      </c>
      <c r="N163" s="8">
        <v>1400</v>
      </c>
      <c r="O163" s="3" t="s">
        <v>368</v>
      </c>
      <c r="P163" s="3" t="s">
        <v>370</v>
      </c>
      <c r="S163"/>
    </row>
    <row r="164" spans="1:19" ht="15.6" x14ac:dyDescent="0.3">
      <c r="A164" s="3">
        <v>10417</v>
      </c>
      <c r="B164" s="3" t="s">
        <v>568</v>
      </c>
      <c r="C164" s="4">
        <v>38485</v>
      </c>
      <c r="D164" s="4" t="s">
        <v>279</v>
      </c>
      <c r="E164" s="3" t="s">
        <v>41</v>
      </c>
      <c r="F164" s="3" t="s">
        <v>42</v>
      </c>
      <c r="G164" s="3" t="s">
        <v>43</v>
      </c>
      <c r="H164" s="3" t="s">
        <v>25</v>
      </c>
      <c r="I164" s="3" t="s">
        <v>68</v>
      </c>
      <c r="J164" s="3" t="s">
        <v>69</v>
      </c>
      <c r="K164" s="3" t="s">
        <v>266</v>
      </c>
      <c r="L164" s="3">
        <v>21</v>
      </c>
      <c r="M164" s="7">
        <v>25</v>
      </c>
      <c r="N164" s="8">
        <v>525</v>
      </c>
      <c r="O164" s="3" t="s">
        <v>367</v>
      </c>
      <c r="P164" s="3" t="s">
        <v>370</v>
      </c>
      <c r="S164"/>
    </row>
    <row r="165" spans="1:19" ht="15.6" x14ac:dyDescent="0.3">
      <c r="A165" s="3">
        <v>10417</v>
      </c>
      <c r="B165" s="3" t="s">
        <v>569</v>
      </c>
      <c r="C165" s="4">
        <v>38485</v>
      </c>
      <c r="D165" s="4" t="s">
        <v>279</v>
      </c>
      <c r="E165" s="3" t="s">
        <v>41</v>
      </c>
      <c r="F165" s="3" t="s">
        <v>42</v>
      </c>
      <c r="G165" s="3" t="s">
        <v>43</v>
      </c>
      <c r="H165" s="3" t="s">
        <v>25</v>
      </c>
      <c r="I165" s="3" t="s">
        <v>68</v>
      </c>
      <c r="J165" s="3" t="s">
        <v>69</v>
      </c>
      <c r="K165" s="3" t="s">
        <v>266</v>
      </c>
      <c r="L165" s="3">
        <v>36</v>
      </c>
      <c r="M165" s="7">
        <v>25</v>
      </c>
      <c r="N165" s="8">
        <v>900</v>
      </c>
      <c r="O165" s="3" t="s">
        <v>367</v>
      </c>
      <c r="P165" s="3" t="s">
        <v>370</v>
      </c>
      <c r="S165"/>
    </row>
    <row r="166" spans="1:19" ht="15.6" x14ac:dyDescent="0.3">
      <c r="A166" s="3">
        <v>10417</v>
      </c>
      <c r="B166" s="3" t="s">
        <v>570</v>
      </c>
      <c r="C166" s="4">
        <v>38485</v>
      </c>
      <c r="D166" s="4" t="s">
        <v>279</v>
      </c>
      <c r="E166" s="3" t="s">
        <v>41</v>
      </c>
      <c r="F166" s="3" t="s">
        <v>42</v>
      </c>
      <c r="G166" s="3" t="s">
        <v>43</v>
      </c>
      <c r="H166" s="3" t="s">
        <v>25</v>
      </c>
      <c r="I166" s="3" t="s">
        <v>68</v>
      </c>
      <c r="J166" s="3" t="s">
        <v>70</v>
      </c>
      <c r="K166" s="3" t="s">
        <v>267</v>
      </c>
      <c r="L166" s="3">
        <v>35</v>
      </c>
      <c r="M166" s="7">
        <v>50</v>
      </c>
      <c r="N166" s="8">
        <v>1750</v>
      </c>
      <c r="O166" s="3" t="s">
        <v>367</v>
      </c>
      <c r="P166" s="3" t="s">
        <v>370</v>
      </c>
      <c r="S166"/>
    </row>
    <row r="167" spans="1:19" ht="15.6" x14ac:dyDescent="0.3">
      <c r="A167" s="3">
        <v>10420</v>
      </c>
      <c r="B167" s="3" t="s">
        <v>571</v>
      </c>
      <c r="C167" s="4">
        <v>38501</v>
      </c>
      <c r="D167" s="4" t="s">
        <v>307</v>
      </c>
      <c r="E167" s="3" t="s">
        <v>129</v>
      </c>
      <c r="F167" s="3" t="s">
        <v>130</v>
      </c>
      <c r="G167" s="3" t="s">
        <v>106</v>
      </c>
      <c r="H167" s="3" t="s">
        <v>107</v>
      </c>
      <c r="I167" s="3" t="s">
        <v>17</v>
      </c>
      <c r="J167" s="3" t="s">
        <v>20</v>
      </c>
      <c r="K167" s="3" t="s">
        <v>242</v>
      </c>
      <c r="L167" s="3">
        <v>37</v>
      </c>
      <c r="M167" s="7">
        <v>48</v>
      </c>
      <c r="N167" s="8">
        <v>1776</v>
      </c>
      <c r="O167" s="3" t="s">
        <v>367</v>
      </c>
      <c r="P167" s="3" t="s">
        <v>370</v>
      </c>
      <c r="S167"/>
    </row>
    <row r="168" spans="1:19" ht="15.6" x14ac:dyDescent="0.3">
      <c r="A168" s="3">
        <v>10420</v>
      </c>
      <c r="B168" s="3" t="s">
        <v>572</v>
      </c>
      <c r="C168" s="4">
        <v>38501</v>
      </c>
      <c r="D168" s="4" t="s">
        <v>307</v>
      </c>
      <c r="E168" s="3" t="s">
        <v>129</v>
      </c>
      <c r="F168" s="3" t="s">
        <v>130</v>
      </c>
      <c r="G168" s="3" t="s">
        <v>106</v>
      </c>
      <c r="H168" s="3" t="s">
        <v>107</v>
      </c>
      <c r="I168" s="3" t="s">
        <v>17</v>
      </c>
      <c r="J168" s="3" t="s">
        <v>20</v>
      </c>
      <c r="K168" s="3" t="s">
        <v>242</v>
      </c>
      <c r="L168" s="3">
        <v>36</v>
      </c>
      <c r="M168" s="7">
        <v>48</v>
      </c>
      <c r="N168" s="8">
        <v>1728</v>
      </c>
      <c r="O168" s="3" t="s">
        <v>367</v>
      </c>
      <c r="P168" s="3" t="s">
        <v>370</v>
      </c>
      <c r="S168"/>
    </row>
    <row r="169" spans="1:19" ht="15.6" x14ac:dyDescent="0.3">
      <c r="A169" s="3">
        <v>10420</v>
      </c>
      <c r="B169" s="3" t="s">
        <v>573</v>
      </c>
      <c r="C169" s="4">
        <v>38501</v>
      </c>
      <c r="D169" s="4" t="s">
        <v>307</v>
      </c>
      <c r="E169" s="3" t="s">
        <v>129</v>
      </c>
      <c r="F169" s="3" t="s">
        <v>130</v>
      </c>
      <c r="G169" s="3" t="s">
        <v>106</v>
      </c>
      <c r="H169" s="3" t="s">
        <v>107</v>
      </c>
      <c r="I169" s="3" t="s">
        <v>17</v>
      </c>
      <c r="J169" s="3" t="s">
        <v>82</v>
      </c>
      <c r="K169" s="3" t="s">
        <v>270</v>
      </c>
      <c r="L169" s="3">
        <v>45</v>
      </c>
      <c r="M169" s="7">
        <v>75</v>
      </c>
      <c r="N169" s="8">
        <v>3375</v>
      </c>
      <c r="O169" s="3" t="s">
        <v>367</v>
      </c>
      <c r="P169" s="3" t="s">
        <v>370</v>
      </c>
      <c r="S169"/>
    </row>
    <row r="170" spans="1:19" ht="15.6" x14ac:dyDescent="0.3">
      <c r="A170" s="3">
        <v>10421</v>
      </c>
      <c r="B170" s="3" t="s">
        <v>574</v>
      </c>
      <c r="C170" s="4">
        <v>38501</v>
      </c>
      <c r="D170" s="4" t="s">
        <v>288</v>
      </c>
      <c r="E170" s="3" t="s">
        <v>88</v>
      </c>
      <c r="F170" s="3" t="s">
        <v>89</v>
      </c>
      <c r="G170" s="3" t="s">
        <v>15</v>
      </c>
      <c r="H170" s="3" t="s">
        <v>16</v>
      </c>
      <c r="I170" s="3" t="s">
        <v>17</v>
      </c>
      <c r="J170" s="3" t="s">
        <v>20</v>
      </c>
      <c r="K170" s="3" t="s">
        <v>242</v>
      </c>
      <c r="L170" s="3">
        <v>35</v>
      </c>
      <c r="M170" s="7">
        <v>48</v>
      </c>
      <c r="N170" s="8">
        <v>1680</v>
      </c>
      <c r="O170" s="3" t="s">
        <v>367</v>
      </c>
      <c r="P170" s="3" t="s">
        <v>370</v>
      </c>
      <c r="S170"/>
    </row>
    <row r="171" spans="1:19" ht="15.6" x14ac:dyDescent="0.3">
      <c r="A171" s="3">
        <v>10420</v>
      </c>
      <c r="B171" s="3" t="s">
        <v>575</v>
      </c>
      <c r="C171" s="4">
        <v>38501</v>
      </c>
      <c r="D171" s="4" t="s">
        <v>307</v>
      </c>
      <c r="E171" s="3" t="s">
        <v>129</v>
      </c>
      <c r="F171" s="3" t="s">
        <v>130</v>
      </c>
      <c r="G171" s="3" t="s">
        <v>106</v>
      </c>
      <c r="H171" s="3" t="s">
        <v>107</v>
      </c>
      <c r="I171" s="3" t="s">
        <v>17</v>
      </c>
      <c r="J171" s="3" t="s">
        <v>20</v>
      </c>
      <c r="K171" s="3" t="s">
        <v>242</v>
      </c>
      <c r="L171" s="3">
        <v>66</v>
      </c>
      <c r="M171" s="7">
        <v>48</v>
      </c>
      <c r="N171" s="8">
        <v>3168</v>
      </c>
      <c r="O171" s="3" t="s">
        <v>368</v>
      </c>
      <c r="P171" s="3" t="s">
        <v>370</v>
      </c>
      <c r="S171"/>
    </row>
    <row r="172" spans="1:19" ht="15.6" x14ac:dyDescent="0.3">
      <c r="A172" s="3">
        <v>10420</v>
      </c>
      <c r="B172" s="3" t="s">
        <v>576</v>
      </c>
      <c r="C172" s="4">
        <v>38501</v>
      </c>
      <c r="D172" s="4" t="s">
        <v>307</v>
      </c>
      <c r="E172" s="3" t="s">
        <v>129</v>
      </c>
      <c r="F172" s="3" t="s">
        <v>130</v>
      </c>
      <c r="G172" s="3" t="s">
        <v>106</v>
      </c>
      <c r="H172" s="3" t="s">
        <v>107</v>
      </c>
      <c r="I172" s="3" t="s">
        <v>32</v>
      </c>
      <c r="J172" s="3" t="s">
        <v>46</v>
      </c>
      <c r="K172" s="3" t="s">
        <v>254</v>
      </c>
      <c r="L172" s="3">
        <v>36</v>
      </c>
      <c r="M172" s="7">
        <v>90</v>
      </c>
      <c r="N172" s="8">
        <v>3240</v>
      </c>
      <c r="O172" s="3" t="s">
        <v>367</v>
      </c>
      <c r="P172" s="3" t="s">
        <v>370</v>
      </c>
      <c r="S172"/>
    </row>
    <row r="173" spans="1:19" ht="15.6" x14ac:dyDescent="0.3">
      <c r="A173" s="3">
        <v>10420</v>
      </c>
      <c r="B173" s="3" t="s">
        <v>577</v>
      </c>
      <c r="C173" s="4">
        <v>38501</v>
      </c>
      <c r="D173" s="4" t="s">
        <v>307</v>
      </c>
      <c r="E173" s="3" t="s">
        <v>129</v>
      </c>
      <c r="F173" s="3" t="s">
        <v>130</v>
      </c>
      <c r="G173" s="3" t="s">
        <v>106</v>
      </c>
      <c r="H173" s="3" t="s">
        <v>107</v>
      </c>
      <c r="I173" s="3" t="s">
        <v>32</v>
      </c>
      <c r="J173" s="3" t="s">
        <v>34</v>
      </c>
      <c r="K173" s="3" t="s">
        <v>246</v>
      </c>
      <c r="L173" s="3">
        <v>60</v>
      </c>
      <c r="M173" s="7">
        <v>80</v>
      </c>
      <c r="N173" s="8">
        <v>4800</v>
      </c>
      <c r="O173" s="3" t="s">
        <v>368</v>
      </c>
      <c r="P173" s="3" t="s">
        <v>370</v>
      </c>
      <c r="S173"/>
    </row>
    <row r="174" spans="1:19" ht="15.6" x14ac:dyDescent="0.3">
      <c r="A174" s="3">
        <v>10420</v>
      </c>
      <c r="B174" s="3" t="s">
        <v>578</v>
      </c>
      <c r="C174" s="4">
        <v>38501</v>
      </c>
      <c r="D174" s="4" t="s">
        <v>307</v>
      </c>
      <c r="E174" s="3" t="s">
        <v>129</v>
      </c>
      <c r="F174" s="3" t="s">
        <v>130</v>
      </c>
      <c r="G174" s="3" t="s">
        <v>106</v>
      </c>
      <c r="H174" s="3" t="s">
        <v>107</v>
      </c>
      <c r="I174" s="3" t="s">
        <v>32</v>
      </c>
      <c r="J174" s="3" t="s">
        <v>44</v>
      </c>
      <c r="K174" s="3" t="s">
        <v>252</v>
      </c>
      <c r="L174" s="3">
        <v>37</v>
      </c>
      <c r="M174" s="7">
        <v>55</v>
      </c>
      <c r="N174" s="8">
        <v>2035</v>
      </c>
      <c r="O174" s="3" t="s">
        <v>367</v>
      </c>
      <c r="P174" s="3" t="s">
        <v>370</v>
      </c>
      <c r="S174"/>
    </row>
    <row r="175" spans="1:19" ht="15.6" x14ac:dyDescent="0.3">
      <c r="A175" s="3">
        <v>10420</v>
      </c>
      <c r="B175" s="3" t="s">
        <v>579</v>
      </c>
      <c r="C175" s="4">
        <v>38501</v>
      </c>
      <c r="D175" s="4" t="s">
        <v>307</v>
      </c>
      <c r="E175" s="3" t="s">
        <v>129</v>
      </c>
      <c r="F175" s="3" t="s">
        <v>130</v>
      </c>
      <c r="G175" s="3" t="s">
        <v>106</v>
      </c>
      <c r="H175" s="3" t="s">
        <v>107</v>
      </c>
      <c r="I175" s="3" t="s">
        <v>17</v>
      </c>
      <c r="J175" s="3" t="s">
        <v>20</v>
      </c>
      <c r="K175" s="3" t="s">
        <v>242</v>
      </c>
      <c r="L175" s="3">
        <v>45</v>
      </c>
      <c r="M175" s="7">
        <v>48</v>
      </c>
      <c r="N175" s="8">
        <v>2160</v>
      </c>
      <c r="O175" s="3" t="s">
        <v>367</v>
      </c>
      <c r="P175" s="3" t="s">
        <v>370</v>
      </c>
      <c r="S175"/>
    </row>
    <row r="176" spans="1:19" ht="15.6" x14ac:dyDescent="0.3">
      <c r="A176" s="3">
        <v>10421</v>
      </c>
      <c r="B176" s="3" t="s">
        <v>580</v>
      </c>
      <c r="C176" s="4">
        <v>38501</v>
      </c>
      <c r="D176" s="4" t="s">
        <v>288</v>
      </c>
      <c r="E176" s="3" t="s">
        <v>88</v>
      </c>
      <c r="F176" s="3" t="s">
        <v>89</v>
      </c>
      <c r="G176" s="3" t="s">
        <v>15</v>
      </c>
      <c r="H176" s="3" t="s">
        <v>16</v>
      </c>
      <c r="I176" s="3" t="s">
        <v>17</v>
      </c>
      <c r="J176" s="3" t="s">
        <v>18</v>
      </c>
      <c r="K176" s="3" t="s">
        <v>241</v>
      </c>
      <c r="L176" s="3">
        <v>40</v>
      </c>
      <c r="M176" s="7">
        <v>30</v>
      </c>
      <c r="N176" s="8">
        <v>1200</v>
      </c>
      <c r="O176" s="3" t="s">
        <v>367</v>
      </c>
      <c r="P176" s="3" t="s">
        <v>370</v>
      </c>
      <c r="S176"/>
    </row>
    <row r="177" spans="1:19" ht="15.6" x14ac:dyDescent="0.3">
      <c r="A177" s="3">
        <v>10420</v>
      </c>
      <c r="B177" s="3" t="s">
        <v>581</v>
      </c>
      <c r="C177" s="4">
        <v>38501</v>
      </c>
      <c r="D177" s="4" t="s">
        <v>307</v>
      </c>
      <c r="E177" s="3" t="s">
        <v>129</v>
      </c>
      <c r="F177" s="3" t="s">
        <v>130</v>
      </c>
      <c r="G177" s="3" t="s">
        <v>106</v>
      </c>
      <c r="H177" s="3" t="s">
        <v>107</v>
      </c>
      <c r="I177" s="3" t="s">
        <v>32</v>
      </c>
      <c r="J177" s="3" t="s">
        <v>33</v>
      </c>
      <c r="K177" s="3" t="s">
        <v>245</v>
      </c>
      <c r="L177" s="3">
        <v>39</v>
      </c>
      <c r="M177" s="7">
        <v>85</v>
      </c>
      <c r="N177" s="8">
        <v>3315</v>
      </c>
      <c r="O177" s="3" t="s">
        <v>367</v>
      </c>
      <c r="P177" s="3" t="s">
        <v>370</v>
      </c>
      <c r="S177"/>
    </row>
    <row r="178" spans="1:19" ht="15.6" x14ac:dyDescent="0.3">
      <c r="A178" s="3">
        <v>10420</v>
      </c>
      <c r="B178" s="3" t="s">
        <v>582</v>
      </c>
      <c r="C178" s="4">
        <v>38501</v>
      </c>
      <c r="D178" s="4" t="s">
        <v>307</v>
      </c>
      <c r="E178" s="3" t="s">
        <v>129</v>
      </c>
      <c r="F178" s="3" t="s">
        <v>130</v>
      </c>
      <c r="G178" s="3" t="s">
        <v>106</v>
      </c>
      <c r="H178" s="3" t="s">
        <v>107</v>
      </c>
      <c r="I178" s="3" t="s">
        <v>32</v>
      </c>
      <c r="J178" s="3" t="s">
        <v>45</v>
      </c>
      <c r="K178" s="3" t="s">
        <v>253</v>
      </c>
      <c r="L178" s="3">
        <v>55</v>
      </c>
      <c r="M178" s="7">
        <v>35</v>
      </c>
      <c r="N178" s="8">
        <v>1925</v>
      </c>
      <c r="O178" s="3" t="s">
        <v>368</v>
      </c>
      <c r="P178" s="3" t="s">
        <v>370</v>
      </c>
      <c r="S178"/>
    </row>
    <row r="179" spans="1:19" ht="15.6" x14ac:dyDescent="0.3">
      <c r="A179" s="3">
        <v>10420</v>
      </c>
      <c r="B179" s="3" t="s">
        <v>583</v>
      </c>
      <c r="C179" s="4">
        <v>38501</v>
      </c>
      <c r="D179" s="4" t="s">
        <v>307</v>
      </c>
      <c r="E179" s="3" t="s">
        <v>129</v>
      </c>
      <c r="F179" s="3" t="s">
        <v>130</v>
      </c>
      <c r="G179" s="3" t="s">
        <v>106</v>
      </c>
      <c r="H179" s="3" t="s">
        <v>107</v>
      </c>
      <c r="I179" s="3" t="s">
        <v>32</v>
      </c>
      <c r="J179" s="3" t="s">
        <v>33</v>
      </c>
      <c r="K179" s="3" t="s">
        <v>245</v>
      </c>
      <c r="L179" s="3">
        <v>35</v>
      </c>
      <c r="M179" s="7">
        <v>85</v>
      </c>
      <c r="N179" s="8">
        <v>2975</v>
      </c>
      <c r="O179" s="3" t="s">
        <v>367</v>
      </c>
      <c r="P179" s="3" t="s">
        <v>370</v>
      </c>
      <c r="S179"/>
    </row>
    <row r="180" spans="1:19" ht="15.6" x14ac:dyDescent="0.3">
      <c r="A180" s="3">
        <v>10420</v>
      </c>
      <c r="B180" s="3" t="s">
        <v>584</v>
      </c>
      <c r="C180" s="4">
        <v>38501</v>
      </c>
      <c r="D180" s="4" t="s">
        <v>307</v>
      </c>
      <c r="E180" s="3" t="s">
        <v>129</v>
      </c>
      <c r="F180" s="3" t="s">
        <v>130</v>
      </c>
      <c r="G180" s="3" t="s">
        <v>106</v>
      </c>
      <c r="H180" s="3" t="s">
        <v>107</v>
      </c>
      <c r="I180" s="3" t="s">
        <v>32</v>
      </c>
      <c r="J180" s="3" t="s">
        <v>33</v>
      </c>
      <c r="K180" s="3" t="s">
        <v>245</v>
      </c>
      <c r="L180" s="3">
        <v>26</v>
      </c>
      <c r="M180" s="7">
        <v>85</v>
      </c>
      <c r="N180" s="8">
        <v>2210</v>
      </c>
      <c r="O180" s="3" t="s">
        <v>367</v>
      </c>
      <c r="P180" s="3" t="s">
        <v>370</v>
      </c>
      <c r="S180"/>
    </row>
    <row r="181" spans="1:19" ht="15.6" x14ac:dyDescent="0.3">
      <c r="A181" s="3">
        <v>10420</v>
      </c>
      <c r="B181" s="3" t="s">
        <v>585</v>
      </c>
      <c r="C181" s="4">
        <v>38501</v>
      </c>
      <c r="D181" s="4" t="s">
        <v>307</v>
      </c>
      <c r="E181" s="3" t="s">
        <v>129</v>
      </c>
      <c r="F181" s="3" t="s">
        <v>130</v>
      </c>
      <c r="G181" s="3" t="s">
        <v>106</v>
      </c>
      <c r="H181" s="3" t="s">
        <v>107</v>
      </c>
      <c r="I181" s="3" t="s">
        <v>17</v>
      </c>
      <c r="J181" s="3" t="s">
        <v>82</v>
      </c>
      <c r="K181" s="3" t="s">
        <v>270</v>
      </c>
      <c r="L181" s="3">
        <v>15</v>
      </c>
      <c r="M181" s="7">
        <v>75</v>
      </c>
      <c r="N181" s="8">
        <v>1125</v>
      </c>
      <c r="O181" s="3" t="s">
        <v>367</v>
      </c>
      <c r="P181" s="3" t="s">
        <v>370</v>
      </c>
      <c r="S181"/>
    </row>
    <row r="182" spans="1:19" ht="15.6" x14ac:dyDescent="0.3">
      <c r="A182" s="3">
        <v>10422</v>
      </c>
      <c r="B182" s="3" t="s">
        <v>586</v>
      </c>
      <c r="C182" s="4">
        <v>38502</v>
      </c>
      <c r="D182" s="4" t="s">
        <v>361</v>
      </c>
      <c r="E182" s="3" t="s">
        <v>231</v>
      </c>
      <c r="F182" s="3" t="s">
        <v>232</v>
      </c>
      <c r="G182" s="3" t="s">
        <v>15</v>
      </c>
      <c r="H182" s="3" t="s">
        <v>16</v>
      </c>
      <c r="I182" s="3" t="s">
        <v>17</v>
      </c>
      <c r="J182" s="3" t="s">
        <v>20</v>
      </c>
      <c r="K182" s="3" t="s">
        <v>242</v>
      </c>
      <c r="L182" s="3">
        <v>51</v>
      </c>
      <c r="M182" s="7">
        <v>48</v>
      </c>
      <c r="N182" s="8">
        <v>2448</v>
      </c>
      <c r="O182" s="3" t="s">
        <v>368</v>
      </c>
      <c r="P182" s="3" t="s">
        <v>370</v>
      </c>
      <c r="S182"/>
    </row>
    <row r="183" spans="1:19" ht="15.6" x14ac:dyDescent="0.3">
      <c r="A183" s="3">
        <v>10422</v>
      </c>
      <c r="B183" s="3" t="s">
        <v>587</v>
      </c>
      <c r="C183" s="4">
        <v>38502</v>
      </c>
      <c r="D183" s="4" t="s">
        <v>361</v>
      </c>
      <c r="E183" s="3" t="s">
        <v>231</v>
      </c>
      <c r="F183" s="3" t="s">
        <v>232</v>
      </c>
      <c r="G183" s="3" t="s">
        <v>15</v>
      </c>
      <c r="H183" s="3" t="s">
        <v>16</v>
      </c>
      <c r="I183" s="3" t="s">
        <v>17</v>
      </c>
      <c r="J183" s="3" t="s">
        <v>82</v>
      </c>
      <c r="K183" s="3" t="s">
        <v>270</v>
      </c>
      <c r="L183" s="3">
        <v>25</v>
      </c>
      <c r="M183" s="7">
        <v>75</v>
      </c>
      <c r="N183" s="8">
        <v>1875</v>
      </c>
      <c r="O183" s="3" t="s">
        <v>367</v>
      </c>
      <c r="P183" s="3" t="s">
        <v>370</v>
      </c>
      <c r="S183"/>
    </row>
    <row r="184" spans="1:19" ht="15.6" x14ac:dyDescent="0.3">
      <c r="A184" s="3">
        <v>10423</v>
      </c>
      <c r="B184" s="3" t="s">
        <v>588</v>
      </c>
      <c r="C184" s="4">
        <v>38502</v>
      </c>
      <c r="D184" s="4" t="s">
        <v>349</v>
      </c>
      <c r="E184" s="3" t="s">
        <v>208</v>
      </c>
      <c r="F184" s="3" t="s">
        <v>209</v>
      </c>
      <c r="G184" s="3" t="s">
        <v>96</v>
      </c>
      <c r="H184" s="3" t="s">
        <v>25</v>
      </c>
      <c r="I184" s="3" t="s">
        <v>17</v>
      </c>
      <c r="J184" s="3" t="s">
        <v>82</v>
      </c>
      <c r="K184" s="3" t="s">
        <v>270</v>
      </c>
      <c r="L184" s="3">
        <v>10</v>
      </c>
      <c r="M184" s="7">
        <v>75</v>
      </c>
      <c r="N184" s="8">
        <v>750</v>
      </c>
      <c r="O184" s="3" t="s">
        <v>367</v>
      </c>
      <c r="P184" s="3" t="s">
        <v>370</v>
      </c>
      <c r="S184"/>
    </row>
    <row r="185" spans="1:19" ht="15.6" x14ac:dyDescent="0.3">
      <c r="A185" s="3">
        <v>10423</v>
      </c>
      <c r="B185" s="3" t="s">
        <v>589</v>
      </c>
      <c r="C185" s="4">
        <v>38502</v>
      </c>
      <c r="D185" s="4" t="s">
        <v>349</v>
      </c>
      <c r="E185" s="3" t="s">
        <v>208</v>
      </c>
      <c r="F185" s="3" t="s">
        <v>209</v>
      </c>
      <c r="G185" s="3" t="s">
        <v>96</v>
      </c>
      <c r="H185" s="3" t="s">
        <v>25</v>
      </c>
      <c r="I185" s="3" t="s">
        <v>17</v>
      </c>
      <c r="J185" s="3" t="s">
        <v>20</v>
      </c>
      <c r="K185" s="3" t="s">
        <v>242</v>
      </c>
      <c r="L185" s="3">
        <v>31</v>
      </c>
      <c r="M185" s="7">
        <v>48</v>
      </c>
      <c r="N185" s="8">
        <v>1488</v>
      </c>
      <c r="O185" s="3" t="s">
        <v>367</v>
      </c>
      <c r="P185" s="3" t="s">
        <v>370</v>
      </c>
      <c r="S185"/>
    </row>
    <row r="186" spans="1:19" ht="15.6" x14ac:dyDescent="0.3">
      <c r="A186" s="3">
        <v>10423</v>
      </c>
      <c r="B186" s="3" t="s">
        <v>590</v>
      </c>
      <c r="C186" s="4">
        <v>38502</v>
      </c>
      <c r="D186" s="4" t="s">
        <v>349</v>
      </c>
      <c r="E186" s="3" t="s">
        <v>208</v>
      </c>
      <c r="F186" s="3" t="s">
        <v>209</v>
      </c>
      <c r="G186" s="3" t="s">
        <v>96</v>
      </c>
      <c r="H186" s="3" t="s">
        <v>25</v>
      </c>
      <c r="I186" s="3" t="s">
        <v>17</v>
      </c>
      <c r="J186" s="3" t="s">
        <v>21</v>
      </c>
      <c r="K186" s="3" t="s">
        <v>243</v>
      </c>
      <c r="L186" s="3">
        <v>21</v>
      </c>
      <c r="M186" s="7">
        <v>110</v>
      </c>
      <c r="N186" s="8">
        <v>2310</v>
      </c>
      <c r="O186" s="3" t="s">
        <v>367</v>
      </c>
      <c r="P186" s="3" t="s">
        <v>370</v>
      </c>
      <c r="S186"/>
    </row>
    <row r="187" spans="1:19" ht="15.6" x14ac:dyDescent="0.3">
      <c r="A187" s="3">
        <v>10423</v>
      </c>
      <c r="B187" s="3" t="s">
        <v>591</v>
      </c>
      <c r="C187" s="4">
        <v>38502</v>
      </c>
      <c r="D187" s="4" t="s">
        <v>349</v>
      </c>
      <c r="E187" s="3" t="s">
        <v>208</v>
      </c>
      <c r="F187" s="3" t="s">
        <v>209</v>
      </c>
      <c r="G187" s="3" t="s">
        <v>96</v>
      </c>
      <c r="H187" s="3" t="s">
        <v>25</v>
      </c>
      <c r="I187" s="3" t="s">
        <v>17</v>
      </c>
      <c r="J187" s="3" t="s">
        <v>26</v>
      </c>
      <c r="K187" s="3" t="s">
        <v>244</v>
      </c>
      <c r="L187" s="3">
        <v>21</v>
      </c>
      <c r="M187" s="7">
        <v>60</v>
      </c>
      <c r="N187" s="8">
        <v>1260</v>
      </c>
      <c r="O187" s="3" t="s">
        <v>367</v>
      </c>
      <c r="P187" s="3" t="s">
        <v>370</v>
      </c>
      <c r="S187"/>
    </row>
    <row r="188" spans="1:19" ht="15.6" x14ac:dyDescent="0.3">
      <c r="A188" s="3">
        <v>10423</v>
      </c>
      <c r="B188" s="3" t="s">
        <v>592</v>
      </c>
      <c r="C188" s="4">
        <v>38502</v>
      </c>
      <c r="D188" s="4" t="s">
        <v>349</v>
      </c>
      <c r="E188" s="3" t="s">
        <v>208</v>
      </c>
      <c r="F188" s="3" t="s">
        <v>209</v>
      </c>
      <c r="G188" s="3" t="s">
        <v>96</v>
      </c>
      <c r="H188" s="3" t="s">
        <v>25</v>
      </c>
      <c r="I188" s="3" t="s">
        <v>17</v>
      </c>
      <c r="J188" s="3" t="s">
        <v>52</v>
      </c>
      <c r="K188" s="3" t="s">
        <v>256</v>
      </c>
      <c r="L188" s="3">
        <v>28</v>
      </c>
      <c r="M188" s="7">
        <v>45</v>
      </c>
      <c r="N188" s="8">
        <v>1260</v>
      </c>
      <c r="O188" s="3" t="s">
        <v>367</v>
      </c>
      <c r="P188" s="3" t="s">
        <v>370</v>
      </c>
      <c r="S188"/>
    </row>
    <row r="189" spans="1:19" ht="15.6" x14ac:dyDescent="0.3">
      <c r="A189" s="3">
        <v>10424</v>
      </c>
      <c r="B189" s="3" t="s">
        <v>593</v>
      </c>
      <c r="C189" s="4">
        <v>38503</v>
      </c>
      <c r="D189" s="4" t="s">
        <v>279</v>
      </c>
      <c r="E189" s="3" t="s">
        <v>41</v>
      </c>
      <c r="F189" s="3" t="s">
        <v>42</v>
      </c>
      <c r="G189" s="3" t="s">
        <v>43</v>
      </c>
      <c r="H189" s="3" t="s">
        <v>25</v>
      </c>
      <c r="I189" s="3" t="s">
        <v>32</v>
      </c>
      <c r="J189" s="3" t="s">
        <v>33</v>
      </c>
      <c r="K189" s="3" t="s">
        <v>245</v>
      </c>
      <c r="L189" s="3">
        <v>50</v>
      </c>
      <c r="M189" s="7">
        <v>85</v>
      </c>
      <c r="N189" s="8">
        <v>4250</v>
      </c>
      <c r="O189" s="3" t="s">
        <v>368</v>
      </c>
      <c r="P189" s="3" t="s">
        <v>370</v>
      </c>
      <c r="S189"/>
    </row>
    <row r="190" spans="1:19" ht="15.6" x14ac:dyDescent="0.3">
      <c r="A190" s="3">
        <v>10425</v>
      </c>
      <c r="B190" s="3" t="s">
        <v>594</v>
      </c>
      <c r="C190" s="4">
        <v>38503</v>
      </c>
      <c r="D190" s="4" t="s">
        <v>362</v>
      </c>
      <c r="E190" s="3" t="s">
        <v>233</v>
      </c>
      <c r="F190" s="3" t="s">
        <v>114</v>
      </c>
      <c r="G190" s="3" t="s">
        <v>92</v>
      </c>
      <c r="H190" s="3" t="s">
        <v>25</v>
      </c>
      <c r="I190" s="3" t="s">
        <v>32</v>
      </c>
      <c r="J190" s="3" t="s">
        <v>34</v>
      </c>
      <c r="K190" s="3" t="s">
        <v>246</v>
      </c>
      <c r="L190" s="3">
        <v>38</v>
      </c>
      <c r="M190" s="7">
        <v>80</v>
      </c>
      <c r="N190" s="8">
        <v>3040</v>
      </c>
      <c r="O190" s="3" t="s">
        <v>367</v>
      </c>
      <c r="P190" s="3" t="s">
        <v>370</v>
      </c>
      <c r="S190"/>
    </row>
    <row r="191" spans="1:19" ht="15.6" x14ac:dyDescent="0.3">
      <c r="A191" s="3">
        <v>10424</v>
      </c>
      <c r="B191" s="3" t="s">
        <v>595</v>
      </c>
      <c r="C191" s="4">
        <v>38503</v>
      </c>
      <c r="D191" s="4" t="s">
        <v>279</v>
      </c>
      <c r="E191" s="3" t="s">
        <v>41</v>
      </c>
      <c r="F191" s="3" t="s">
        <v>42</v>
      </c>
      <c r="G191" s="3" t="s">
        <v>43</v>
      </c>
      <c r="H191" s="3" t="s">
        <v>25</v>
      </c>
      <c r="I191" s="3" t="s">
        <v>35</v>
      </c>
      <c r="J191" s="3" t="s">
        <v>37</v>
      </c>
      <c r="K191" s="3" t="s">
        <v>248</v>
      </c>
      <c r="L191" s="3">
        <v>49</v>
      </c>
      <c r="M191" s="7">
        <v>30</v>
      </c>
      <c r="N191" s="8">
        <v>1470</v>
      </c>
      <c r="O191" s="3" t="s">
        <v>367</v>
      </c>
      <c r="P191" s="3" t="s">
        <v>370</v>
      </c>
      <c r="S191"/>
    </row>
    <row r="192" spans="1:19" ht="15.6" x14ac:dyDescent="0.3">
      <c r="A192" s="3">
        <v>10425</v>
      </c>
      <c r="B192" s="3" t="s">
        <v>596</v>
      </c>
      <c r="C192" s="4">
        <v>38503</v>
      </c>
      <c r="D192" s="4" t="s">
        <v>362</v>
      </c>
      <c r="E192" s="3" t="s">
        <v>233</v>
      </c>
      <c r="F192" s="3" t="s">
        <v>114</v>
      </c>
      <c r="G192" s="3" t="s">
        <v>92</v>
      </c>
      <c r="H192" s="3" t="s">
        <v>25</v>
      </c>
      <c r="I192" s="3" t="s">
        <v>35</v>
      </c>
      <c r="J192" s="3" t="s">
        <v>40</v>
      </c>
      <c r="K192" s="3" t="s">
        <v>251</v>
      </c>
      <c r="L192" s="3">
        <v>33</v>
      </c>
      <c r="M192" s="7">
        <v>25</v>
      </c>
      <c r="N192" s="8">
        <v>825</v>
      </c>
      <c r="O192" s="3" t="s">
        <v>367</v>
      </c>
      <c r="P192" s="3" t="s">
        <v>370</v>
      </c>
      <c r="S192"/>
    </row>
    <row r="193" spans="1:19" ht="15.6" x14ac:dyDescent="0.3">
      <c r="A193" s="3">
        <v>10424</v>
      </c>
      <c r="B193" s="3" t="s">
        <v>597</v>
      </c>
      <c r="C193" s="4">
        <v>38503</v>
      </c>
      <c r="D193" s="4" t="s">
        <v>279</v>
      </c>
      <c r="E193" s="3" t="s">
        <v>41</v>
      </c>
      <c r="F193" s="3" t="s">
        <v>42</v>
      </c>
      <c r="G193" s="3" t="s">
        <v>43</v>
      </c>
      <c r="H193" s="3" t="s">
        <v>25</v>
      </c>
      <c r="I193" s="3" t="s">
        <v>35</v>
      </c>
      <c r="J193" s="3" t="s">
        <v>39</v>
      </c>
      <c r="K193" s="3" t="s">
        <v>250</v>
      </c>
      <c r="L193" s="3">
        <v>54</v>
      </c>
      <c r="M193" s="7">
        <v>20</v>
      </c>
      <c r="N193" s="8">
        <v>1080</v>
      </c>
      <c r="O193" s="3" t="s">
        <v>368</v>
      </c>
      <c r="P193" s="3" t="s">
        <v>370</v>
      </c>
      <c r="S193"/>
    </row>
    <row r="194" spans="1:19" ht="15.6" x14ac:dyDescent="0.3">
      <c r="A194" s="3">
        <v>10425</v>
      </c>
      <c r="B194" s="3" t="s">
        <v>598</v>
      </c>
      <c r="C194" s="4">
        <v>38503</v>
      </c>
      <c r="D194" s="4" t="s">
        <v>362</v>
      </c>
      <c r="E194" s="3" t="s">
        <v>233</v>
      </c>
      <c r="F194" s="3" t="s">
        <v>114</v>
      </c>
      <c r="G194" s="3" t="s">
        <v>92</v>
      </c>
      <c r="H194" s="3" t="s">
        <v>25</v>
      </c>
      <c r="I194" s="3" t="s">
        <v>32</v>
      </c>
      <c r="J194" s="3" t="s">
        <v>46</v>
      </c>
      <c r="K194" s="3" t="s">
        <v>254</v>
      </c>
      <c r="L194" s="3">
        <v>28</v>
      </c>
      <c r="M194" s="7">
        <v>90</v>
      </c>
      <c r="N194" s="8">
        <v>2520</v>
      </c>
      <c r="O194" s="3" t="s">
        <v>367</v>
      </c>
      <c r="P194" s="3" t="s">
        <v>370</v>
      </c>
      <c r="S194"/>
    </row>
    <row r="195" spans="1:19" ht="15.6" x14ac:dyDescent="0.3">
      <c r="A195" s="3">
        <v>10425</v>
      </c>
      <c r="B195" s="3" t="s">
        <v>599</v>
      </c>
      <c r="C195" s="4">
        <v>38503</v>
      </c>
      <c r="D195" s="4" t="s">
        <v>362</v>
      </c>
      <c r="E195" s="3" t="s">
        <v>233</v>
      </c>
      <c r="F195" s="3" t="s">
        <v>114</v>
      </c>
      <c r="G195" s="3" t="s">
        <v>92</v>
      </c>
      <c r="H195" s="3" t="s">
        <v>25</v>
      </c>
      <c r="I195" s="3" t="s">
        <v>35</v>
      </c>
      <c r="J195" s="3" t="s">
        <v>40</v>
      </c>
      <c r="K195" s="3" t="s">
        <v>251</v>
      </c>
      <c r="L195" s="3">
        <v>38</v>
      </c>
      <c r="M195" s="7">
        <v>25</v>
      </c>
      <c r="N195" s="8">
        <v>950</v>
      </c>
      <c r="O195" s="3" t="s">
        <v>367</v>
      </c>
      <c r="P195" s="3" t="s">
        <v>370</v>
      </c>
      <c r="S195"/>
    </row>
    <row r="196" spans="1:19" ht="15.6" x14ac:dyDescent="0.3">
      <c r="A196" s="3">
        <v>10425</v>
      </c>
      <c r="B196" s="3" t="s">
        <v>600</v>
      </c>
      <c r="C196" s="4">
        <v>38503</v>
      </c>
      <c r="D196" s="4" t="s">
        <v>362</v>
      </c>
      <c r="E196" s="3" t="s">
        <v>233</v>
      </c>
      <c r="F196" s="3" t="s">
        <v>114</v>
      </c>
      <c r="G196" s="3" t="s">
        <v>92</v>
      </c>
      <c r="H196" s="3" t="s">
        <v>25</v>
      </c>
      <c r="I196" s="3" t="s">
        <v>35</v>
      </c>
      <c r="J196" s="3" t="s">
        <v>39</v>
      </c>
      <c r="K196" s="3" t="s">
        <v>250</v>
      </c>
      <c r="L196" s="3">
        <v>19</v>
      </c>
      <c r="M196" s="7">
        <v>20</v>
      </c>
      <c r="N196" s="8">
        <v>380</v>
      </c>
      <c r="O196" s="3" t="s">
        <v>367</v>
      </c>
      <c r="P196" s="3" t="s">
        <v>370</v>
      </c>
      <c r="S196"/>
    </row>
    <row r="197" spans="1:19" ht="15.6" x14ac:dyDescent="0.3">
      <c r="A197" s="3">
        <v>10425</v>
      </c>
      <c r="B197" s="3" t="s">
        <v>601</v>
      </c>
      <c r="C197" s="4">
        <v>38503</v>
      </c>
      <c r="D197" s="4" t="s">
        <v>362</v>
      </c>
      <c r="E197" s="3" t="s">
        <v>233</v>
      </c>
      <c r="F197" s="3" t="s">
        <v>114</v>
      </c>
      <c r="G197" s="3" t="s">
        <v>92</v>
      </c>
      <c r="H197" s="3" t="s">
        <v>25</v>
      </c>
      <c r="I197" s="3" t="s">
        <v>32</v>
      </c>
      <c r="J197" s="3" t="s">
        <v>34</v>
      </c>
      <c r="K197" s="3" t="s">
        <v>246</v>
      </c>
      <c r="L197" s="3">
        <v>28</v>
      </c>
      <c r="M197" s="7">
        <v>80</v>
      </c>
      <c r="N197" s="8">
        <v>2240</v>
      </c>
      <c r="O197" s="3" t="s">
        <v>367</v>
      </c>
      <c r="P197" s="3" t="s">
        <v>370</v>
      </c>
      <c r="S197"/>
    </row>
    <row r="198" spans="1:19" ht="15.6" x14ac:dyDescent="0.3">
      <c r="A198" s="3">
        <v>10425</v>
      </c>
      <c r="B198" s="3" t="s">
        <v>602</v>
      </c>
      <c r="C198" s="4">
        <v>38503</v>
      </c>
      <c r="D198" s="4" t="s">
        <v>362</v>
      </c>
      <c r="E198" s="3" t="s">
        <v>233</v>
      </c>
      <c r="F198" s="3" t="s">
        <v>114</v>
      </c>
      <c r="G198" s="3" t="s">
        <v>92</v>
      </c>
      <c r="H198" s="3" t="s">
        <v>25</v>
      </c>
      <c r="I198" s="3" t="s">
        <v>35</v>
      </c>
      <c r="J198" s="3" t="s">
        <v>37</v>
      </c>
      <c r="K198" s="3" t="s">
        <v>248</v>
      </c>
      <c r="L198" s="3">
        <v>38</v>
      </c>
      <c r="M198" s="7">
        <v>30</v>
      </c>
      <c r="N198" s="8">
        <v>1140</v>
      </c>
      <c r="O198" s="3" t="s">
        <v>367</v>
      </c>
      <c r="P198" s="3" t="s">
        <v>370</v>
      </c>
      <c r="S198"/>
    </row>
    <row r="199" spans="1:19" ht="15.6" x14ac:dyDescent="0.3">
      <c r="A199" s="3">
        <v>10424</v>
      </c>
      <c r="B199" s="3" t="s">
        <v>603</v>
      </c>
      <c r="C199" s="4">
        <v>38503</v>
      </c>
      <c r="D199" s="4" t="s">
        <v>279</v>
      </c>
      <c r="E199" s="3" t="s">
        <v>41</v>
      </c>
      <c r="F199" s="3" t="s">
        <v>42</v>
      </c>
      <c r="G199" s="3" t="s">
        <v>43</v>
      </c>
      <c r="H199" s="3" t="s">
        <v>25</v>
      </c>
      <c r="I199" s="3" t="s">
        <v>17</v>
      </c>
      <c r="J199" s="3" t="s">
        <v>20</v>
      </c>
      <c r="K199" s="3" t="s">
        <v>242</v>
      </c>
      <c r="L199" s="3">
        <v>26</v>
      </c>
      <c r="M199" s="7">
        <v>48</v>
      </c>
      <c r="N199" s="8">
        <v>1248</v>
      </c>
      <c r="O199" s="3" t="s">
        <v>367</v>
      </c>
      <c r="P199" s="3" t="s">
        <v>370</v>
      </c>
      <c r="S199"/>
    </row>
    <row r="200" spans="1:19" ht="15.6" x14ac:dyDescent="0.3">
      <c r="A200" s="3">
        <v>10425</v>
      </c>
      <c r="B200" s="3" t="s">
        <v>604</v>
      </c>
      <c r="C200" s="4">
        <v>38503</v>
      </c>
      <c r="D200" s="4" t="s">
        <v>362</v>
      </c>
      <c r="E200" s="3" t="s">
        <v>233</v>
      </c>
      <c r="F200" s="3" t="s">
        <v>114</v>
      </c>
      <c r="G200" s="3" t="s">
        <v>92</v>
      </c>
      <c r="H200" s="3" t="s">
        <v>25</v>
      </c>
      <c r="I200" s="3" t="s">
        <v>32</v>
      </c>
      <c r="J200" s="3" t="s">
        <v>46</v>
      </c>
      <c r="K200" s="3" t="s">
        <v>254</v>
      </c>
      <c r="L200" s="3">
        <v>55</v>
      </c>
      <c r="M200" s="7">
        <v>90</v>
      </c>
      <c r="N200" s="8">
        <v>4950</v>
      </c>
      <c r="O200" s="3" t="s">
        <v>368</v>
      </c>
      <c r="P200" s="3" t="s">
        <v>370</v>
      </c>
      <c r="S200"/>
    </row>
    <row r="201" spans="1:19" ht="15.6" x14ac:dyDescent="0.3">
      <c r="A201" s="3">
        <v>10425</v>
      </c>
      <c r="B201" s="3" t="s">
        <v>605</v>
      </c>
      <c r="C201" s="4">
        <v>38503</v>
      </c>
      <c r="D201" s="4" t="s">
        <v>362</v>
      </c>
      <c r="E201" s="3" t="s">
        <v>233</v>
      </c>
      <c r="F201" s="3" t="s">
        <v>114</v>
      </c>
      <c r="G201" s="3" t="s">
        <v>92</v>
      </c>
      <c r="H201" s="3" t="s">
        <v>25</v>
      </c>
      <c r="I201" s="3" t="s">
        <v>35</v>
      </c>
      <c r="J201" s="3" t="s">
        <v>37</v>
      </c>
      <c r="K201" s="3" t="s">
        <v>248</v>
      </c>
      <c r="L201" s="3">
        <v>49</v>
      </c>
      <c r="M201" s="7">
        <v>30</v>
      </c>
      <c r="N201" s="8">
        <v>1470</v>
      </c>
      <c r="O201" s="3" t="s">
        <v>367</v>
      </c>
      <c r="P201" s="3" t="s">
        <v>370</v>
      </c>
      <c r="S201"/>
    </row>
    <row r="202" spans="1:19" ht="15.6" x14ac:dyDescent="0.3">
      <c r="A202" s="3">
        <v>10425</v>
      </c>
      <c r="B202" s="3" t="s">
        <v>606</v>
      </c>
      <c r="C202" s="4">
        <v>38503</v>
      </c>
      <c r="D202" s="4" t="s">
        <v>362</v>
      </c>
      <c r="E202" s="3" t="s">
        <v>233</v>
      </c>
      <c r="F202" s="3" t="s">
        <v>114</v>
      </c>
      <c r="G202" s="3" t="s">
        <v>92</v>
      </c>
      <c r="H202" s="3" t="s">
        <v>25</v>
      </c>
      <c r="I202" s="3" t="s">
        <v>32</v>
      </c>
      <c r="J202" s="3" t="s">
        <v>45</v>
      </c>
      <c r="K202" s="3" t="s">
        <v>253</v>
      </c>
      <c r="L202" s="3">
        <v>31</v>
      </c>
      <c r="M202" s="7">
        <v>35</v>
      </c>
      <c r="N202" s="8">
        <v>1085</v>
      </c>
      <c r="O202" s="3" t="s">
        <v>367</v>
      </c>
      <c r="P202" s="3" t="s">
        <v>370</v>
      </c>
      <c r="S202"/>
    </row>
    <row r="203" spans="1:19" ht="15.6" x14ac:dyDescent="0.3">
      <c r="A203" s="3">
        <v>10425</v>
      </c>
      <c r="B203" s="3" t="s">
        <v>607</v>
      </c>
      <c r="C203" s="4">
        <v>38503</v>
      </c>
      <c r="D203" s="4" t="s">
        <v>362</v>
      </c>
      <c r="E203" s="3" t="s">
        <v>233</v>
      </c>
      <c r="F203" s="3" t="s">
        <v>114</v>
      </c>
      <c r="G203" s="3" t="s">
        <v>92</v>
      </c>
      <c r="H203" s="3" t="s">
        <v>25</v>
      </c>
      <c r="I203" s="3" t="s">
        <v>35</v>
      </c>
      <c r="J203" s="3" t="s">
        <v>39</v>
      </c>
      <c r="K203" s="3" t="s">
        <v>250</v>
      </c>
      <c r="L203" s="3">
        <v>41</v>
      </c>
      <c r="M203" s="7">
        <v>20</v>
      </c>
      <c r="N203" s="8">
        <v>820</v>
      </c>
      <c r="O203" s="3" t="s">
        <v>367</v>
      </c>
      <c r="P203" s="3" t="s">
        <v>370</v>
      </c>
      <c r="S203"/>
    </row>
    <row r="204" spans="1:19" ht="15.6" x14ac:dyDescent="0.3">
      <c r="A204" s="3">
        <v>10425</v>
      </c>
      <c r="B204" s="3" t="s">
        <v>608</v>
      </c>
      <c r="C204" s="4">
        <v>38503</v>
      </c>
      <c r="D204" s="4" t="s">
        <v>362</v>
      </c>
      <c r="E204" s="3" t="s">
        <v>233</v>
      </c>
      <c r="F204" s="3" t="s">
        <v>114</v>
      </c>
      <c r="G204" s="3" t="s">
        <v>92</v>
      </c>
      <c r="H204" s="3" t="s">
        <v>25</v>
      </c>
      <c r="I204" s="3" t="s">
        <v>35</v>
      </c>
      <c r="J204" s="3" t="s">
        <v>37</v>
      </c>
      <c r="K204" s="3" t="s">
        <v>248</v>
      </c>
      <c r="L204" s="3">
        <v>11</v>
      </c>
      <c r="M204" s="7">
        <v>30</v>
      </c>
      <c r="N204" s="8">
        <v>330</v>
      </c>
      <c r="O204" s="3" t="s">
        <v>367</v>
      </c>
      <c r="P204" s="3" t="s">
        <v>370</v>
      </c>
      <c r="S204"/>
    </row>
    <row r="205" spans="1:19" ht="15.6" x14ac:dyDescent="0.3">
      <c r="A205" s="3">
        <v>10424</v>
      </c>
      <c r="B205" s="3" t="s">
        <v>609</v>
      </c>
      <c r="C205" s="4">
        <v>38503</v>
      </c>
      <c r="D205" s="4" t="s">
        <v>279</v>
      </c>
      <c r="E205" s="3" t="s">
        <v>41</v>
      </c>
      <c r="F205" s="3" t="s">
        <v>42</v>
      </c>
      <c r="G205" s="3" t="s">
        <v>43</v>
      </c>
      <c r="H205" s="3" t="s">
        <v>25</v>
      </c>
      <c r="I205" s="3" t="s">
        <v>35</v>
      </c>
      <c r="J205" s="3" t="s">
        <v>38</v>
      </c>
      <c r="K205" s="3" t="s">
        <v>249</v>
      </c>
      <c r="L205" s="3">
        <v>44</v>
      </c>
      <c r="M205" s="7">
        <v>20</v>
      </c>
      <c r="N205" s="8">
        <v>880</v>
      </c>
      <c r="O205" s="3" t="s">
        <v>367</v>
      </c>
      <c r="P205" s="3" t="s">
        <v>370</v>
      </c>
      <c r="S205"/>
    </row>
    <row r="206" spans="1:19" ht="15.6" x14ac:dyDescent="0.3">
      <c r="A206" s="3">
        <v>10425</v>
      </c>
      <c r="B206" s="3" t="s">
        <v>610</v>
      </c>
      <c r="C206" s="4">
        <v>38503</v>
      </c>
      <c r="D206" s="4" t="s">
        <v>362</v>
      </c>
      <c r="E206" s="3" t="s">
        <v>233</v>
      </c>
      <c r="F206" s="3" t="s">
        <v>114</v>
      </c>
      <c r="G206" s="3" t="s">
        <v>92</v>
      </c>
      <c r="H206" s="3" t="s">
        <v>25</v>
      </c>
      <c r="I206" s="3" t="s">
        <v>35</v>
      </c>
      <c r="J206" s="3" t="s">
        <v>38</v>
      </c>
      <c r="K206" s="3" t="s">
        <v>249</v>
      </c>
      <c r="L206" s="3">
        <v>18</v>
      </c>
      <c r="M206" s="7">
        <v>20</v>
      </c>
      <c r="N206" s="8">
        <v>360</v>
      </c>
      <c r="O206" s="3" t="s">
        <v>367</v>
      </c>
      <c r="P206" s="3" t="s">
        <v>370</v>
      </c>
      <c r="S206"/>
    </row>
    <row r="207" spans="1:19" ht="15.6" x14ac:dyDescent="0.3">
      <c r="A207" s="3">
        <v>10424</v>
      </c>
      <c r="B207" s="3" t="s">
        <v>611</v>
      </c>
      <c r="C207" s="4">
        <v>38503</v>
      </c>
      <c r="D207" s="4" t="s">
        <v>279</v>
      </c>
      <c r="E207" s="3" t="s">
        <v>41</v>
      </c>
      <c r="F207" s="3" t="s">
        <v>42</v>
      </c>
      <c r="G207" s="3" t="s">
        <v>43</v>
      </c>
      <c r="H207" s="3" t="s">
        <v>25</v>
      </c>
      <c r="I207" s="3" t="s">
        <v>32</v>
      </c>
      <c r="J207" s="3" t="s">
        <v>33</v>
      </c>
      <c r="K207" s="3" t="s">
        <v>245</v>
      </c>
      <c r="L207" s="3">
        <v>46</v>
      </c>
      <c r="M207" s="7">
        <v>85</v>
      </c>
      <c r="N207" s="8">
        <v>3910</v>
      </c>
      <c r="O207" s="3" t="s">
        <v>367</v>
      </c>
      <c r="P207" s="3" t="s">
        <v>370</v>
      </c>
      <c r="S207"/>
    </row>
  </sheetData>
  <mergeCells count="2">
    <mergeCell ref="T1:Z1"/>
    <mergeCell ref="AB1:AJ1"/>
  </mergeCells>
  <phoneticPr fontId="6" type="noConversion"/>
  <pageMargins left="0.7" right="0.7" top="0.75" bottom="0.75" header="0.3" footer="0.3"/>
  <ignoredErrors>
    <ignoredError sqref="AC9:AJ9 AD7" formula="1"/>
  </ignoredErrors>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CE0ED-169D-4DA9-9345-139F9733D2AB}">
  <sheetPr>
    <tabColor rgb="FF00B0F0"/>
  </sheetPr>
  <dimension ref="A1:V397"/>
  <sheetViews>
    <sheetView workbookViewId="0">
      <selection activeCell="N50" sqref="N50"/>
    </sheetView>
  </sheetViews>
  <sheetFormatPr defaultRowHeight="14.4" x14ac:dyDescent="0.3"/>
  <cols>
    <col min="1" max="1" width="11.44140625" bestFit="1" customWidth="1"/>
    <col min="2" max="2" width="12.77734375" bestFit="1" customWidth="1"/>
    <col min="3" max="3" width="22.88671875" bestFit="1" customWidth="1"/>
    <col min="4" max="4" width="19.21875" bestFit="1" customWidth="1"/>
    <col min="5" max="5" width="22.44140625" bestFit="1" customWidth="1"/>
    <col min="6" max="6" width="18" bestFit="1" customWidth="1"/>
    <col min="7" max="7" width="40.109375" bestFit="1" customWidth="1"/>
    <col min="8" max="8" width="12.21875" bestFit="1" customWidth="1"/>
    <col min="9" max="9" width="10.33203125" bestFit="1" customWidth="1"/>
    <col min="11" max="12" width="20.5546875" customWidth="1"/>
    <col min="13" max="13" width="39.5546875" bestFit="1" customWidth="1"/>
    <col min="14" max="14" width="35.6640625" bestFit="1" customWidth="1"/>
    <col min="15" max="15" width="38.33203125" bestFit="1" customWidth="1"/>
    <col min="16" max="16" width="20.5546875" customWidth="1"/>
    <col min="17" max="17" width="39.5546875" bestFit="1" customWidth="1"/>
    <col min="20" max="20" width="35.6640625" bestFit="1" customWidth="1"/>
    <col min="21" max="22" width="20.5546875" customWidth="1"/>
    <col min="23" max="23" width="17.6640625" bestFit="1" customWidth="1"/>
    <col min="25" max="25" width="18.44140625" bestFit="1" customWidth="1"/>
    <col min="26" max="26" width="17.6640625" bestFit="1" customWidth="1"/>
    <col min="28" max="28" width="15.44140625" bestFit="1" customWidth="1"/>
    <col min="29" max="29" width="17.6640625" bestFit="1" customWidth="1"/>
  </cols>
  <sheetData>
    <row r="1" spans="1:22" ht="15.6" x14ac:dyDescent="0.3">
      <c r="A1" s="48" t="s">
        <v>612</v>
      </c>
      <c r="B1" s="48" t="s">
        <v>613</v>
      </c>
      <c r="C1" s="48" t="s">
        <v>8</v>
      </c>
      <c r="D1" s="48" t="s">
        <v>9</v>
      </c>
      <c r="E1" s="48" t="s">
        <v>240</v>
      </c>
      <c r="F1" s="54" t="s">
        <v>618</v>
      </c>
      <c r="G1" s="48" t="s">
        <v>620</v>
      </c>
      <c r="H1" s="48" t="s">
        <v>372</v>
      </c>
      <c r="K1" s="270" t="s">
        <v>373</v>
      </c>
      <c r="L1" s="271"/>
      <c r="M1" s="271"/>
      <c r="N1" s="271"/>
      <c r="O1" s="271"/>
      <c r="P1" s="271"/>
      <c r="Q1" s="271"/>
      <c r="T1" s="270" t="s">
        <v>373</v>
      </c>
      <c r="U1" s="271"/>
      <c r="V1" s="271"/>
    </row>
    <row r="2" spans="1:22" ht="16.2" thickBot="1" x14ac:dyDescent="0.35">
      <c r="A2" s="4">
        <v>37711</v>
      </c>
      <c r="B2" s="3" t="s">
        <v>614</v>
      </c>
      <c r="C2" s="3" t="s">
        <v>32</v>
      </c>
      <c r="D2" s="3" t="s">
        <v>34</v>
      </c>
      <c r="E2" s="3" t="s">
        <v>246</v>
      </c>
      <c r="F2" s="51">
        <v>269760</v>
      </c>
      <c r="G2" s="53">
        <v>0.115</v>
      </c>
      <c r="H2" s="52">
        <v>7755.6</v>
      </c>
      <c r="I2" s="40"/>
      <c r="K2" s="22" t="s">
        <v>374</v>
      </c>
      <c r="L2" s="22" t="s">
        <v>618</v>
      </c>
      <c r="M2" s="28" t="s">
        <v>385</v>
      </c>
      <c r="N2" s="22" t="s">
        <v>620</v>
      </c>
      <c r="O2" s="28" t="s">
        <v>385</v>
      </c>
      <c r="P2" s="22" t="s">
        <v>372</v>
      </c>
      <c r="Q2" s="28" t="s">
        <v>385</v>
      </c>
      <c r="T2" s="22" t="s">
        <v>374</v>
      </c>
      <c r="U2" s="22" t="s">
        <v>8</v>
      </c>
      <c r="V2" s="22" t="s">
        <v>240</v>
      </c>
    </row>
    <row r="3" spans="1:22" ht="15.6" x14ac:dyDescent="0.3">
      <c r="A3" s="4">
        <v>37711</v>
      </c>
      <c r="B3" s="3" t="s">
        <v>614</v>
      </c>
      <c r="C3" s="3" t="s">
        <v>32</v>
      </c>
      <c r="D3" s="3" t="s">
        <v>44</v>
      </c>
      <c r="E3" s="3" t="s">
        <v>252</v>
      </c>
      <c r="F3" s="51">
        <v>115720</v>
      </c>
      <c r="G3" s="53">
        <v>0.105</v>
      </c>
      <c r="H3" s="52">
        <v>3037.65</v>
      </c>
      <c r="K3" s="23" t="s">
        <v>375</v>
      </c>
      <c r="L3" s="25">
        <f>COUNT(Marketing_Table[Annual Sales])</f>
        <v>396</v>
      </c>
      <c r="M3" s="37" t="s">
        <v>386</v>
      </c>
      <c r="N3" s="25">
        <f>COUNT(Marketing_Table[Annual Marketing_Spend % of Sales])</f>
        <v>396</v>
      </c>
      <c r="O3" s="37" t="s">
        <v>386</v>
      </c>
      <c r="P3" s="18">
        <f>COUNT(Marketing_Table[Amt])</f>
        <v>396</v>
      </c>
      <c r="Q3" s="37" t="s">
        <v>386</v>
      </c>
      <c r="T3" s="32" t="s">
        <v>375</v>
      </c>
      <c r="U3" s="33">
        <f>COUNTA(Marketing_Table[Product_Category])</f>
        <v>396</v>
      </c>
      <c r="V3" s="33">
        <f>COUNTA(Marketing_Table[Product_Name])</f>
        <v>396</v>
      </c>
    </row>
    <row r="4" spans="1:22" ht="16.2" thickBot="1" x14ac:dyDescent="0.35">
      <c r="A4" s="4">
        <v>37711</v>
      </c>
      <c r="B4" s="3" t="s">
        <v>614</v>
      </c>
      <c r="C4" s="3" t="s">
        <v>32</v>
      </c>
      <c r="D4" s="3" t="s">
        <v>33</v>
      </c>
      <c r="E4" s="3" t="s">
        <v>245</v>
      </c>
      <c r="F4" s="51">
        <v>244035</v>
      </c>
      <c r="G4" s="53">
        <v>0.11</v>
      </c>
      <c r="H4" s="52">
        <v>6710.9624999999996</v>
      </c>
      <c r="K4" s="23" t="s">
        <v>376</v>
      </c>
      <c r="L4" s="25">
        <f>AVERAGE(Marketing_Table[Annual Sales])</f>
        <v>67796.646464646459</v>
      </c>
      <c r="M4" s="37" t="s">
        <v>386</v>
      </c>
      <c r="N4" s="42">
        <f>AVERAGE(Marketing_Table[Annual Marketing_Spend % of Sales])</f>
        <v>6.4318181818181858E-2</v>
      </c>
      <c r="O4" s="37" t="s">
        <v>386</v>
      </c>
      <c r="P4" s="18">
        <f>AVERAGE(Marketing_Table[Amt])</f>
        <v>1209.0562752525261</v>
      </c>
      <c r="Q4" s="37" t="s">
        <v>386</v>
      </c>
      <c r="T4" s="34" t="s">
        <v>391</v>
      </c>
      <c r="U4" s="35">
        <f>COUNTA(_xlfn.UNIQUE(Marketing_Table[Product_Category]))</f>
        <v>7</v>
      </c>
      <c r="V4" s="35">
        <f>COUNTA(_xlfn.UNIQUE(Marketing_Table[Product_Name]))</f>
        <v>33</v>
      </c>
    </row>
    <row r="5" spans="1:22" ht="15.6" x14ac:dyDescent="0.3">
      <c r="A5" s="4">
        <v>37711</v>
      </c>
      <c r="B5" s="3" t="s">
        <v>614</v>
      </c>
      <c r="C5" s="3" t="s">
        <v>32</v>
      </c>
      <c r="D5" s="3" t="s">
        <v>45</v>
      </c>
      <c r="E5" s="3" t="s">
        <v>253</v>
      </c>
      <c r="F5" s="51">
        <v>50715</v>
      </c>
      <c r="G5" s="53">
        <v>0.09</v>
      </c>
      <c r="H5" s="52">
        <v>1141.0874999999999</v>
      </c>
      <c r="K5" s="23" t="s">
        <v>377</v>
      </c>
      <c r="L5" s="26">
        <f>_xlfn.STDEV.S(Marketing_Table[Annual Sales])</f>
        <v>79673.975209838667</v>
      </c>
      <c r="M5" s="38" t="s">
        <v>619</v>
      </c>
      <c r="N5" s="43">
        <f>_xlfn.STDEV.S(Marketing_Table[Annual Marketing_Spend % of Sales])</f>
        <v>2.9505026780083266E-2</v>
      </c>
      <c r="O5" s="38" t="s">
        <v>621</v>
      </c>
      <c r="P5" s="19">
        <f>_xlfn.STDEV.S(Marketing_Table[Amt])</f>
        <v>1904.0402747079111</v>
      </c>
      <c r="Q5" s="38" t="s">
        <v>622</v>
      </c>
      <c r="T5" s="23" t="s">
        <v>393</v>
      </c>
      <c r="U5" s="25" t="str" cm="1">
        <f t="array" ref="U5">INDEX(Marketing_Table[Product_Category],_xlfn.MODE.MULT(MATCH(Marketing_Table[Product_Category],Marketing_Table[Product_Category],0)))</f>
        <v>Dairy Products</v>
      </c>
      <c r="V5" s="25" t="s">
        <v>386</v>
      </c>
    </row>
    <row r="6" spans="1:22" ht="16.2" thickBot="1" x14ac:dyDescent="0.35">
      <c r="A6" s="4">
        <v>37711</v>
      </c>
      <c r="B6" s="3" t="s">
        <v>614</v>
      </c>
      <c r="C6" s="3" t="s">
        <v>32</v>
      </c>
      <c r="D6" s="3" t="s">
        <v>46</v>
      </c>
      <c r="E6" s="3" t="s">
        <v>254</v>
      </c>
      <c r="F6" s="51">
        <v>231570</v>
      </c>
      <c r="G6" s="53">
        <v>0.1</v>
      </c>
      <c r="H6" s="52">
        <v>5789.25</v>
      </c>
      <c r="K6" s="23" t="s">
        <v>378</v>
      </c>
      <c r="L6" s="26">
        <f>_xlfn.VAR.S(Marketing_Table[Annual Sales])</f>
        <v>6347942325.7379875</v>
      </c>
      <c r="M6" s="38" t="s">
        <v>386</v>
      </c>
      <c r="N6" s="43">
        <f>_xlfn.VAR.S(Marketing_Table[Annual Marketing_Spend % of Sales])</f>
        <v>8.7054660529343065E-4</v>
      </c>
      <c r="O6" s="38" t="s">
        <v>386</v>
      </c>
      <c r="P6" s="19">
        <f>_xlfn.VAR.S(Marketing_Table[Amt])</f>
        <v>3625369.3677097778</v>
      </c>
      <c r="Q6" s="38" t="s">
        <v>386</v>
      </c>
      <c r="T6" s="24" t="s">
        <v>392</v>
      </c>
      <c r="U6" s="31">
        <f>COUNTIF(Marketing_Table[Product_Category],U5)/$L$3</f>
        <v>0.18181818181818182</v>
      </c>
      <c r="V6" s="31" t="s">
        <v>386</v>
      </c>
    </row>
    <row r="7" spans="1:22" ht="15.6" x14ac:dyDescent="0.3">
      <c r="A7" s="4">
        <v>37711</v>
      </c>
      <c r="B7" s="3" t="s">
        <v>614</v>
      </c>
      <c r="C7" s="3" t="s">
        <v>17</v>
      </c>
      <c r="D7" s="3" t="s">
        <v>20</v>
      </c>
      <c r="E7" s="3" t="s">
        <v>242</v>
      </c>
      <c r="F7" s="51">
        <v>184512</v>
      </c>
      <c r="G7" s="53">
        <v>6.5000000000000002E-2</v>
      </c>
      <c r="H7" s="52">
        <v>2998.32</v>
      </c>
      <c r="K7" s="23" t="s">
        <v>379</v>
      </c>
      <c r="L7" s="26">
        <f>MIN(Marketing_Table[Annual Sales])</f>
        <v>2880</v>
      </c>
      <c r="M7" s="38" t="s">
        <v>386</v>
      </c>
      <c r="N7" s="43">
        <f>MIN(Marketing_Table[Annual Marketing_Spend % of Sales])</f>
        <v>5.0000000000000044E-3</v>
      </c>
      <c r="O7" s="38" t="s">
        <v>386</v>
      </c>
      <c r="P7" s="19">
        <f>MIN(Marketing_Table[Amt])</f>
        <v>26.400000000000023</v>
      </c>
      <c r="Q7" s="38" t="s">
        <v>386</v>
      </c>
      <c r="T7" s="23" t="s">
        <v>394</v>
      </c>
      <c r="U7" s="26" t="str" cm="1">
        <f t="array" ref="U7">_xlfn.LET(_xlpm.names,Marketing_Table[Product_Category],_xlpm.u,_xlfn.UNIQUE(_xlpm.names),_xlpm.freq,COUNTIF(_xlpm.names,_xlpm.u),_xlpm.sorted,_xlfn.SORTBY(_xlpm.u,_xlpm.freq,-1),INDEX(_xlpm.sorted,2))</f>
        <v>Beverages</v>
      </c>
      <c r="V7" s="26" t="s">
        <v>386</v>
      </c>
    </row>
    <row r="8" spans="1:22" ht="16.2" thickBot="1" x14ac:dyDescent="0.35">
      <c r="A8" s="4">
        <v>37711</v>
      </c>
      <c r="B8" s="3" t="s">
        <v>614</v>
      </c>
      <c r="C8" s="3" t="s">
        <v>17</v>
      </c>
      <c r="D8" s="3" t="s">
        <v>18</v>
      </c>
      <c r="E8" s="3" t="s">
        <v>241</v>
      </c>
      <c r="F8" s="51">
        <v>20910</v>
      </c>
      <c r="G8" s="53">
        <v>7.4999999999999997E-2</v>
      </c>
      <c r="H8" s="52">
        <v>392.0625</v>
      </c>
      <c r="K8" s="30">
        <v>0.25</v>
      </c>
      <c r="L8" s="26">
        <f>_xlfn.QUARTILE.INC(Marketing_Table[Annual Sales],1)</f>
        <v>13275</v>
      </c>
      <c r="M8" s="38" t="s">
        <v>386</v>
      </c>
      <c r="N8" s="43">
        <f>_xlfn.QUARTILE.INC(Marketing_Table[Annual Marketing_Spend % of Sales],1)</f>
        <v>4.0000000000000008E-2</v>
      </c>
      <c r="O8" s="38" t="s">
        <v>386</v>
      </c>
      <c r="P8" s="19">
        <f>_xlfn.QUARTILE.INC(Marketing_Table[Amt],1)</f>
        <v>141.40000000000003</v>
      </c>
      <c r="Q8" s="38" t="s">
        <v>386</v>
      </c>
      <c r="T8" s="24" t="s">
        <v>392</v>
      </c>
      <c r="U8" s="31">
        <f>COUNTIF(Marketing_Table[Product_Category],U7)/U$3</f>
        <v>0.15151515151515152</v>
      </c>
      <c r="V8" s="31" t="s">
        <v>386</v>
      </c>
    </row>
    <row r="9" spans="1:22" ht="15.6" x14ac:dyDescent="0.3">
      <c r="A9" s="4">
        <v>37711</v>
      </c>
      <c r="B9" s="3" t="s">
        <v>614</v>
      </c>
      <c r="C9" s="3" t="s">
        <v>17</v>
      </c>
      <c r="D9" s="3" t="s">
        <v>82</v>
      </c>
      <c r="E9" s="3" t="s">
        <v>270</v>
      </c>
      <c r="F9" s="51">
        <v>60375</v>
      </c>
      <c r="G9" s="53">
        <v>0.06</v>
      </c>
      <c r="H9" s="52">
        <v>905.625</v>
      </c>
      <c r="K9" s="23" t="s">
        <v>380</v>
      </c>
      <c r="L9" s="26">
        <f>MEDIAN(Marketing_Table[Annual Sales])</f>
        <v>29565</v>
      </c>
      <c r="M9" s="38" t="s">
        <v>386</v>
      </c>
      <c r="N9" s="43">
        <f>MEDIAN(Marketing_Table[Annual Marketing_Spend % of Sales])</f>
        <v>6.0000000000000012E-2</v>
      </c>
      <c r="O9" s="38" t="s">
        <v>386</v>
      </c>
      <c r="P9" s="19">
        <f>MEDIAN(Marketing_Table[Amt])</f>
        <v>405.41250000000002</v>
      </c>
      <c r="Q9" s="38" t="s">
        <v>386</v>
      </c>
      <c r="T9" s="23" t="s">
        <v>395</v>
      </c>
      <c r="U9" s="26" t="str" cm="1">
        <f t="array" ref="U9">_xlfn.LET(_xlpm.names,Marketing_Table[Product_Category],_xlpm.u,_xlfn.UNIQUE(_xlpm.names),_xlpm.freq,COUNTIF(_xlpm.names,_xlpm.u),_xlpm.sorted,_xlfn.SORTBY(_xlpm.u,_xlpm.freq,-1),INDEX(_xlpm.sorted,3))</f>
        <v>Instant Foods</v>
      </c>
      <c r="V9" s="26" t="s">
        <v>386</v>
      </c>
    </row>
    <row r="10" spans="1:22" ht="16.2" thickBot="1" x14ac:dyDescent="0.35">
      <c r="A10" s="4">
        <v>37711</v>
      </c>
      <c r="B10" s="3" t="s">
        <v>614</v>
      </c>
      <c r="C10" s="3" t="s">
        <v>17</v>
      </c>
      <c r="D10" s="3" t="s">
        <v>26</v>
      </c>
      <c r="E10" s="3" t="s">
        <v>244</v>
      </c>
      <c r="F10" s="51">
        <v>69780</v>
      </c>
      <c r="G10" s="53">
        <v>5.5E-2</v>
      </c>
      <c r="H10" s="52">
        <v>959.47500000000002</v>
      </c>
      <c r="K10" s="30">
        <v>0.75</v>
      </c>
      <c r="L10" s="26">
        <f>_xlfn.QUARTILE.INC(Marketing_Table[Annual Sales],3)</f>
        <v>89100</v>
      </c>
      <c r="M10" s="38" t="s">
        <v>386</v>
      </c>
      <c r="N10" s="43">
        <f>_xlfn.QUARTILE.INC(Marketing_Table[Annual Marketing_Spend % of Sales],3)</f>
        <v>0.09</v>
      </c>
      <c r="O10" s="38" t="s">
        <v>386</v>
      </c>
      <c r="P10" s="19">
        <f>_xlfn.QUARTILE.INC(Marketing_Table[Amt],3)</f>
        <v>1339.5</v>
      </c>
      <c r="Q10" s="38" t="s">
        <v>386</v>
      </c>
      <c r="T10" s="24" t="s">
        <v>392</v>
      </c>
      <c r="U10" s="31">
        <f>COUNTIF(Marketing_Table[Product_Category],U9)/U$3</f>
        <v>0.15151515151515152</v>
      </c>
      <c r="V10" s="31" t="s">
        <v>386</v>
      </c>
    </row>
    <row r="11" spans="1:22" ht="15.6" x14ac:dyDescent="0.3">
      <c r="A11" s="4">
        <v>37711</v>
      </c>
      <c r="B11" s="3" t="s">
        <v>614</v>
      </c>
      <c r="C11" s="3" t="s">
        <v>17</v>
      </c>
      <c r="D11" s="3" t="s">
        <v>52</v>
      </c>
      <c r="E11" s="3" t="s">
        <v>256</v>
      </c>
      <c r="F11" s="51">
        <v>13275</v>
      </c>
      <c r="G11" s="53">
        <v>7.0000000000000007E-2</v>
      </c>
      <c r="H11" s="52">
        <v>232.31250000000003</v>
      </c>
      <c r="K11" s="23" t="s">
        <v>381</v>
      </c>
      <c r="L11" s="26">
        <f>MAX(Marketing_Table[Annual Sales])</f>
        <v>361840</v>
      </c>
      <c r="M11" s="38" t="s">
        <v>386</v>
      </c>
      <c r="N11" s="43">
        <f>MAX(Marketing_Table[Annual Marketing_Spend % of Sales])</f>
        <v>0.13500000000000001</v>
      </c>
      <c r="O11" s="38" t="s">
        <v>386</v>
      </c>
      <c r="P11" s="19">
        <f>MAX(Marketing_Table[Amt])</f>
        <v>12212.1</v>
      </c>
      <c r="Q11" s="38" t="s">
        <v>386</v>
      </c>
    </row>
    <row r="12" spans="1:22" ht="15.6" x14ac:dyDescent="0.3">
      <c r="A12" s="4">
        <v>37711</v>
      </c>
      <c r="B12" s="3" t="s">
        <v>614</v>
      </c>
      <c r="C12" s="3" t="s">
        <v>17</v>
      </c>
      <c r="D12" s="3" t="s">
        <v>21</v>
      </c>
      <c r="E12" s="3" t="s">
        <v>243</v>
      </c>
      <c r="F12" s="51">
        <v>61600</v>
      </c>
      <c r="G12" s="53">
        <v>4.4999999999999998E-2</v>
      </c>
      <c r="H12" s="52">
        <v>693</v>
      </c>
      <c r="K12" s="23" t="s">
        <v>384</v>
      </c>
      <c r="L12" s="26">
        <f>L11-L7</f>
        <v>358960</v>
      </c>
      <c r="M12" s="38" t="s">
        <v>386</v>
      </c>
      <c r="N12" s="43">
        <f>N11-N7</f>
        <v>0.13</v>
      </c>
      <c r="O12" s="38" t="s">
        <v>386</v>
      </c>
      <c r="P12" s="19">
        <f>P11-P7</f>
        <v>12185.7</v>
      </c>
      <c r="Q12" s="38" t="s">
        <v>386</v>
      </c>
    </row>
    <row r="13" spans="1:22" ht="15.6" x14ac:dyDescent="0.3">
      <c r="A13" s="4">
        <v>37711</v>
      </c>
      <c r="B13" s="3" t="s">
        <v>614</v>
      </c>
      <c r="C13" s="3" t="s">
        <v>47</v>
      </c>
      <c r="D13" s="3" t="s">
        <v>48</v>
      </c>
      <c r="E13" s="3" t="s">
        <v>255</v>
      </c>
      <c r="F13" s="51">
        <v>32130</v>
      </c>
      <c r="G13" s="53">
        <v>5.5E-2</v>
      </c>
      <c r="H13" s="52">
        <v>441.78750000000002</v>
      </c>
      <c r="K13" s="23" t="s">
        <v>382</v>
      </c>
      <c r="L13" s="26">
        <f>SKEW(Marketing_Table[Annual Sales])</f>
        <v>1.5854518085026501</v>
      </c>
      <c r="M13" s="38" t="s">
        <v>389</v>
      </c>
      <c r="N13" s="44">
        <f>SKEW(Marketing_Table[Annual Marketing_Spend % of Sales])</f>
        <v>9.8888947491103718E-2</v>
      </c>
      <c r="O13" s="38" t="s">
        <v>388</v>
      </c>
      <c r="P13" s="19">
        <f>SKEW(Marketing_Table[Amt])</f>
        <v>2.6433717642924734</v>
      </c>
      <c r="Q13" s="38" t="s">
        <v>389</v>
      </c>
    </row>
    <row r="14" spans="1:22" ht="16.2" thickBot="1" x14ac:dyDescent="0.35">
      <c r="A14" s="4">
        <v>37711</v>
      </c>
      <c r="B14" s="3" t="s">
        <v>614</v>
      </c>
      <c r="C14" s="3" t="s">
        <v>47</v>
      </c>
      <c r="D14" s="3" t="s">
        <v>119</v>
      </c>
      <c r="E14" s="3" t="s">
        <v>272</v>
      </c>
      <c r="F14" s="51">
        <v>12120</v>
      </c>
      <c r="G14" s="53">
        <v>0.05</v>
      </c>
      <c r="H14" s="52">
        <v>151.5</v>
      </c>
      <c r="K14" s="24" t="s">
        <v>383</v>
      </c>
      <c r="L14" s="27">
        <f>KURT(Marketing_Table[Annual Sales])</f>
        <v>1.599517601565482</v>
      </c>
      <c r="M14" s="39" t="s">
        <v>399</v>
      </c>
      <c r="N14" s="45">
        <f>KURT(Marketing_Table[Annual Marketing_Spend % of Sales])</f>
        <v>-0.7329225748930801</v>
      </c>
      <c r="O14" s="39" t="s">
        <v>399</v>
      </c>
      <c r="P14" s="20">
        <f>KURT(Marketing_Table[Amt])</f>
        <v>8.0079873630748111</v>
      </c>
      <c r="Q14" s="39" t="s">
        <v>390</v>
      </c>
    </row>
    <row r="15" spans="1:22" ht="15.6" x14ac:dyDescent="0.3">
      <c r="A15" s="4">
        <v>37711</v>
      </c>
      <c r="B15" s="3" t="s">
        <v>614</v>
      </c>
      <c r="C15" s="3" t="s">
        <v>47</v>
      </c>
      <c r="D15" s="3" t="s">
        <v>53</v>
      </c>
      <c r="E15" s="3" t="s">
        <v>257</v>
      </c>
      <c r="F15" s="51">
        <v>30510</v>
      </c>
      <c r="G15" s="53">
        <v>0.06</v>
      </c>
      <c r="H15" s="52">
        <v>457.65</v>
      </c>
    </row>
    <row r="16" spans="1:22" ht="15.6" x14ac:dyDescent="0.3">
      <c r="A16" s="4">
        <v>37711</v>
      </c>
      <c r="B16" s="3" t="s">
        <v>614</v>
      </c>
      <c r="C16" s="3" t="s">
        <v>54</v>
      </c>
      <c r="D16" s="3" t="s">
        <v>57</v>
      </c>
      <c r="E16" s="3" t="s">
        <v>260</v>
      </c>
      <c r="F16" s="51">
        <v>192280</v>
      </c>
      <c r="G16" s="53">
        <v>0.09</v>
      </c>
      <c r="H16" s="52">
        <v>4326.3</v>
      </c>
      <c r="J16" s="41"/>
      <c r="K16" s="55"/>
    </row>
    <row r="17" spans="1:13" ht="15.6" x14ac:dyDescent="0.3">
      <c r="A17" s="4">
        <v>37711</v>
      </c>
      <c r="B17" s="3" t="s">
        <v>614</v>
      </c>
      <c r="C17" s="3" t="s">
        <v>54</v>
      </c>
      <c r="D17" s="3" t="s">
        <v>56</v>
      </c>
      <c r="E17" s="3" t="s">
        <v>259</v>
      </c>
      <c r="F17" s="51">
        <v>215500</v>
      </c>
      <c r="G17" s="53">
        <v>0.09</v>
      </c>
      <c r="H17" s="52">
        <v>4848.75</v>
      </c>
      <c r="M17" s="41"/>
    </row>
    <row r="18" spans="1:13" ht="15.6" x14ac:dyDescent="0.3">
      <c r="A18" s="4">
        <v>37711</v>
      </c>
      <c r="B18" s="3" t="s">
        <v>614</v>
      </c>
      <c r="C18" s="3" t="s">
        <v>54</v>
      </c>
      <c r="D18" s="3" t="s">
        <v>55</v>
      </c>
      <c r="E18" s="3" t="s">
        <v>258</v>
      </c>
      <c r="F18" s="51">
        <v>131400</v>
      </c>
      <c r="G18" s="53">
        <v>8.5000000000000006E-2</v>
      </c>
      <c r="H18" s="52">
        <v>2792.25</v>
      </c>
      <c r="I18" s="50"/>
    </row>
    <row r="19" spans="1:13" ht="15.6" x14ac:dyDescent="0.3">
      <c r="A19" s="4">
        <v>37711</v>
      </c>
      <c r="B19" s="3" t="s">
        <v>614</v>
      </c>
      <c r="C19" s="3" t="s">
        <v>54</v>
      </c>
      <c r="D19" s="3" t="s">
        <v>166</v>
      </c>
      <c r="E19" s="3" t="s">
        <v>273</v>
      </c>
      <c r="F19" s="51">
        <v>14560</v>
      </c>
      <c r="G19" s="53">
        <v>0.08</v>
      </c>
      <c r="H19" s="52">
        <v>291.2</v>
      </c>
      <c r="I19" s="50"/>
    </row>
    <row r="20" spans="1:13" ht="15.6" x14ac:dyDescent="0.3">
      <c r="A20" s="4">
        <v>37711</v>
      </c>
      <c r="B20" s="3" t="s">
        <v>614</v>
      </c>
      <c r="C20" s="3" t="s">
        <v>68</v>
      </c>
      <c r="D20" s="3" t="s">
        <v>69</v>
      </c>
      <c r="E20" s="3" t="s">
        <v>266</v>
      </c>
      <c r="F20" s="51">
        <v>33925</v>
      </c>
      <c r="G20" s="53">
        <v>0.1</v>
      </c>
      <c r="H20" s="52">
        <v>848.125</v>
      </c>
      <c r="I20" s="50"/>
    </row>
    <row r="21" spans="1:13" ht="15.6" x14ac:dyDescent="0.3">
      <c r="A21" s="4">
        <v>37711</v>
      </c>
      <c r="B21" s="3" t="s">
        <v>614</v>
      </c>
      <c r="C21" s="3" t="s">
        <v>68</v>
      </c>
      <c r="D21" s="3" t="s">
        <v>76</v>
      </c>
      <c r="E21" s="3" t="s">
        <v>269</v>
      </c>
      <c r="F21" s="51">
        <v>17070</v>
      </c>
      <c r="G21" s="53">
        <v>9.5000000000000001E-2</v>
      </c>
      <c r="H21" s="52">
        <v>405.41250000000002</v>
      </c>
      <c r="I21" s="50"/>
    </row>
    <row r="22" spans="1:13" ht="15.6" x14ac:dyDescent="0.3">
      <c r="A22" s="4">
        <v>37711</v>
      </c>
      <c r="B22" s="3" t="s">
        <v>614</v>
      </c>
      <c r="C22" s="3" t="s">
        <v>68</v>
      </c>
      <c r="D22" s="3" t="s">
        <v>108</v>
      </c>
      <c r="E22" s="3" t="s">
        <v>271</v>
      </c>
      <c r="F22" s="51">
        <v>11745</v>
      </c>
      <c r="G22" s="53">
        <v>0.09</v>
      </c>
      <c r="H22" s="52">
        <v>264.26249999999999</v>
      </c>
    </row>
    <row r="23" spans="1:13" ht="15.6" x14ac:dyDescent="0.3">
      <c r="A23" s="4">
        <v>37711</v>
      </c>
      <c r="B23" s="3" t="s">
        <v>614</v>
      </c>
      <c r="C23" s="3" t="s">
        <v>68</v>
      </c>
      <c r="D23" s="3" t="s">
        <v>70</v>
      </c>
      <c r="E23" s="3" t="s">
        <v>267</v>
      </c>
      <c r="F23" s="51">
        <v>68950</v>
      </c>
      <c r="G23" s="53">
        <v>8.5000000000000006E-2</v>
      </c>
      <c r="H23" s="52">
        <v>1465.1875</v>
      </c>
    </row>
    <row r="24" spans="1:13" ht="15.6" x14ac:dyDescent="0.3">
      <c r="A24" s="4">
        <v>37711</v>
      </c>
      <c r="B24" s="3" t="s">
        <v>614</v>
      </c>
      <c r="C24" s="3" t="s">
        <v>68</v>
      </c>
      <c r="D24" s="3" t="s">
        <v>75</v>
      </c>
      <c r="E24" s="3" t="s">
        <v>268</v>
      </c>
      <c r="F24" s="51">
        <v>6055</v>
      </c>
      <c r="G24" s="53">
        <v>0.08</v>
      </c>
      <c r="H24" s="52">
        <v>121.10000000000001</v>
      </c>
    </row>
    <row r="25" spans="1:13" ht="15.6" x14ac:dyDescent="0.3">
      <c r="A25" s="4">
        <v>37711</v>
      </c>
      <c r="B25" s="3" t="s">
        <v>614</v>
      </c>
      <c r="C25" s="3" t="s">
        <v>35</v>
      </c>
      <c r="D25" s="3" t="s">
        <v>39</v>
      </c>
      <c r="E25" s="3" t="s">
        <v>250</v>
      </c>
      <c r="F25" s="51">
        <v>25120</v>
      </c>
      <c r="G25" s="53">
        <v>0.105</v>
      </c>
      <c r="H25" s="52">
        <v>659.4</v>
      </c>
    </row>
    <row r="26" spans="1:13" ht="15.6" x14ac:dyDescent="0.3">
      <c r="A26" s="4">
        <v>37711</v>
      </c>
      <c r="B26" s="3" t="s">
        <v>614</v>
      </c>
      <c r="C26" s="3" t="s">
        <v>35</v>
      </c>
      <c r="D26" s="3" t="s">
        <v>40</v>
      </c>
      <c r="E26" s="3" t="s">
        <v>251</v>
      </c>
      <c r="F26" s="51">
        <v>19750</v>
      </c>
      <c r="G26" s="53">
        <v>0.09</v>
      </c>
      <c r="H26" s="52">
        <v>444.375</v>
      </c>
    </row>
    <row r="27" spans="1:13" ht="15.6" x14ac:dyDescent="0.3">
      <c r="A27" s="4">
        <v>37711</v>
      </c>
      <c r="B27" s="3" t="s">
        <v>614</v>
      </c>
      <c r="C27" s="3" t="s">
        <v>35</v>
      </c>
      <c r="D27" s="3" t="s">
        <v>37</v>
      </c>
      <c r="E27" s="3" t="s">
        <v>248</v>
      </c>
      <c r="F27" s="51">
        <v>13140</v>
      </c>
      <c r="G27" s="53">
        <v>9.5000000000000001E-2</v>
      </c>
      <c r="H27" s="52">
        <v>312.07499999999999</v>
      </c>
    </row>
    <row r="28" spans="1:13" ht="15.6" x14ac:dyDescent="0.3">
      <c r="A28" s="4">
        <v>37711</v>
      </c>
      <c r="B28" s="3" t="s">
        <v>614</v>
      </c>
      <c r="C28" s="3" t="s">
        <v>35</v>
      </c>
      <c r="D28" s="3" t="s">
        <v>38</v>
      </c>
      <c r="E28" s="3" t="s">
        <v>249</v>
      </c>
      <c r="F28" s="51">
        <v>19040</v>
      </c>
      <c r="G28" s="53">
        <v>8.5000000000000006E-2</v>
      </c>
      <c r="H28" s="52">
        <v>404.6</v>
      </c>
    </row>
    <row r="29" spans="1:13" ht="15.6" x14ac:dyDescent="0.3">
      <c r="A29" s="4">
        <v>37711</v>
      </c>
      <c r="B29" s="3" t="s">
        <v>614</v>
      </c>
      <c r="C29" s="3" t="s">
        <v>35</v>
      </c>
      <c r="D29" s="3" t="s">
        <v>36</v>
      </c>
      <c r="E29" s="3" t="s">
        <v>247</v>
      </c>
      <c r="F29" s="51">
        <v>12510</v>
      </c>
      <c r="G29" s="53">
        <v>0.08</v>
      </c>
      <c r="H29" s="52">
        <v>250.20000000000002</v>
      </c>
    </row>
    <row r="30" spans="1:13" ht="15.6" x14ac:dyDescent="0.3">
      <c r="A30" s="4">
        <v>37711</v>
      </c>
      <c r="B30" s="3" t="s">
        <v>614</v>
      </c>
      <c r="C30" s="3" t="s">
        <v>61</v>
      </c>
      <c r="D30" s="3" t="s">
        <v>62</v>
      </c>
      <c r="E30" s="3" t="s">
        <v>261</v>
      </c>
      <c r="F30" s="51">
        <v>19425</v>
      </c>
      <c r="G30" s="53">
        <v>7.0000000000000007E-2</v>
      </c>
      <c r="H30" s="52">
        <v>339.93750000000006</v>
      </c>
    </row>
    <row r="31" spans="1:13" ht="15.6" x14ac:dyDescent="0.3">
      <c r="A31" s="4">
        <v>37711</v>
      </c>
      <c r="B31" s="3" t="s">
        <v>614</v>
      </c>
      <c r="C31" s="3" t="s">
        <v>61</v>
      </c>
      <c r="D31" s="3" t="s">
        <v>66</v>
      </c>
      <c r="E31" s="3" t="s">
        <v>265</v>
      </c>
      <c r="F31" s="51">
        <v>20160</v>
      </c>
      <c r="G31" s="53">
        <v>7.4999999999999997E-2</v>
      </c>
      <c r="H31" s="52">
        <v>378</v>
      </c>
    </row>
    <row r="32" spans="1:13" ht="15.6" x14ac:dyDescent="0.3">
      <c r="A32" s="4">
        <v>37711</v>
      </c>
      <c r="B32" s="3" t="s">
        <v>614</v>
      </c>
      <c r="C32" s="3" t="s">
        <v>61</v>
      </c>
      <c r="D32" s="3" t="s">
        <v>65</v>
      </c>
      <c r="E32" s="3" t="s">
        <v>264</v>
      </c>
      <c r="F32" s="51">
        <v>12810</v>
      </c>
      <c r="G32" s="53">
        <v>7.4999999999999997E-2</v>
      </c>
      <c r="H32" s="52">
        <v>240.1875</v>
      </c>
    </row>
    <row r="33" spans="1:14" ht="15.6" x14ac:dyDescent="0.3">
      <c r="A33" s="4">
        <v>37711</v>
      </c>
      <c r="B33" s="3" t="s">
        <v>614</v>
      </c>
      <c r="C33" s="3" t="s">
        <v>61</v>
      </c>
      <c r="D33" s="3" t="s">
        <v>64</v>
      </c>
      <c r="E33" s="3" t="s">
        <v>263</v>
      </c>
      <c r="F33" s="51">
        <v>9275</v>
      </c>
      <c r="G33" s="53">
        <v>0.08</v>
      </c>
      <c r="H33" s="52">
        <v>185.5</v>
      </c>
    </row>
    <row r="34" spans="1:14" ht="15.6" x14ac:dyDescent="0.3">
      <c r="A34" s="4">
        <v>37711</v>
      </c>
      <c r="B34" s="3" t="s">
        <v>614</v>
      </c>
      <c r="C34" s="3" t="s">
        <v>61</v>
      </c>
      <c r="D34" s="3" t="s">
        <v>63</v>
      </c>
      <c r="E34" s="3" t="s">
        <v>262</v>
      </c>
      <c r="F34" s="51">
        <v>13160</v>
      </c>
      <c r="G34" s="53">
        <v>0.08</v>
      </c>
      <c r="H34" s="52">
        <v>263.2</v>
      </c>
    </row>
    <row r="35" spans="1:14" ht="15.6" x14ac:dyDescent="0.3">
      <c r="A35" s="4">
        <v>37802</v>
      </c>
      <c r="B35" s="3" t="s">
        <v>615</v>
      </c>
      <c r="C35" s="3" t="s">
        <v>32</v>
      </c>
      <c r="D35" s="3" t="s">
        <v>34</v>
      </c>
      <c r="E35" s="3" t="s">
        <v>246</v>
      </c>
      <c r="F35" s="51">
        <v>269760</v>
      </c>
      <c r="G35" s="53">
        <v>0.115</v>
      </c>
      <c r="H35" s="52">
        <v>7755.6</v>
      </c>
    </row>
    <row r="36" spans="1:14" ht="15.6" x14ac:dyDescent="0.3">
      <c r="A36" s="4">
        <v>37802</v>
      </c>
      <c r="B36" s="3" t="s">
        <v>615</v>
      </c>
      <c r="C36" s="3" t="s">
        <v>32</v>
      </c>
      <c r="D36" s="3" t="s">
        <v>44</v>
      </c>
      <c r="E36" s="3" t="s">
        <v>252</v>
      </c>
      <c r="F36" s="51">
        <v>115720</v>
      </c>
      <c r="G36" s="53">
        <v>0.105</v>
      </c>
      <c r="H36" s="52">
        <v>3037.65</v>
      </c>
    </row>
    <row r="37" spans="1:14" ht="15.6" x14ac:dyDescent="0.3">
      <c r="A37" s="4">
        <v>37802</v>
      </c>
      <c r="B37" s="3" t="s">
        <v>615</v>
      </c>
      <c r="C37" s="3" t="s">
        <v>32</v>
      </c>
      <c r="D37" s="3" t="s">
        <v>33</v>
      </c>
      <c r="E37" s="3" t="s">
        <v>245</v>
      </c>
      <c r="F37" s="51">
        <v>244035</v>
      </c>
      <c r="G37" s="53">
        <v>0.11</v>
      </c>
      <c r="H37" s="52">
        <v>6710.9624999999996</v>
      </c>
    </row>
    <row r="38" spans="1:14" ht="15.6" x14ac:dyDescent="0.3">
      <c r="A38" s="4">
        <v>37802</v>
      </c>
      <c r="B38" s="3" t="s">
        <v>615</v>
      </c>
      <c r="C38" s="3" t="s">
        <v>32</v>
      </c>
      <c r="D38" s="3" t="s">
        <v>45</v>
      </c>
      <c r="E38" s="3" t="s">
        <v>253</v>
      </c>
      <c r="F38" s="51">
        <v>50715</v>
      </c>
      <c r="G38" s="53">
        <v>0.09</v>
      </c>
      <c r="H38" s="52">
        <v>1141.0874999999999</v>
      </c>
    </row>
    <row r="39" spans="1:14" ht="15.6" x14ac:dyDescent="0.3">
      <c r="A39" s="4">
        <v>37802</v>
      </c>
      <c r="B39" s="3" t="s">
        <v>615</v>
      </c>
      <c r="C39" s="3" t="s">
        <v>32</v>
      </c>
      <c r="D39" s="3" t="s">
        <v>46</v>
      </c>
      <c r="E39" s="3" t="s">
        <v>254</v>
      </c>
      <c r="F39" s="51">
        <v>231570</v>
      </c>
      <c r="G39" s="53">
        <v>0.1</v>
      </c>
      <c r="H39" s="52">
        <v>5789.25</v>
      </c>
    </row>
    <row r="40" spans="1:14" ht="15.6" x14ac:dyDescent="0.3">
      <c r="A40" s="4">
        <v>37802</v>
      </c>
      <c r="B40" s="3" t="s">
        <v>615</v>
      </c>
      <c r="C40" s="3" t="s">
        <v>17</v>
      </c>
      <c r="D40" s="3" t="s">
        <v>20</v>
      </c>
      <c r="E40" s="3" t="s">
        <v>242</v>
      </c>
      <c r="F40" s="51">
        <v>184512</v>
      </c>
      <c r="G40" s="53">
        <v>6.5000000000000002E-2</v>
      </c>
      <c r="H40" s="52">
        <v>2998.32</v>
      </c>
    </row>
    <row r="41" spans="1:14" ht="15.6" x14ac:dyDescent="0.3">
      <c r="A41" s="4">
        <v>37802</v>
      </c>
      <c r="B41" s="3" t="s">
        <v>615</v>
      </c>
      <c r="C41" s="3" t="s">
        <v>17</v>
      </c>
      <c r="D41" s="3" t="s">
        <v>18</v>
      </c>
      <c r="E41" s="3" t="s">
        <v>241</v>
      </c>
      <c r="F41" s="51">
        <v>20910</v>
      </c>
      <c r="G41" s="53">
        <v>7.4999999999999997E-2</v>
      </c>
      <c r="H41" s="52">
        <v>392.0625</v>
      </c>
    </row>
    <row r="42" spans="1:14" ht="15.6" x14ac:dyDescent="0.3">
      <c r="A42" s="4">
        <v>37802</v>
      </c>
      <c r="B42" s="3" t="s">
        <v>615</v>
      </c>
      <c r="C42" s="3" t="s">
        <v>17</v>
      </c>
      <c r="D42" s="3" t="s">
        <v>82</v>
      </c>
      <c r="E42" s="3" t="s">
        <v>270</v>
      </c>
      <c r="F42" s="51">
        <v>60375</v>
      </c>
      <c r="G42" s="53">
        <v>0.06</v>
      </c>
      <c r="H42" s="52">
        <v>905.625</v>
      </c>
    </row>
    <row r="43" spans="1:14" ht="15.6" x14ac:dyDescent="0.3">
      <c r="A43" s="4">
        <v>37802</v>
      </c>
      <c r="B43" s="3" t="s">
        <v>615</v>
      </c>
      <c r="C43" s="3" t="s">
        <v>17</v>
      </c>
      <c r="D43" s="3" t="s">
        <v>26</v>
      </c>
      <c r="E43" s="3" t="s">
        <v>244</v>
      </c>
      <c r="F43" s="51">
        <v>69780</v>
      </c>
      <c r="G43" s="53">
        <v>5.5E-2</v>
      </c>
      <c r="H43" s="52">
        <v>959.47500000000002</v>
      </c>
      <c r="M43">
        <v>2003</v>
      </c>
      <c r="N43">
        <f>COUNTIF(Marketing_Table[Date],M43)</f>
        <v>0</v>
      </c>
    </row>
    <row r="44" spans="1:14" ht="15.6" x14ac:dyDescent="0.3">
      <c r="A44" s="4">
        <v>37802</v>
      </c>
      <c r="B44" s="3" t="s">
        <v>615</v>
      </c>
      <c r="C44" s="3" t="s">
        <v>17</v>
      </c>
      <c r="D44" s="3" t="s">
        <v>52</v>
      </c>
      <c r="E44" s="3" t="s">
        <v>256</v>
      </c>
      <c r="F44" s="51">
        <v>13275</v>
      </c>
      <c r="G44" s="53">
        <v>7.0000000000000007E-2</v>
      </c>
      <c r="H44" s="52">
        <v>232.31250000000003</v>
      </c>
      <c r="M44">
        <v>2004</v>
      </c>
      <c r="N44">
        <f>COUNTIF(Marketing_Table[Date],M44)</f>
        <v>0</v>
      </c>
    </row>
    <row r="45" spans="1:14" ht="15.6" x14ac:dyDescent="0.3">
      <c r="A45" s="4">
        <v>37802</v>
      </c>
      <c r="B45" s="3" t="s">
        <v>615</v>
      </c>
      <c r="C45" s="3" t="s">
        <v>17</v>
      </c>
      <c r="D45" s="3" t="s">
        <v>21</v>
      </c>
      <c r="E45" s="3" t="s">
        <v>243</v>
      </c>
      <c r="F45" s="51">
        <v>61600</v>
      </c>
      <c r="G45" s="53">
        <v>4.4999999999999998E-2</v>
      </c>
      <c r="H45" s="52">
        <v>693</v>
      </c>
      <c r="M45">
        <v>2005</v>
      </c>
      <c r="N45">
        <f>COUNTIF(Marketing_Table[Date],M45)</f>
        <v>0</v>
      </c>
    </row>
    <row r="46" spans="1:14" ht="15.6" x14ac:dyDescent="0.3">
      <c r="A46" s="4">
        <v>37802</v>
      </c>
      <c r="B46" s="3" t="s">
        <v>615</v>
      </c>
      <c r="C46" s="3" t="s">
        <v>47</v>
      </c>
      <c r="D46" s="3" t="s">
        <v>48</v>
      </c>
      <c r="E46" s="3" t="s">
        <v>255</v>
      </c>
      <c r="F46" s="51">
        <v>32130</v>
      </c>
      <c r="G46" s="53">
        <v>5.5E-2</v>
      </c>
      <c r="H46" s="52">
        <v>441.78750000000002</v>
      </c>
    </row>
    <row r="47" spans="1:14" ht="15.6" x14ac:dyDescent="0.3">
      <c r="A47" s="4">
        <v>37802</v>
      </c>
      <c r="B47" s="3" t="s">
        <v>615</v>
      </c>
      <c r="C47" s="3" t="s">
        <v>47</v>
      </c>
      <c r="D47" s="3" t="s">
        <v>119</v>
      </c>
      <c r="E47" s="3" t="s">
        <v>272</v>
      </c>
      <c r="F47" s="51">
        <v>12120</v>
      </c>
      <c r="G47" s="53">
        <v>0.05</v>
      </c>
      <c r="H47" s="52">
        <v>151.5</v>
      </c>
    </row>
    <row r="48" spans="1:14" ht="15.6" x14ac:dyDescent="0.3">
      <c r="A48" s="4">
        <v>37802</v>
      </c>
      <c r="B48" s="3" t="s">
        <v>615</v>
      </c>
      <c r="C48" s="3" t="s">
        <v>47</v>
      </c>
      <c r="D48" s="3" t="s">
        <v>53</v>
      </c>
      <c r="E48" s="3" t="s">
        <v>257</v>
      </c>
      <c r="F48" s="51">
        <v>30510</v>
      </c>
      <c r="G48" s="53">
        <v>0.06</v>
      </c>
      <c r="H48" s="52">
        <v>457.65</v>
      </c>
    </row>
    <row r="49" spans="1:8" ht="15.6" x14ac:dyDescent="0.3">
      <c r="A49" s="4">
        <v>37802</v>
      </c>
      <c r="B49" s="3" t="s">
        <v>615</v>
      </c>
      <c r="C49" s="3" t="s">
        <v>54</v>
      </c>
      <c r="D49" s="3" t="s">
        <v>57</v>
      </c>
      <c r="E49" s="3" t="s">
        <v>260</v>
      </c>
      <c r="F49" s="51">
        <v>192280</v>
      </c>
      <c r="G49" s="53">
        <v>0.09</v>
      </c>
      <c r="H49" s="52">
        <v>4326.3</v>
      </c>
    </row>
    <row r="50" spans="1:8" ht="15.6" x14ac:dyDescent="0.3">
      <c r="A50" s="4">
        <v>37802</v>
      </c>
      <c r="B50" s="3" t="s">
        <v>615</v>
      </c>
      <c r="C50" s="3" t="s">
        <v>54</v>
      </c>
      <c r="D50" s="3" t="s">
        <v>56</v>
      </c>
      <c r="E50" s="3" t="s">
        <v>259</v>
      </c>
      <c r="F50" s="51">
        <v>215500</v>
      </c>
      <c r="G50" s="53">
        <v>0.09</v>
      </c>
      <c r="H50" s="52">
        <v>4848.75</v>
      </c>
    </row>
    <row r="51" spans="1:8" ht="15.6" x14ac:dyDescent="0.3">
      <c r="A51" s="4">
        <v>37802</v>
      </c>
      <c r="B51" s="3" t="s">
        <v>615</v>
      </c>
      <c r="C51" s="3" t="s">
        <v>54</v>
      </c>
      <c r="D51" s="3" t="s">
        <v>55</v>
      </c>
      <c r="E51" s="3" t="s">
        <v>258</v>
      </c>
      <c r="F51" s="51">
        <v>131400</v>
      </c>
      <c r="G51" s="53">
        <v>8.5000000000000006E-2</v>
      </c>
      <c r="H51" s="52">
        <v>2792.25</v>
      </c>
    </row>
    <row r="52" spans="1:8" ht="15.6" x14ac:dyDescent="0.3">
      <c r="A52" s="4">
        <v>37802</v>
      </c>
      <c r="B52" s="3" t="s">
        <v>615</v>
      </c>
      <c r="C52" s="3" t="s">
        <v>54</v>
      </c>
      <c r="D52" s="3" t="s">
        <v>166</v>
      </c>
      <c r="E52" s="3" t="s">
        <v>273</v>
      </c>
      <c r="F52" s="51">
        <v>14560</v>
      </c>
      <c r="G52" s="53">
        <v>0.08</v>
      </c>
      <c r="H52" s="52">
        <v>291.2</v>
      </c>
    </row>
    <row r="53" spans="1:8" ht="15.6" x14ac:dyDescent="0.3">
      <c r="A53" s="4">
        <v>37802</v>
      </c>
      <c r="B53" s="3" t="s">
        <v>615</v>
      </c>
      <c r="C53" s="3" t="s">
        <v>68</v>
      </c>
      <c r="D53" s="3" t="s">
        <v>69</v>
      </c>
      <c r="E53" s="3" t="s">
        <v>266</v>
      </c>
      <c r="F53" s="51">
        <v>33925</v>
      </c>
      <c r="G53" s="53">
        <v>0.1</v>
      </c>
      <c r="H53" s="52">
        <v>848.125</v>
      </c>
    </row>
    <row r="54" spans="1:8" ht="15.6" x14ac:dyDescent="0.3">
      <c r="A54" s="4">
        <v>37802</v>
      </c>
      <c r="B54" s="3" t="s">
        <v>615</v>
      </c>
      <c r="C54" s="3" t="s">
        <v>68</v>
      </c>
      <c r="D54" s="3" t="s">
        <v>76</v>
      </c>
      <c r="E54" s="3" t="s">
        <v>269</v>
      </c>
      <c r="F54" s="51">
        <v>17070</v>
      </c>
      <c r="G54" s="53">
        <v>9.5000000000000001E-2</v>
      </c>
      <c r="H54" s="52">
        <v>405.41250000000002</v>
      </c>
    </row>
    <row r="55" spans="1:8" ht="15.6" x14ac:dyDescent="0.3">
      <c r="A55" s="4">
        <v>37802</v>
      </c>
      <c r="B55" s="3" t="s">
        <v>615</v>
      </c>
      <c r="C55" s="3" t="s">
        <v>68</v>
      </c>
      <c r="D55" s="3" t="s">
        <v>108</v>
      </c>
      <c r="E55" s="3" t="s">
        <v>271</v>
      </c>
      <c r="F55" s="51">
        <v>11745</v>
      </c>
      <c r="G55" s="53">
        <v>0.09</v>
      </c>
      <c r="H55" s="52">
        <v>264.26249999999999</v>
      </c>
    </row>
    <row r="56" spans="1:8" ht="15.6" x14ac:dyDescent="0.3">
      <c r="A56" s="4">
        <v>37802</v>
      </c>
      <c r="B56" s="3" t="s">
        <v>615</v>
      </c>
      <c r="C56" s="3" t="s">
        <v>68</v>
      </c>
      <c r="D56" s="3" t="s">
        <v>70</v>
      </c>
      <c r="E56" s="3" t="s">
        <v>267</v>
      </c>
      <c r="F56" s="51">
        <v>68950</v>
      </c>
      <c r="G56" s="53">
        <v>8.5000000000000006E-2</v>
      </c>
      <c r="H56" s="52">
        <v>1465.1875</v>
      </c>
    </row>
    <row r="57" spans="1:8" ht="15.6" x14ac:dyDescent="0.3">
      <c r="A57" s="4">
        <v>37802</v>
      </c>
      <c r="B57" s="3" t="s">
        <v>615</v>
      </c>
      <c r="C57" s="3" t="s">
        <v>68</v>
      </c>
      <c r="D57" s="3" t="s">
        <v>75</v>
      </c>
      <c r="E57" s="3" t="s">
        <v>268</v>
      </c>
      <c r="F57" s="51">
        <v>6055</v>
      </c>
      <c r="G57" s="53">
        <v>0.08</v>
      </c>
      <c r="H57" s="52">
        <v>121.10000000000001</v>
      </c>
    </row>
    <row r="58" spans="1:8" ht="15.6" x14ac:dyDescent="0.3">
      <c r="A58" s="4">
        <v>37802</v>
      </c>
      <c r="B58" s="3" t="s">
        <v>615</v>
      </c>
      <c r="C58" s="3" t="s">
        <v>35</v>
      </c>
      <c r="D58" s="3" t="s">
        <v>39</v>
      </c>
      <c r="E58" s="3" t="s">
        <v>250</v>
      </c>
      <c r="F58" s="51">
        <v>25120</v>
      </c>
      <c r="G58" s="53">
        <v>0.105</v>
      </c>
      <c r="H58" s="52">
        <v>659.4</v>
      </c>
    </row>
    <row r="59" spans="1:8" ht="15.6" x14ac:dyDescent="0.3">
      <c r="A59" s="4">
        <v>37802</v>
      </c>
      <c r="B59" s="3" t="s">
        <v>615</v>
      </c>
      <c r="C59" s="3" t="s">
        <v>35</v>
      </c>
      <c r="D59" s="3" t="s">
        <v>40</v>
      </c>
      <c r="E59" s="3" t="s">
        <v>251</v>
      </c>
      <c r="F59" s="51">
        <v>19750</v>
      </c>
      <c r="G59" s="53">
        <v>0.09</v>
      </c>
      <c r="H59" s="52">
        <v>444.375</v>
      </c>
    </row>
    <row r="60" spans="1:8" ht="15.6" x14ac:dyDescent="0.3">
      <c r="A60" s="4">
        <v>37802</v>
      </c>
      <c r="B60" s="3" t="s">
        <v>615</v>
      </c>
      <c r="C60" s="3" t="s">
        <v>35</v>
      </c>
      <c r="D60" s="3" t="s">
        <v>37</v>
      </c>
      <c r="E60" s="3" t="s">
        <v>248</v>
      </c>
      <c r="F60" s="51">
        <v>13140</v>
      </c>
      <c r="G60" s="53">
        <v>9.5000000000000001E-2</v>
      </c>
      <c r="H60" s="52">
        <v>312.07499999999999</v>
      </c>
    </row>
    <row r="61" spans="1:8" ht="15.6" x14ac:dyDescent="0.3">
      <c r="A61" s="4">
        <v>37802</v>
      </c>
      <c r="B61" s="3" t="s">
        <v>615</v>
      </c>
      <c r="C61" s="3" t="s">
        <v>35</v>
      </c>
      <c r="D61" s="3" t="s">
        <v>38</v>
      </c>
      <c r="E61" s="3" t="s">
        <v>249</v>
      </c>
      <c r="F61" s="51">
        <v>19040</v>
      </c>
      <c r="G61" s="53">
        <v>8.5000000000000006E-2</v>
      </c>
      <c r="H61" s="52">
        <v>404.6</v>
      </c>
    </row>
    <row r="62" spans="1:8" ht="15.6" x14ac:dyDescent="0.3">
      <c r="A62" s="4">
        <v>37802</v>
      </c>
      <c r="B62" s="3" t="s">
        <v>615</v>
      </c>
      <c r="C62" s="3" t="s">
        <v>35</v>
      </c>
      <c r="D62" s="3" t="s">
        <v>36</v>
      </c>
      <c r="E62" s="3" t="s">
        <v>247</v>
      </c>
      <c r="F62" s="51">
        <v>12510</v>
      </c>
      <c r="G62" s="53">
        <v>0.08</v>
      </c>
      <c r="H62" s="52">
        <v>250.20000000000002</v>
      </c>
    </row>
    <row r="63" spans="1:8" ht="15.6" x14ac:dyDescent="0.3">
      <c r="A63" s="4">
        <v>37802</v>
      </c>
      <c r="B63" s="3" t="s">
        <v>615</v>
      </c>
      <c r="C63" s="3" t="s">
        <v>61</v>
      </c>
      <c r="D63" s="3" t="s">
        <v>62</v>
      </c>
      <c r="E63" s="3" t="s">
        <v>261</v>
      </c>
      <c r="F63" s="51">
        <v>19425</v>
      </c>
      <c r="G63" s="53">
        <v>7.0000000000000007E-2</v>
      </c>
      <c r="H63" s="52">
        <v>339.93750000000006</v>
      </c>
    </row>
    <row r="64" spans="1:8" ht="15.6" x14ac:dyDescent="0.3">
      <c r="A64" s="4">
        <v>37802</v>
      </c>
      <c r="B64" s="3" t="s">
        <v>615</v>
      </c>
      <c r="C64" s="3" t="s">
        <v>61</v>
      </c>
      <c r="D64" s="3" t="s">
        <v>66</v>
      </c>
      <c r="E64" s="3" t="s">
        <v>265</v>
      </c>
      <c r="F64" s="51">
        <v>20160</v>
      </c>
      <c r="G64" s="53">
        <v>7.4999999999999997E-2</v>
      </c>
      <c r="H64" s="52">
        <v>378</v>
      </c>
    </row>
    <row r="65" spans="1:16" ht="15.6" x14ac:dyDescent="0.3">
      <c r="A65" s="4">
        <v>37802</v>
      </c>
      <c r="B65" s="3" t="s">
        <v>615</v>
      </c>
      <c r="C65" s="3" t="s">
        <v>61</v>
      </c>
      <c r="D65" s="3" t="s">
        <v>65</v>
      </c>
      <c r="E65" s="3" t="s">
        <v>264</v>
      </c>
      <c r="F65" s="51">
        <v>12810</v>
      </c>
      <c r="G65" s="53">
        <v>7.4999999999999997E-2</v>
      </c>
      <c r="H65" s="52">
        <v>240.1875</v>
      </c>
    </row>
    <row r="66" spans="1:16" ht="15.6" x14ac:dyDescent="0.3">
      <c r="A66" s="4">
        <v>37802</v>
      </c>
      <c r="B66" s="3" t="s">
        <v>615</v>
      </c>
      <c r="C66" s="3" t="s">
        <v>61</v>
      </c>
      <c r="D66" s="3" t="s">
        <v>64</v>
      </c>
      <c r="E66" s="3" t="s">
        <v>263</v>
      </c>
      <c r="F66" s="51">
        <v>9275</v>
      </c>
      <c r="G66" s="53">
        <v>0.08</v>
      </c>
      <c r="H66" s="52">
        <v>185.5</v>
      </c>
      <c r="J66" s="46" t="s">
        <v>371</v>
      </c>
      <c r="K66" s="47" t="s">
        <v>8</v>
      </c>
      <c r="L66" s="47" t="s">
        <v>9</v>
      </c>
      <c r="M66" s="47" t="s">
        <v>240</v>
      </c>
      <c r="N66" s="47" t="s">
        <v>11</v>
      </c>
      <c r="O66" s="47" t="s">
        <v>397</v>
      </c>
      <c r="P66" s="48" t="s">
        <v>372</v>
      </c>
    </row>
    <row r="67" spans="1:16" ht="15.6" x14ac:dyDescent="0.3">
      <c r="A67" s="4">
        <v>37802</v>
      </c>
      <c r="B67" s="3" t="s">
        <v>615</v>
      </c>
      <c r="C67" s="3" t="s">
        <v>61</v>
      </c>
      <c r="D67" s="3" t="s">
        <v>63</v>
      </c>
      <c r="E67" s="3" t="s">
        <v>262</v>
      </c>
      <c r="F67" s="51">
        <v>13160</v>
      </c>
      <c r="G67" s="53">
        <v>0.08</v>
      </c>
      <c r="H67" s="52">
        <v>263.2</v>
      </c>
      <c r="J67" t="e" cm="1">
        <f t="array" ref="J67">_xlfn.XLOOKUP("Gheemore",Marketing_Table[Product_Code],Marketing_Table[])</f>
        <v>#N/A</v>
      </c>
      <c r="O67" s="40"/>
      <c r="P67" s="49"/>
    </row>
    <row r="68" spans="1:16" ht="15.6" x14ac:dyDescent="0.3">
      <c r="A68" s="4">
        <v>37894</v>
      </c>
      <c r="B68" s="3" t="s">
        <v>616</v>
      </c>
      <c r="C68" s="3" t="s">
        <v>32</v>
      </c>
      <c r="D68" s="3" t="s">
        <v>34</v>
      </c>
      <c r="E68" s="3" t="s">
        <v>246</v>
      </c>
      <c r="F68" s="51">
        <v>269760</v>
      </c>
      <c r="G68" s="53">
        <v>0.115</v>
      </c>
      <c r="H68" s="52">
        <v>7755.6</v>
      </c>
      <c r="J68" t="e" cm="1" vm="2">
        <f t="array" ref="J68">INDEX(_xlfn._xlws.FILTER(Marketing_Table[#All],Marketing_Table[[#All],[Product_Code]]="Gheemore"),2)</f>
        <v>#VALUE!</v>
      </c>
      <c r="O68" s="40"/>
    </row>
    <row r="69" spans="1:16" ht="15.6" x14ac:dyDescent="0.3">
      <c r="A69" s="4">
        <v>37894</v>
      </c>
      <c r="B69" s="3" t="s">
        <v>616</v>
      </c>
      <c r="C69" s="3" t="s">
        <v>32</v>
      </c>
      <c r="D69" s="3" t="s">
        <v>44</v>
      </c>
      <c r="E69" s="3" t="s">
        <v>252</v>
      </c>
      <c r="F69" s="51">
        <v>115720</v>
      </c>
      <c r="G69" s="53">
        <v>0.105</v>
      </c>
      <c r="H69" s="52">
        <v>3037.65</v>
      </c>
      <c r="J69" t="e" cm="1" vm="2">
        <f t="array" ref="J69">INDEX(_xlfn._xlws.FILTER(Marketing_Table[#All],Marketing_Table[[#All],[Product_Code]]="Gheemore"),3)</f>
        <v>#VALUE!</v>
      </c>
      <c r="O69" s="40"/>
    </row>
    <row r="70" spans="1:16" ht="15.6" x14ac:dyDescent="0.3">
      <c r="A70" s="4">
        <v>37894</v>
      </c>
      <c r="B70" s="3" t="s">
        <v>616</v>
      </c>
      <c r="C70" s="3" t="s">
        <v>32</v>
      </c>
      <c r="D70" s="3" t="s">
        <v>33</v>
      </c>
      <c r="E70" s="3" t="s">
        <v>245</v>
      </c>
      <c r="F70" s="51">
        <v>244035</v>
      </c>
      <c r="G70" s="53">
        <v>0.11</v>
      </c>
      <c r="H70" s="52">
        <v>6710.9624999999996</v>
      </c>
    </row>
    <row r="71" spans="1:16" ht="15.6" x14ac:dyDescent="0.3">
      <c r="A71" s="4">
        <v>37894</v>
      </c>
      <c r="B71" s="3" t="s">
        <v>616</v>
      </c>
      <c r="C71" s="3" t="s">
        <v>32</v>
      </c>
      <c r="D71" s="3" t="s">
        <v>45</v>
      </c>
      <c r="E71" s="3" t="s">
        <v>253</v>
      </c>
      <c r="F71" s="51">
        <v>50715</v>
      </c>
      <c r="G71" s="53">
        <v>0.09</v>
      </c>
      <c r="H71" s="52">
        <v>1141.0874999999999</v>
      </c>
    </row>
    <row r="72" spans="1:16" ht="15.6" x14ac:dyDescent="0.3">
      <c r="A72" s="4">
        <v>37894</v>
      </c>
      <c r="B72" s="3" t="s">
        <v>616</v>
      </c>
      <c r="C72" s="3" t="s">
        <v>32</v>
      </c>
      <c r="D72" s="3" t="s">
        <v>46</v>
      </c>
      <c r="E72" s="3" t="s">
        <v>254</v>
      </c>
      <c r="F72" s="51">
        <v>231570</v>
      </c>
      <c r="G72" s="53">
        <v>0.1</v>
      </c>
      <c r="H72" s="52">
        <v>5789.25</v>
      </c>
    </row>
    <row r="73" spans="1:16" ht="15.6" x14ac:dyDescent="0.3">
      <c r="A73" s="4">
        <v>37894</v>
      </c>
      <c r="B73" s="3" t="s">
        <v>616</v>
      </c>
      <c r="C73" s="3" t="s">
        <v>17</v>
      </c>
      <c r="D73" s="3" t="s">
        <v>20</v>
      </c>
      <c r="E73" s="3" t="s">
        <v>242</v>
      </c>
      <c r="F73" s="51">
        <v>184512</v>
      </c>
      <c r="G73" s="53">
        <v>6.5000000000000002E-2</v>
      </c>
      <c r="H73" s="52">
        <v>2998.32</v>
      </c>
    </row>
    <row r="74" spans="1:16" ht="15.6" x14ac:dyDescent="0.3">
      <c r="A74" s="4">
        <v>37894</v>
      </c>
      <c r="B74" s="3" t="s">
        <v>616</v>
      </c>
      <c r="C74" s="3" t="s">
        <v>17</v>
      </c>
      <c r="D74" s="3" t="s">
        <v>18</v>
      </c>
      <c r="E74" s="3" t="s">
        <v>241</v>
      </c>
      <c r="F74" s="51">
        <v>20910</v>
      </c>
      <c r="G74" s="53">
        <v>7.4999999999999997E-2</v>
      </c>
      <c r="H74" s="52">
        <v>392.0625</v>
      </c>
    </row>
    <row r="75" spans="1:16" ht="15.6" x14ac:dyDescent="0.3">
      <c r="A75" s="4">
        <v>37894</v>
      </c>
      <c r="B75" s="3" t="s">
        <v>616</v>
      </c>
      <c r="C75" s="3" t="s">
        <v>17</v>
      </c>
      <c r="D75" s="3" t="s">
        <v>82</v>
      </c>
      <c r="E75" s="3" t="s">
        <v>270</v>
      </c>
      <c r="F75" s="51">
        <v>60375</v>
      </c>
      <c r="G75" s="53">
        <v>0.06</v>
      </c>
      <c r="H75" s="52">
        <v>905.625</v>
      </c>
    </row>
    <row r="76" spans="1:16" ht="15.6" x14ac:dyDescent="0.3">
      <c r="A76" s="4">
        <v>37894</v>
      </c>
      <c r="B76" s="3" t="s">
        <v>616</v>
      </c>
      <c r="C76" s="3" t="s">
        <v>17</v>
      </c>
      <c r="D76" s="3" t="s">
        <v>26</v>
      </c>
      <c r="E76" s="3" t="s">
        <v>244</v>
      </c>
      <c r="F76" s="51">
        <v>69780</v>
      </c>
      <c r="G76" s="53">
        <v>5.5E-2</v>
      </c>
      <c r="H76" s="52">
        <v>959.47500000000002</v>
      </c>
    </row>
    <row r="77" spans="1:16" ht="15.6" x14ac:dyDescent="0.3">
      <c r="A77" s="4">
        <v>37894</v>
      </c>
      <c r="B77" s="3" t="s">
        <v>616</v>
      </c>
      <c r="C77" s="3" t="s">
        <v>17</v>
      </c>
      <c r="D77" s="3" t="s">
        <v>52</v>
      </c>
      <c r="E77" s="3" t="s">
        <v>256</v>
      </c>
      <c r="F77" s="51">
        <v>13275</v>
      </c>
      <c r="G77" s="53">
        <v>7.0000000000000007E-2</v>
      </c>
      <c r="H77" s="52">
        <v>232.31250000000003</v>
      </c>
    </row>
    <row r="78" spans="1:16" ht="15.6" x14ac:dyDescent="0.3">
      <c r="A78" s="4">
        <v>37894</v>
      </c>
      <c r="B78" s="3" t="s">
        <v>616</v>
      </c>
      <c r="C78" s="3" t="s">
        <v>17</v>
      </c>
      <c r="D78" s="3" t="s">
        <v>21</v>
      </c>
      <c r="E78" s="3" t="s">
        <v>243</v>
      </c>
      <c r="F78" s="51">
        <v>61600</v>
      </c>
      <c r="G78" s="53">
        <v>4.4999999999999998E-2</v>
      </c>
      <c r="H78" s="52">
        <v>693</v>
      </c>
    </row>
    <row r="79" spans="1:16" ht="15.6" x14ac:dyDescent="0.3">
      <c r="A79" s="4">
        <v>37894</v>
      </c>
      <c r="B79" s="3" t="s">
        <v>616</v>
      </c>
      <c r="C79" s="3" t="s">
        <v>47</v>
      </c>
      <c r="D79" s="3" t="s">
        <v>48</v>
      </c>
      <c r="E79" s="3" t="s">
        <v>255</v>
      </c>
      <c r="F79" s="51">
        <v>32130</v>
      </c>
      <c r="G79" s="53">
        <v>5.5E-2</v>
      </c>
      <c r="H79" s="52">
        <v>441.78750000000002</v>
      </c>
    </row>
    <row r="80" spans="1:16" ht="15.6" x14ac:dyDescent="0.3">
      <c r="A80" s="4">
        <v>37894</v>
      </c>
      <c r="B80" s="3" t="s">
        <v>616</v>
      </c>
      <c r="C80" s="3" t="s">
        <v>47</v>
      </c>
      <c r="D80" s="3" t="s">
        <v>119</v>
      </c>
      <c r="E80" s="3" t="s">
        <v>272</v>
      </c>
      <c r="F80" s="51">
        <v>12120</v>
      </c>
      <c r="G80" s="53">
        <v>0.05</v>
      </c>
      <c r="H80" s="52">
        <v>151.5</v>
      </c>
    </row>
    <row r="81" spans="1:8" ht="15.6" x14ac:dyDescent="0.3">
      <c r="A81" s="4">
        <v>37894</v>
      </c>
      <c r="B81" s="3" t="s">
        <v>616</v>
      </c>
      <c r="C81" s="3" t="s">
        <v>47</v>
      </c>
      <c r="D81" s="3" t="s">
        <v>53</v>
      </c>
      <c r="E81" s="3" t="s">
        <v>257</v>
      </c>
      <c r="F81" s="51">
        <v>30510</v>
      </c>
      <c r="G81" s="53">
        <v>0.06</v>
      </c>
      <c r="H81" s="52">
        <v>457.65</v>
      </c>
    </row>
    <row r="82" spans="1:8" ht="15.6" x14ac:dyDescent="0.3">
      <c r="A82" s="4">
        <v>37894</v>
      </c>
      <c r="B82" s="3" t="s">
        <v>616</v>
      </c>
      <c r="C82" s="3" t="s">
        <v>54</v>
      </c>
      <c r="D82" s="3" t="s">
        <v>57</v>
      </c>
      <c r="E82" s="3" t="s">
        <v>260</v>
      </c>
      <c r="F82" s="51">
        <v>192280</v>
      </c>
      <c r="G82" s="53">
        <v>0.09</v>
      </c>
      <c r="H82" s="52">
        <v>4326.3</v>
      </c>
    </row>
    <row r="83" spans="1:8" ht="15.6" x14ac:dyDescent="0.3">
      <c r="A83" s="4">
        <v>37894</v>
      </c>
      <c r="B83" s="3" t="s">
        <v>616</v>
      </c>
      <c r="C83" s="3" t="s">
        <v>54</v>
      </c>
      <c r="D83" s="3" t="s">
        <v>56</v>
      </c>
      <c r="E83" s="3" t="s">
        <v>259</v>
      </c>
      <c r="F83" s="51">
        <v>215500</v>
      </c>
      <c r="G83" s="53">
        <v>0.09</v>
      </c>
      <c r="H83" s="52">
        <v>4848.75</v>
      </c>
    </row>
    <row r="84" spans="1:8" ht="15.6" x14ac:dyDescent="0.3">
      <c r="A84" s="4">
        <v>37894</v>
      </c>
      <c r="B84" s="3" t="s">
        <v>616</v>
      </c>
      <c r="C84" s="3" t="s">
        <v>54</v>
      </c>
      <c r="D84" s="3" t="s">
        <v>55</v>
      </c>
      <c r="E84" s="3" t="s">
        <v>258</v>
      </c>
      <c r="F84" s="51">
        <v>131400</v>
      </c>
      <c r="G84" s="53">
        <v>8.5000000000000006E-2</v>
      </c>
      <c r="H84" s="52">
        <v>2792.25</v>
      </c>
    </row>
    <row r="85" spans="1:8" ht="15.6" x14ac:dyDescent="0.3">
      <c r="A85" s="4">
        <v>37894</v>
      </c>
      <c r="B85" s="3" t="s">
        <v>616</v>
      </c>
      <c r="C85" s="3" t="s">
        <v>54</v>
      </c>
      <c r="D85" s="3" t="s">
        <v>166</v>
      </c>
      <c r="E85" s="3" t="s">
        <v>273</v>
      </c>
      <c r="F85" s="51">
        <v>14560</v>
      </c>
      <c r="G85" s="53">
        <v>0.08</v>
      </c>
      <c r="H85" s="52">
        <v>291.2</v>
      </c>
    </row>
    <row r="86" spans="1:8" ht="15.6" x14ac:dyDescent="0.3">
      <c r="A86" s="4">
        <v>37894</v>
      </c>
      <c r="B86" s="3" t="s">
        <v>616</v>
      </c>
      <c r="C86" s="3" t="s">
        <v>68</v>
      </c>
      <c r="D86" s="3" t="s">
        <v>69</v>
      </c>
      <c r="E86" s="3" t="s">
        <v>266</v>
      </c>
      <c r="F86" s="51">
        <v>33925</v>
      </c>
      <c r="G86" s="53">
        <v>0.1</v>
      </c>
      <c r="H86" s="52">
        <v>848.125</v>
      </c>
    </row>
    <row r="87" spans="1:8" ht="15.6" x14ac:dyDescent="0.3">
      <c r="A87" s="4">
        <v>37894</v>
      </c>
      <c r="B87" s="3" t="s">
        <v>616</v>
      </c>
      <c r="C87" s="3" t="s">
        <v>68</v>
      </c>
      <c r="D87" s="3" t="s">
        <v>76</v>
      </c>
      <c r="E87" s="3" t="s">
        <v>269</v>
      </c>
      <c r="F87" s="51">
        <v>17070</v>
      </c>
      <c r="G87" s="53">
        <v>9.5000000000000001E-2</v>
      </c>
      <c r="H87" s="52">
        <v>405.41250000000002</v>
      </c>
    </row>
    <row r="88" spans="1:8" ht="15.6" x14ac:dyDescent="0.3">
      <c r="A88" s="4">
        <v>37894</v>
      </c>
      <c r="B88" s="3" t="s">
        <v>616</v>
      </c>
      <c r="C88" s="3" t="s">
        <v>68</v>
      </c>
      <c r="D88" s="3" t="s">
        <v>108</v>
      </c>
      <c r="E88" s="3" t="s">
        <v>271</v>
      </c>
      <c r="F88" s="51">
        <v>11745</v>
      </c>
      <c r="G88" s="53">
        <v>0.09</v>
      </c>
      <c r="H88" s="52">
        <v>264.26249999999999</v>
      </c>
    </row>
    <row r="89" spans="1:8" ht="15.6" x14ac:dyDescent="0.3">
      <c r="A89" s="4">
        <v>37894</v>
      </c>
      <c r="B89" s="3" t="s">
        <v>616</v>
      </c>
      <c r="C89" s="3" t="s">
        <v>68</v>
      </c>
      <c r="D89" s="3" t="s">
        <v>70</v>
      </c>
      <c r="E89" s="3" t="s">
        <v>267</v>
      </c>
      <c r="F89" s="51">
        <v>68950</v>
      </c>
      <c r="G89" s="53">
        <v>8.5000000000000006E-2</v>
      </c>
      <c r="H89" s="52">
        <v>1465.1875</v>
      </c>
    </row>
    <row r="90" spans="1:8" ht="15.6" x14ac:dyDescent="0.3">
      <c r="A90" s="4">
        <v>37894</v>
      </c>
      <c r="B90" s="3" t="s">
        <v>616</v>
      </c>
      <c r="C90" s="3" t="s">
        <v>68</v>
      </c>
      <c r="D90" s="3" t="s">
        <v>75</v>
      </c>
      <c r="E90" s="3" t="s">
        <v>268</v>
      </c>
      <c r="F90" s="51">
        <v>6055</v>
      </c>
      <c r="G90" s="53">
        <v>0.08</v>
      </c>
      <c r="H90" s="52">
        <v>121.10000000000001</v>
      </c>
    </row>
    <row r="91" spans="1:8" ht="15.6" x14ac:dyDescent="0.3">
      <c r="A91" s="4">
        <v>37894</v>
      </c>
      <c r="B91" s="3" t="s">
        <v>616</v>
      </c>
      <c r="C91" s="3" t="s">
        <v>35</v>
      </c>
      <c r="D91" s="3" t="s">
        <v>39</v>
      </c>
      <c r="E91" s="3" t="s">
        <v>250</v>
      </c>
      <c r="F91" s="51">
        <v>25120</v>
      </c>
      <c r="G91" s="53">
        <v>0.105</v>
      </c>
      <c r="H91" s="52">
        <v>659.4</v>
      </c>
    </row>
    <row r="92" spans="1:8" ht="15.6" x14ac:dyDescent="0.3">
      <c r="A92" s="4">
        <v>37894</v>
      </c>
      <c r="B92" s="3" t="s">
        <v>616</v>
      </c>
      <c r="C92" s="3" t="s">
        <v>35</v>
      </c>
      <c r="D92" s="3" t="s">
        <v>40</v>
      </c>
      <c r="E92" s="3" t="s">
        <v>251</v>
      </c>
      <c r="F92" s="51">
        <v>19750</v>
      </c>
      <c r="G92" s="53">
        <v>0.09</v>
      </c>
      <c r="H92" s="52">
        <v>444.375</v>
      </c>
    </row>
    <row r="93" spans="1:8" ht="15.6" x14ac:dyDescent="0.3">
      <c r="A93" s="4">
        <v>37894</v>
      </c>
      <c r="B93" s="3" t="s">
        <v>616</v>
      </c>
      <c r="C93" s="3" t="s">
        <v>35</v>
      </c>
      <c r="D93" s="3" t="s">
        <v>37</v>
      </c>
      <c r="E93" s="3" t="s">
        <v>248</v>
      </c>
      <c r="F93" s="51">
        <v>13140</v>
      </c>
      <c r="G93" s="53">
        <v>9.5000000000000001E-2</v>
      </c>
      <c r="H93" s="52">
        <v>312.07499999999999</v>
      </c>
    </row>
    <row r="94" spans="1:8" ht="15.6" x14ac:dyDescent="0.3">
      <c r="A94" s="4">
        <v>37894</v>
      </c>
      <c r="B94" s="3" t="s">
        <v>616</v>
      </c>
      <c r="C94" s="3" t="s">
        <v>35</v>
      </c>
      <c r="D94" s="3" t="s">
        <v>38</v>
      </c>
      <c r="E94" s="3" t="s">
        <v>249</v>
      </c>
      <c r="F94" s="51">
        <v>19040</v>
      </c>
      <c r="G94" s="53">
        <v>8.5000000000000006E-2</v>
      </c>
      <c r="H94" s="52">
        <v>404.6</v>
      </c>
    </row>
    <row r="95" spans="1:8" ht="15.6" x14ac:dyDescent="0.3">
      <c r="A95" s="4">
        <v>37894</v>
      </c>
      <c r="B95" s="3" t="s">
        <v>616</v>
      </c>
      <c r="C95" s="3" t="s">
        <v>35</v>
      </c>
      <c r="D95" s="3" t="s">
        <v>36</v>
      </c>
      <c r="E95" s="3" t="s">
        <v>247</v>
      </c>
      <c r="F95" s="51">
        <v>12510</v>
      </c>
      <c r="G95" s="53">
        <v>0.08</v>
      </c>
      <c r="H95" s="52">
        <v>250.20000000000002</v>
      </c>
    </row>
    <row r="96" spans="1:8" ht="15.6" x14ac:dyDescent="0.3">
      <c r="A96" s="4">
        <v>37894</v>
      </c>
      <c r="B96" s="3" t="s">
        <v>616</v>
      </c>
      <c r="C96" s="3" t="s">
        <v>61</v>
      </c>
      <c r="D96" s="3" t="s">
        <v>62</v>
      </c>
      <c r="E96" s="3" t="s">
        <v>261</v>
      </c>
      <c r="F96" s="51">
        <v>19425</v>
      </c>
      <c r="G96" s="53">
        <v>7.0000000000000007E-2</v>
      </c>
      <c r="H96" s="52">
        <v>339.93750000000006</v>
      </c>
    </row>
    <row r="97" spans="1:8" ht="15.6" x14ac:dyDescent="0.3">
      <c r="A97" s="4">
        <v>37894</v>
      </c>
      <c r="B97" s="3" t="s">
        <v>616</v>
      </c>
      <c r="C97" s="3" t="s">
        <v>61</v>
      </c>
      <c r="D97" s="3" t="s">
        <v>66</v>
      </c>
      <c r="E97" s="3" t="s">
        <v>265</v>
      </c>
      <c r="F97" s="51">
        <v>20160</v>
      </c>
      <c r="G97" s="53">
        <v>7.4999999999999997E-2</v>
      </c>
      <c r="H97" s="52">
        <v>378</v>
      </c>
    </row>
    <row r="98" spans="1:8" ht="15.6" x14ac:dyDescent="0.3">
      <c r="A98" s="4">
        <v>37894</v>
      </c>
      <c r="B98" s="3" t="s">
        <v>616</v>
      </c>
      <c r="C98" s="3" t="s">
        <v>61</v>
      </c>
      <c r="D98" s="3" t="s">
        <v>65</v>
      </c>
      <c r="E98" s="3" t="s">
        <v>264</v>
      </c>
      <c r="F98" s="51">
        <v>12810</v>
      </c>
      <c r="G98" s="53">
        <v>7.4999999999999997E-2</v>
      </c>
      <c r="H98" s="52">
        <v>240.1875</v>
      </c>
    </row>
    <row r="99" spans="1:8" ht="15.6" x14ac:dyDescent="0.3">
      <c r="A99" s="4">
        <v>37894</v>
      </c>
      <c r="B99" s="3" t="s">
        <v>616</v>
      </c>
      <c r="C99" s="3" t="s">
        <v>61</v>
      </c>
      <c r="D99" s="3" t="s">
        <v>64</v>
      </c>
      <c r="E99" s="3" t="s">
        <v>263</v>
      </c>
      <c r="F99" s="51">
        <v>9275</v>
      </c>
      <c r="G99" s="53">
        <v>0.08</v>
      </c>
      <c r="H99" s="52">
        <v>185.5</v>
      </c>
    </row>
    <row r="100" spans="1:8" ht="15.6" x14ac:dyDescent="0.3">
      <c r="A100" s="4">
        <v>37894</v>
      </c>
      <c r="B100" s="3" t="s">
        <v>616</v>
      </c>
      <c r="C100" s="3" t="s">
        <v>61</v>
      </c>
      <c r="D100" s="3" t="s">
        <v>63</v>
      </c>
      <c r="E100" s="3" t="s">
        <v>262</v>
      </c>
      <c r="F100" s="51">
        <v>13160</v>
      </c>
      <c r="G100" s="53">
        <v>0.08</v>
      </c>
      <c r="H100" s="52">
        <v>263.2</v>
      </c>
    </row>
    <row r="101" spans="1:8" ht="15.6" x14ac:dyDescent="0.3">
      <c r="A101" s="4">
        <v>37986</v>
      </c>
      <c r="B101" s="3" t="s">
        <v>617</v>
      </c>
      <c r="C101" s="3" t="s">
        <v>32</v>
      </c>
      <c r="D101" s="3" t="s">
        <v>34</v>
      </c>
      <c r="E101" s="3" t="s">
        <v>246</v>
      </c>
      <c r="F101" s="51">
        <v>269760</v>
      </c>
      <c r="G101" s="53">
        <v>0.115</v>
      </c>
      <c r="H101" s="52">
        <v>7755.6</v>
      </c>
    </row>
    <row r="102" spans="1:8" ht="15.6" x14ac:dyDescent="0.3">
      <c r="A102" s="4">
        <v>37986</v>
      </c>
      <c r="B102" s="3" t="s">
        <v>617</v>
      </c>
      <c r="C102" s="3" t="s">
        <v>32</v>
      </c>
      <c r="D102" s="3" t="s">
        <v>44</v>
      </c>
      <c r="E102" s="3" t="s">
        <v>252</v>
      </c>
      <c r="F102" s="51">
        <v>115720</v>
      </c>
      <c r="G102" s="53">
        <v>0.105</v>
      </c>
      <c r="H102" s="52">
        <v>3037.65</v>
      </c>
    </row>
    <row r="103" spans="1:8" ht="15.6" x14ac:dyDescent="0.3">
      <c r="A103" s="4">
        <v>37986</v>
      </c>
      <c r="B103" s="3" t="s">
        <v>617</v>
      </c>
      <c r="C103" s="3" t="s">
        <v>32</v>
      </c>
      <c r="D103" s="3" t="s">
        <v>33</v>
      </c>
      <c r="E103" s="3" t="s">
        <v>245</v>
      </c>
      <c r="F103" s="51">
        <v>244035</v>
      </c>
      <c r="G103" s="53">
        <v>0.11</v>
      </c>
      <c r="H103" s="52">
        <v>6710.9624999999996</v>
      </c>
    </row>
    <row r="104" spans="1:8" ht="15.6" x14ac:dyDescent="0.3">
      <c r="A104" s="4">
        <v>37986</v>
      </c>
      <c r="B104" s="3" t="s">
        <v>617</v>
      </c>
      <c r="C104" s="3" t="s">
        <v>32</v>
      </c>
      <c r="D104" s="3" t="s">
        <v>45</v>
      </c>
      <c r="E104" s="3" t="s">
        <v>253</v>
      </c>
      <c r="F104" s="51">
        <v>50715</v>
      </c>
      <c r="G104" s="53">
        <v>0.09</v>
      </c>
      <c r="H104" s="52">
        <v>1141.0874999999999</v>
      </c>
    </row>
    <row r="105" spans="1:8" ht="15.6" x14ac:dyDescent="0.3">
      <c r="A105" s="4">
        <v>37986</v>
      </c>
      <c r="B105" s="3" t="s">
        <v>617</v>
      </c>
      <c r="C105" s="3" t="s">
        <v>32</v>
      </c>
      <c r="D105" s="3" t="s">
        <v>46</v>
      </c>
      <c r="E105" s="3" t="s">
        <v>254</v>
      </c>
      <c r="F105" s="51">
        <v>231570</v>
      </c>
      <c r="G105" s="53">
        <v>0.1</v>
      </c>
      <c r="H105" s="52">
        <v>5789.25</v>
      </c>
    </row>
    <row r="106" spans="1:8" ht="15.6" x14ac:dyDescent="0.3">
      <c r="A106" s="4">
        <v>37986</v>
      </c>
      <c r="B106" s="3" t="s">
        <v>617</v>
      </c>
      <c r="C106" s="3" t="s">
        <v>17</v>
      </c>
      <c r="D106" s="3" t="s">
        <v>20</v>
      </c>
      <c r="E106" s="3" t="s">
        <v>242</v>
      </c>
      <c r="F106" s="51">
        <v>184512</v>
      </c>
      <c r="G106" s="53">
        <v>6.5000000000000002E-2</v>
      </c>
      <c r="H106" s="52">
        <v>2998.32</v>
      </c>
    </row>
    <row r="107" spans="1:8" ht="15.6" x14ac:dyDescent="0.3">
      <c r="A107" s="4">
        <v>37986</v>
      </c>
      <c r="B107" s="3" t="s">
        <v>617</v>
      </c>
      <c r="C107" s="3" t="s">
        <v>17</v>
      </c>
      <c r="D107" s="3" t="s">
        <v>18</v>
      </c>
      <c r="E107" s="3" t="s">
        <v>241</v>
      </c>
      <c r="F107" s="51">
        <v>20910</v>
      </c>
      <c r="G107" s="53">
        <v>7.4999999999999997E-2</v>
      </c>
      <c r="H107" s="52">
        <v>392.0625</v>
      </c>
    </row>
    <row r="108" spans="1:8" ht="15.6" x14ac:dyDescent="0.3">
      <c r="A108" s="4">
        <v>37986</v>
      </c>
      <c r="B108" s="3" t="s">
        <v>617</v>
      </c>
      <c r="C108" s="3" t="s">
        <v>17</v>
      </c>
      <c r="D108" s="3" t="s">
        <v>82</v>
      </c>
      <c r="E108" s="3" t="s">
        <v>270</v>
      </c>
      <c r="F108" s="51">
        <v>60375</v>
      </c>
      <c r="G108" s="53">
        <v>0.06</v>
      </c>
      <c r="H108" s="52">
        <v>905.625</v>
      </c>
    </row>
    <row r="109" spans="1:8" ht="15.6" x14ac:dyDescent="0.3">
      <c r="A109" s="4">
        <v>37986</v>
      </c>
      <c r="B109" s="3" t="s">
        <v>617</v>
      </c>
      <c r="C109" s="3" t="s">
        <v>17</v>
      </c>
      <c r="D109" s="3" t="s">
        <v>26</v>
      </c>
      <c r="E109" s="3" t="s">
        <v>244</v>
      </c>
      <c r="F109" s="51">
        <v>69780</v>
      </c>
      <c r="G109" s="53">
        <v>5.5E-2</v>
      </c>
      <c r="H109" s="52">
        <v>959.47500000000002</v>
      </c>
    </row>
    <row r="110" spans="1:8" ht="15.6" x14ac:dyDescent="0.3">
      <c r="A110" s="4">
        <v>37986</v>
      </c>
      <c r="B110" s="3" t="s">
        <v>617</v>
      </c>
      <c r="C110" s="3" t="s">
        <v>17</v>
      </c>
      <c r="D110" s="3" t="s">
        <v>52</v>
      </c>
      <c r="E110" s="3" t="s">
        <v>256</v>
      </c>
      <c r="F110" s="51">
        <v>13275</v>
      </c>
      <c r="G110" s="53">
        <v>7.0000000000000007E-2</v>
      </c>
      <c r="H110" s="52">
        <v>232.31250000000003</v>
      </c>
    </row>
    <row r="111" spans="1:8" ht="15.6" x14ac:dyDescent="0.3">
      <c r="A111" s="4">
        <v>37986</v>
      </c>
      <c r="B111" s="3" t="s">
        <v>617</v>
      </c>
      <c r="C111" s="3" t="s">
        <v>17</v>
      </c>
      <c r="D111" s="3" t="s">
        <v>21</v>
      </c>
      <c r="E111" s="3" t="s">
        <v>243</v>
      </c>
      <c r="F111" s="51">
        <v>61600</v>
      </c>
      <c r="G111" s="53">
        <v>4.4999999999999998E-2</v>
      </c>
      <c r="H111" s="52">
        <v>693</v>
      </c>
    </row>
    <row r="112" spans="1:8" ht="15.6" x14ac:dyDescent="0.3">
      <c r="A112" s="4">
        <v>37986</v>
      </c>
      <c r="B112" s="3" t="s">
        <v>617</v>
      </c>
      <c r="C112" s="3" t="s">
        <v>47</v>
      </c>
      <c r="D112" s="3" t="s">
        <v>48</v>
      </c>
      <c r="E112" s="3" t="s">
        <v>255</v>
      </c>
      <c r="F112" s="51">
        <v>32130</v>
      </c>
      <c r="G112" s="53">
        <v>5.5E-2</v>
      </c>
      <c r="H112" s="52">
        <v>441.78750000000002</v>
      </c>
    </row>
    <row r="113" spans="1:8" ht="15.6" x14ac:dyDescent="0.3">
      <c r="A113" s="4">
        <v>37986</v>
      </c>
      <c r="B113" s="3" t="s">
        <v>617</v>
      </c>
      <c r="C113" s="3" t="s">
        <v>47</v>
      </c>
      <c r="D113" s="3" t="s">
        <v>119</v>
      </c>
      <c r="E113" s="3" t="s">
        <v>272</v>
      </c>
      <c r="F113" s="51">
        <v>12120</v>
      </c>
      <c r="G113" s="53">
        <v>0.05</v>
      </c>
      <c r="H113" s="52">
        <v>151.5</v>
      </c>
    </row>
    <row r="114" spans="1:8" ht="15.6" x14ac:dyDescent="0.3">
      <c r="A114" s="4">
        <v>37986</v>
      </c>
      <c r="B114" s="3" t="s">
        <v>617</v>
      </c>
      <c r="C114" s="3" t="s">
        <v>47</v>
      </c>
      <c r="D114" s="3" t="s">
        <v>53</v>
      </c>
      <c r="E114" s="3" t="s">
        <v>257</v>
      </c>
      <c r="F114" s="51">
        <v>30510</v>
      </c>
      <c r="G114" s="53">
        <v>0.06</v>
      </c>
      <c r="H114" s="52">
        <v>457.65</v>
      </c>
    </row>
    <row r="115" spans="1:8" ht="15.6" x14ac:dyDescent="0.3">
      <c r="A115" s="4">
        <v>37986</v>
      </c>
      <c r="B115" s="3" t="s">
        <v>617</v>
      </c>
      <c r="C115" s="3" t="s">
        <v>54</v>
      </c>
      <c r="D115" s="3" t="s">
        <v>57</v>
      </c>
      <c r="E115" s="3" t="s">
        <v>260</v>
      </c>
      <c r="F115" s="51">
        <v>192280</v>
      </c>
      <c r="G115" s="53">
        <v>0.09</v>
      </c>
      <c r="H115" s="52">
        <v>4326.3</v>
      </c>
    </row>
    <row r="116" spans="1:8" ht="15.6" x14ac:dyDescent="0.3">
      <c r="A116" s="4">
        <v>37986</v>
      </c>
      <c r="B116" s="3" t="s">
        <v>617</v>
      </c>
      <c r="C116" s="3" t="s">
        <v>54</v>
      </c>
      <c r="D116" s="3" t="s">
        <v>56</v>
      </c>
      <c r="E116" s="3" t="s">
        <v>259</v>
      </c>
      <c r="F116" s="51">
        <v>215500</v>
      </c>
      <c r="G116" s="53">
        <v>0.09</v>
      </c>
      <c r="H116" s="52">
        <v>4848.75</v>
      </c>
    </row>
    <row r="117" spans="1:8" ht="15.6" x14ac:dyDescent="0.3">
      <c r="A117" s="4">
        <v>37986</v>
      </c>
      <c r="B117" s="3" t="s">
        <v>617</v>
      </c>
      <c r="C117" s="3" t="s">
        <v>54</v>
      </c>
      <c r="D117" s="3" t="s">
        <v>55</v>
      </c>
      <c r="E117" s="3" t="s">
        <v>258</v>
      </c>
      <c r="F117" s="51">
        <v>131400</v>
      </c>
      <c r="G117" s="53">
        <v>8.5000000000000006E-2</v>
      </c>
      <c r="H117" s="52">
        <v>2792.25</v>
      </c>
    </row>
    <row r="118" spans="1:8" ht="15.6" x14ac:dyDescent="0.3">
      <c r="A118" s="4">
        <v>37986</v>
      </c>
      <c r="B118" s="3" t="s">
        <v>617</v>
      </c>
      <c r="C118" s="3" t="s">
        <v>54</v>
      </c>
      <c r="D118" s="3" t="s">
        <v>166</v>
      </c>
      <c r="E118" s="3" t="s">
        <v>273</v>
      </c>
      <c r="F118" s="51">
        <v>14560</v>
      </c>
      <c r="G118" s="53">
        <v>0.08</v>
      </c>
      <c r="H118" s="52">
        <v>291.2</v>
      </c>
    </row>
    <row r="119" spans="1:8" ht="15.6" x14ac:dyDescent="0.3">
      <c r="A119" s="4">
        <v>37986</v>
      </c>
      <c r="B119" s="3" t="s">
        <v>617</v>
      </c>
      <c r="C119" s="3" t="s">
        <v>68</v>
      </c>
      <c r="D119" s="3" t="s">
        <v>69</v>
      </c>
      <c r="E119" s="3" t="s">
        <v>266</v>
      </c>
      <c r="F119" s="51">
        <v>33925</v>
      </c>
      <c r="G119" s="53">
        <v>0.1</v>
      </c>
      <c r="H119" s="52">
        <v>848.125</v>
      </c>
    </row>
    <row r="120" spans="1:8" ht="15.6" x14ac:dyDescent="0.3">
      <c r="A120" s="4">
        <v>37986</v>
      </c>
      <c r="B120" s="3" t="s">
        <v>617</v>
      </c>
      <c r="C120" s="3" t="s">
        <v>68</v>
      </c>
      <c r="D120" s="3" t="s">
        <v>76</v>
      </c>
      <c r="E120" s="3" t="s">
        <v>269</v>
      </c>
      <c r="F120" s="51">
        <v>17070</v>
      </c>
      <c r="G120" s="53">
        <v>9.5000000000000001E-2</v>
      </c>
      <c r="H120" s="52">
        <v>405.41250000000002</v>
      </c>
    </row>
    <row r="121" spans="1:8" ht="15.6" x14ac:dyDescent="0.3">
      <c r="A121" s="4">
        <v>37986</v>
      </c>
      <c r="B121" s="3" t="s">
        <v>617</v>
      </c>
      <c r="C121" s="3" t="s">
        <v>68</v>
      </c>
      <c r="D121" s="3" t="s">
        <v>108</v>
      </c>
      <c r="E121" s="3" t="s">
        <v>271</v>
      </c>
      <c r="F121" s="51">
        <v>11745</v>
      </c>
      <c r="G121" s="53">
        <v>0.09</v>
      </c>
      <c r="H121" s="52">
        <v>264.26249999999999</v>
      </c>
    </row>
    <row r="122" spans="1:8" ht="15.6" x14ac:dyDescent="0.3">
      <c r="A122" s="4">
        <v>37986</v>
      </c>
      <c r="B122" s="3" t="s">
        <v>617</v>
      </c>
      <c r="C122" s="3" t="s">
        <v>68</v>
      </c>
      <c r="D122" s="3" t="s">
        <v>70</v>
      </c>
      <c r="E122" s="3" t="s">
        <v>267</v>
      </c>
      <c r="F122" s="51">
        <v>68950</v>
      </c>
      <c r="G122" s="53">
        <v>8.5000000000000006E-2</v>
      </c>
      <c r="H122" s="52">
        <v>1465.1875</v>
      </c>
    </row>
    <row r="123" spans="1:8" ht="15.6" x14ac:dyDescent="0.3">
      <c r="A123" s="4">
        <v>37986</v>
      </c>
      <c r="B123" s="3" t="s">
        <v>617</v>
      </c>
      <c r="C123" s="3" t="s">
        <v>68</v>
      </c>
      <c r="D123" s="3" t="s">
        <v>75</v>
      </c>
      <c r="E123" s="3" t="s">
        <v>268</v>
      </c>
      <c r="F123" s="51">
        <v>6055</v>
      </c>
      <c r="G123" s="53">
        <v>0.08</v>
      </c>
      <c r="H123" s="52">
        <v>121.10000000000001</v>
      </c>
    </row>
    <row r="124" spans="1:8" ht="15.6" x14ac:dyDescent="0.3">
      <c r="A124" s="4">
        <v>37986</v>
      </c>
      <c r="B124" s="3" t="s">
        <v>617</v>
      </c>
      <c r="C124" s="3" t="s">
        <v>35</v>
      </c>
      <c r="D124" s="3" t="s">
        <v>39</v>
      </c>
      <c r="E124" s="3" t="s">
        <v>250</v>
      </c>
      <c r="F124" s="51">
        <v>25120</v>
      </c>
      <c r="G124" s="53">
        <v>0.105</v>
      </c>
      <c r="H124" s="52">
        <v>659.4</v>
      </c>
    </row>
    <row r="125" spans="1:8" ht="15.6" x14ac:dyDescent="0.3">
      <c r="A125" s="4">
        <v>37986</v>
      </c>
      <c r="B125" s="3" t="s">
        <v>617</v>
      </c>
      <c r="C125" s="3" t="s">
        <v>35</v>
      </c>
      <c r="D125" s="3" t="s">
        <v>40</v>
      </c>
      <c r="E125" s="3" t="s">
        <v>251</v>
      </c>
      <c r="F125" s="51">
        <v>19750</v>
      </c>
      <c r="G125" s="53">
        <v>0.09</v>
      </c>
      <c r="H125" s="52">
        <v>444.375</v>
      </c>
    </row>
    <row r="126" spans="1:8" ht="15.6" x14ac:dyDescent="0.3">
      <c r="A126" s="4">
        <v>37986</v>
      </c>
      <c r="B126" s="3" t="s">
        <v>617</v>
      </c>
      <c r="C126" s="3" t="s">
        <v>35</v>
      </c>
      <c r="D126" s="3" t="s">
        <v>37</v>
      </c>
      <c r="E126" s="3" t="s">
        <v>248</v>
      </c>
      <c r="F126" s="51">
        <v>13140</v>
      </c>
      <c r="G126" s="53">
        <v>9.5000000000000001E-2</v>
      </c>
      <c r="H126" s="52">
        <v>312.07499999999999</v>
      </c>
    </row>
    <row r="127" spans="1:8" ht="15.6" x14ac:dyDescent="0.3">
      <c r="A127" s="4">
        <v>37986</v>
      </c>
      <c r="B127" s="3" t="s">
        <v>617</v>
      </c>
      <c r="C127" s="3" t="s">
        <v>35</v>
      </c>
      <c r="D127" s="3" t="s">
        <v>38</v>
      </c>
      <c r="E127" s="3" t="s">
        <v>249</v>
      </c>
      <c r="F127" s="51">
        <v>19040</v>
      </c>
      <c r="G127" s="53">
        <v>8.5000000000000006E-2</v>
      </c>
      <c r="H127" s="52">
        <v>404.6</v>
      </c>
    </row>
    <row r="128" spans="1:8" ht="15.6" x14ac:dyDescent="0.3">
      <c r="A128" s="4">
        <v>37986</v>
      </c>
      <c r="B128" s="3" t="s">
        <v>617</v>
      </c>
      <c r="C128" s="3" t="s">
        <v>35</v>
      </c>
      <c r="D128" s="3" t="s">
        <v>36</v>
      </c>
      <c r="E128" s="3" t="s">
        <v>247</v>
      </c>
      <c r="F128" s="51">
        <v>12510</v>
      </c>
      <c r="G128" s="53">
        <v>0.08</v>
      </c>
      <c r="H128" s="52">
        <v>250.20000000000002</v>
      </c>
    </row>
    <row r="129" spans="1:8" ht="15.6" x14ac:dyDescent="0.3">
      <c r="A129" s="4">
        <v>37986</v>
      </c>
      <c r="B129" s="3" t="s">
        <v>617</v>
      </c>
      <c r="C129" s="3" t="s">
        <v>61</v>
      </c>
      <c r="D129" s="3" t="s">
        <v>62</v>
      </c>
      <c r="E129" s="3" t="s">
        <v>261</v>
      </c>
      <c r="F129" s="51">
        <v>19425</v>
      </c>
      <c r="G129" s="53">
        <v>7.0000000000000007E-2</v>
      </c>
      <c r="H129" s="52">
        <v>339.93750000000006</v>
      </c>
    </row>
    <row r="130" spans="1:8" ht="15.6" x14ac:dyDescent="0.3">
      <c r="A130" s="4">
        <v>37986</v>
      </c>
      <c r="B130" s="3" t="s">
        <v>617</v>
      </c>
      <c r="C130" s="3" t="s">
        <v>61</v>
      </c>
      <c r="D130" s="3" t="s">
        <v>66</v>
      </c>
      <c r="E130" s="3" t="s">
        <v>265</v>
      </c>
      <c r="F130" s="51">
        <v>20160</v>
      </c>
      <c r="G130" s="53">
        <v>7.4999999999999997E-2</v>
      </c>
      <c r="H130" s="52">
        <v>378</v>
      </c>
    </row>
    <row r="131" spans="1:8" ht="15.6" x14ac:dyDescent="0.3">
      <c r="A131" s="4">
        <v>37986</v>
      </c>
      <c r="B131" s="3" t="s">
        <v>617</v>
      </c>
      <c r="C131" s="3" t="s">
        <v>61</v>
      </c>
      <c r="D131" s="3" t="s">
        <v>65</v>
      </c>
      <c r="E131" s="3" t="s">
        <v>264</v>
      </c>
      <c r="F131" s="51">
        <v>12810</v>
      </c>
      <c r="G131" s="53">
        <v>7.4999999999999997E-2</v>
      </c>
      <c r="H131" s="52">
        <v>240.1875</v>
      </c>
    </row>
    <row r="132" spans="1:8" ht="15.6" x14ac:dyDescent="0.3">
      <c r="A132" s="4">
        <v>37986</v>
      </c>
      <c r="B132" s="3" t="s">
        <v>617</v>
      </c>
      <c r="C132" s="3" t="s">
        <v>61</v>
      </c>
      <c r="D132" s="3" t="s">
        <v>64</v>
      </c>
      <c r="E132" s="3" t="s">
        <v>263</v>
      </c>
      <c r="F132" s="51">
        <v>9275</v>
      </c>
      <c r="G132" s="53">
        <v>0.08</v>
      </c>
      <c r="H132" s="52">
        <v>185.5</v>
      </c>
    </row>
    <row r="133" spans="1:8" ht="15.6" x14ac:dyDescent="0.3">
      <c r="A133" s="4">
        <v>37986</v>
      </c>
      <c r="B133" s="3" t="s">
        <v>617</v>
      </c>
      <c r="C133" s="3" t="s">
        <v>61</v>
      </c>
      <c r="D133" s="3" t="s">
        <v>63</v>
      </c>
      <c r="E133" s="3" t="s">
        <v>262</v>
      </c>
      <c r="F133" s="51">
        <v>13160</v>
      </c>
      <c r="G133" s="53">
        <v>0.08</v>
      </c>
      <c r="H133" s="52">
        <v>263.2</v>
      </c>
    </row>
    <row r="134" spans="1:8" ht="15.6" x14ac:dyDescent="0.3">
      <c r="A134" s="4">
        <v>38077</v>
      </c>
      <c r="B134" s="3" t="s">
        <v>614</v>
      </c>
      <c r="C134" s="3" t="s">
        <v>32</v>
      </c>
      <c r="D134" s="3" t="s">
        <v>34</v>
      </c>
      <c r="E134" s="3" t="s">
        <v>246</v>
      </c>
      <c r="F134" s="51">
        <v>361840</v>
      </c>
      <c r="G134" s="53">
        <v>7.5000000000000011E-2</v>
      </c>
      <c r="H134" s="52">
        <v>2598.0000000000005</v>
      </c>
    </row>
    <row r="135" spans="1:8" ht="15.6" x14ac:dyDescent="0.3">
      <c r="A135" s="4">
        <v>38077</v>
      </c>
      <c r="B135" s="3" t="s">
        <v>614</v>
      </c>
      <c r="C135" s="3" t="s">
        <v>32</v>
      </c>
      <c r="D135" s="3" t="s">
        <v>44</v>
      </c>
      <c r="E135" s="3" t="s">
        <v>252</v>
      </c>
      <c r="F135" s="51">
        <v>142065</v>
      </c>
      <c r="G135" s="53">
        <v>6.5000000000000002E-2</v>
      </c>
      <c r="H135" s="52">
        <v>1449.6625000000001</v>
      </c>
    </row>
    <row r="136" spans="1:8" ht="15.6" x14ac:dyDescent="0.3">
      <c r="A136" s="4">
        <v>38077</v>
      </c>
      <c r="B136" s="3" t="s">
        <v>614</v>
      </c>
      <c r="C136" s="3" t="s">
        <v>32</v>
      </c>
      <c r="D136" s="3" t="s">
        <v>33</v>
      </c>
      <c r="E136" s="3" t="s">
        <v>245</v>
      </c>
      <c r="F136" s="51">
        <v>263840</v>
      </c>
      <c r="G136" s="53">
        <v>7.0000000000000007E-2</v>
      </c>
      <c r="H136" s="52">
        <v>3159.4500000000003</v>
      </c>
    </row>
    <row r="137" spans="1:8" ht="15.6" x14ac:dyDescent="0.3">
      <c r="A137" s="4">
        <v>38077</v>
      </c>
      <c r="B137" s="3" t="s">
        <v>614</v>
      </c>
      <c r="C137" s="3" t="s">
        <v>32</v>
      </c>
      <c r="D137" s="3" t="s">
        <v>45</v>
      </c>
      <c r="E137" s="3" t="s">
        <v>253</v>
      </c>
      <c r="F137" s="51">
        <v>66360</v>
      </c>
      <c r="G137" s="53">
        <v>0.05</v>
      </c>
      <c r="H137" s="52">
        <v>603.75</v>
      </c>
    </row>
    <row r="138" spans="1:8" ht="15.6" x14ac:dyDescent="0.3">
      <c r="A138" s="4">
        <v>38077</v>
      </c>
      <c r="B138" s="3" t="s">
        <v>614</v>
      </c>
      <c r="C138" s="3" t="s">
        <v>32</v>
      </c>
      <c r="D138" s="3" t="s">
        <v>46</v>
      </c>
      <c r="E138" s="3" t="s">
        <v>254</v>
      </c>
      <c r="F138" s="51">
        <v>253530</v>
      </c>
      <c r="G138" s="53">
        <v>6.0000000000000012E-2</v>
      </c>
      <c r="H138" s="52">
        <v>3331.8000000000006</v>
      </c>
    </row>
    <row r="139" spans="1:8" ht="15.6" x14ac:dyDescent="0.3">
      <c r="A139" s="4">
        <v>38077</v>
      </c>
      <c r="B139" s="3" t="s">
        <v>614</v>
      </c>
      <c r="C139" s="3" t="s">
        <v>17</v>
      </c>
      <c r="D139" s="3" t="s">
        <v>20</v>
      </c>
      <c r="E139" s="3" t="s">
        <v>242</v>
      </c>
      <c r="F139" s="51">
        <v>244656</v>
      </c>
      <c r="G139" s="53">
        <v>2.5000000000000008E-2</v>
      </c>
      <c r="H139" s="52">
        <v>789.00000000000023</v>
      </c>
    </row>
    <row r="140" spans="1:8" ht="15.6" x14ac:dyDescent="0.3">
      <c r="A140" s="4">
        <v>38077</v>
      </c>
      <c r="B140" s="3" t="s">
        <v>614</v>
      </c>
      <c r="C140" s="3" t="s">
        <v>17</v>
      </c>
      <c r="D140" s="3" t="s">
        <v>18</v>
      </c>
      <c r="E140" s="3" t="s">
        <v>241</v>
      </c>
      <c r="F140" s="51">
        <v>23070</v>
      </c>
      <c r="G140" s="53">
        <v>3.5000000000000003E-2</v>
      </c>
      <c r="H140" s="52">
        <v>99.750000000000014</v>
      </c>
    </row>
    <row r="141" spans="1:8" ht="15.6" x14ac:dyDescent="0.3">
      <c r="A141" s="4">
        <v>38077</v>
      </c>
      <c r="B141" s="3" t="s">
        <v>614</v>
      </c>
      <c r="C141" s="3" t="s">
        <v>17</v>
      </c>
      <c r="D141" s="3" t="s">
        <v>82</v>
      </c>
      <c r="E141" s="3" t="s">
        <v>270</v>
      </c>
      <c r="F141" s="51">
        <v>66975</v>
      </c>
      <c r="G141" s="53">
        <v>2.0000000000000004E-2</v>
      </c>
      <c r="H141" s="52">
        <v>183.75000000000003</v>
      </c>
    </row>
    <row r="142" spans="1:8" ht="15.6" x14ac:dyDescent="0.3">
      <c r="A142" s="4">
        <v>38077</v>
      </c>
      <c r="B142" s="3" t="s">
        <v>614</v>
      </c>
      <c r="C142" s="3" t="s">
        <v>17</v>
      </c>
      <c r="D142" s="3" t="s">
        <v>26</v>
      </c>
      <c r="E142" s="3" t="s">
        <v>244</v>
      </c>
      <c r="F142" s="51">
        <v>93420</v>
      </c>
      <c r="G142" s="53">
        <v>1.4999999999999999E-2</v>
      </c>
      <c r="H142" s="52">
        <v>148.94999999999999</v>
      </c>
    </row>
    <row r="143" spans="1:8" ht="15.6" x14ac:dyDescent="0.3">
      <c r="A143" s="4">
        <v>38077</v>
      </c>
      <c r="B143" s="3" t="s">
        <v>614</v>
      </c>
      <c r="C143" s="3" t="s">
        <v>17</v>
      </c>
      <c r="D143" s="3" t="s">
        <v>52</v>
      </c>
      <c r="E143" s="3" t="s">
        <v>256</v>
      </c>
      <c r="F143" s="51">
        <v>29565</v>
      </c>
      <c r="G143" s="53">
        <v>3.0000000000000013E-2</v>
      </c>
      <c r="H143" s="52">
        <v>91.125000000000043</v>
      </c>
    </row>
    <row r="144" spans="1:8" ht="15.6" x14ac:dyDescent="0.3">
      <c r="A144" s="4">
        <v>38077</v>
      </c>
      <c r="B144" s="3" t="s">
        <v>614</v>
      </c>
      <c r="C144" s="3" t="s">
        <v>17</v>
      </c>
      <c r="D144" s="3" t="s">
        <v>21</v>
      </c>
      <c r="E144" s="3" t="s">
        <v>243</v>
      </c>
      <c r="F144" s="51">
        <v>69520</v>
      </c>
      <c r="G144" s="53">
        <v>5.0000000000000044E-3</v>
      </c>
      <c r="H144" s="52">
        <v>26.400000000000023</v>
      </c>
    </row>
    <row r="145" spans="1:8" ht="15.6" x14ac:dyDescent="0.3">
      <c r="A145" s="4">
        <v>38077</v>
      </c>
      <c r="B145" s="3" t="s">
        <v>614</v>
      </c>
      <c r="C145" s="3" t="s">
        <v>47</v>
      </c>
      <c r="D145" s="3" t="s">
        <v>48</v>
      </c>
      <c r="E145" s="3" t="s">
        <v>255</v>
      </c>
      <c r="F145" s="51">
        <v>39480</v>
      </c>
      <c r="G145" s="53">
        <v>1.4999999999999999E-2</v>
      </c>
      <c r="H145" s="52">
        <v>86.1</v>
      </c>
    </row>
    <row r="146" spans="1:8" ht="15.6" x14ac:dyDescent="0.3">
      <c r="A146" s="4">
        <v>38077</v>
      </c>
      <c r="B146" s="3" t="s">
        <v>614</v>
      </c>
      <c r="C146" s="3" t="s">
        <v>47</v>
      </c>
      <c r="D146" s="3" t="s">
        <v>119</v>
      </c>
      <c r="E146" s="3" t="s">
        <v>272</v>
      </c>
      <c r="F146" s="51">
        <v>21000</v>
      </c>
      <c r="G146" s="53">
        <v>1.0000000000000009E-2</v>
      </c>
      <c r="H146" s="52">
        <v>42.600000000000037</v>
      </c>
    </row>
    <row r="147" spans="1:8" ht="15.6" x14ac:dyDescent="0.3">
      <c r="A147" s="4">
        <v>38077</v>
      </c>
      <c r="B147" s="3" t="s">
        <v>614</v>
      </c>
      <c r="C147" s="3" t="s">
        <v>47</v>
      </c>
      <c r="D147" s="3" t="s">
        <v>53</v>
      </c>
      <c r="E147" s="3" t="s">
        <v>257</v>
      </c>
      <c r="F147" s="51">
        <v>31230</v>
      </c>
      <c r="G147" s="53">
        <v>2.0000000000000004E-2</v>
      </c>
      <c r="H147" s="52">
        <v>49.500000000000007</v>
      </c>
    </row>
    <row r="148" spans="1:8" ht="15.6" x14ac:dyDescent="0.3">
      <c r="A148" s="4">
        <v>38077</v>
      </c>
      <c r="B148" s="3" t="s">
        <v>614</v>
      </c>
      <c r="C148" s="3" t="s">
        <v>54</v>
      </c>
      <c r="D148" s="3" t="s">
        <v>57</v>
      </c>
      <c r="E148" s="3" t="s">
        <v>260</v>
      </c>
      <c r="F148" s="51">
        <v>209220</v>
      </c>
      <c r="G148" s="53">
        <v>0.05</v>
      </c>
      <c r="H148" s="52">
        <v>1633.5</v>
      </c>
    </row>
    <row r="149" spans="1:8" ht="15.6" x14ac:dyDescent="0.3">
      <c r="A149" s="4">
        <v>38077</v>
      </c>
      <c r="B149" s="3" t="s">
        <v>614</v>
      </c>
      <c r="C149" s="3" t="s">
        <v>54</v>
      </c>
      <c r="D149" s="3" t="s">
        <v>56</v>
      </c>
      <c r="E149" s="3" t="s">
        <v>259</v>
      </c>
      <c r="F149" s="51">
        <v>236250</v>
      </c>
      <c r="G149" s="53">
        <v>0.05</v>
      </c>
      <c r="H149" s="52">
        <v>2256.25</v>
      </c>
    </row>
    <row r="150" spans="1:8" ht="15.6" x14ac:dyDescent="0.3">
      <c r="A150" s="4">
        <v>38077</v>
      </c>
      <c r="B150" s="3" t="s">
        <v>614</v>
      </c>
      <c r="C150" s="3" t="s">
        <v>54</v>
      </c>
      <c r="D150" s="3" t="s">
        <v>55</v>
      </c>
      <c r="E150" s="3" t="s">
        <v>258</v>
      </c>
      <c r="F150" s="51">
        <v>172980</v>
      </c>
      <c r="G150" s="53">
        <v>4.5000000000000012E-2</v>
      </c>
      <c r="H150" s="52">
        <v>575.10000000000014</v>
      </c>
    </row>
    <row r="151" spans="1:8" ht="15.6" x14ac:dyDescent="0.3">
      <c r="A151" s="4">
        <v>38077</v>
      </c>
      <c r="B151" s="3" t="s">
        <v>614</v>
      </c>
      <c r="C151" s="3" t="s">
        <v>54</v>
      </c>
      <c r="D151" s="3" t="s">
        <v>166</v>
      </c>
      <c r="E151" s="3" t="s">
        <v>273</v>
      </c>
      <c r="F151" s="51">
        <v>88960</v>
      </c>
      <c r="G151" s="53">
        <v>4.0000000000000008E-2</v>
      </c>
      <c r="H151" s="52">
        <v>70.40000000000002</v>
      </c>
    </row>
    <row r="152" spans="1:8" ht="15.6" x14ac:dyDescent="0.3">
      <c r="A152" s="4">
        <v>38077</v>
      </c>
      <c r="B152" s="3" t="s">
        <v>614</v>
      </c>
      <c r="C152" s="3" t="s">
        <v>68</v>
      </c>
      <c r="D152" s="3" t="s">
        <v>69</v>
      </c>
      <c r="E152" s="3" t="s">
        <v>266</v>
      </c>
      <c r="F152" s="51">
        <v>56725</v>
      </c>
      <c r="G152" s="53">
        <v>6.0000000000000012E-2</v>
      </c>
      <c r="H152" s="52">
        <v>568.50000000000011</v>
      </c>
    </row>
    <row r="153" spans="1:8" ht="15.6" x14ac:dyDescent="0.3">
      <c r="A153" s="4">
        <v>38077</v>
      </c>
      <c r="B153" s="3" t="s">
        <v>614</v>
      </c>
      <c r="C153" s="3" t="s">
        <v>68</v>
      </c>
      <c r="D153" s="3" t="s">
        <v>76</v>
      </c>
      <c r="E153" s="3" t="s">
        <v>269</v>
      </c>
      <c r="F153" s="51">
        <v>25380</v>
      </c>
      <c r="G153" s="53">
        <v>5.5000000000000007E-2</v>
      </c>
      <c r="H153" s="52">
        <v>106.42500000000001</v>
      </c>
    </row>
    <row r="154" spans="1:8" ht="15.6" x14ac:dyDescent="0.3">
      <c r="A154" s="4">
        <v>38077</v>
      </c>
      <c r="B154" s="3" t="s">
        <v>614</v>
      </c>
      <c r="C154" s="3" t="s">
        <v>68</v>
      </c>
      <c r="D154" s="3" t="s">
        <v>108</v>
      </c>
      <c r="E154" s="3" t="s">
        <v>271</v>
      </c>
      <c r="F154" s="51">
        <v>18810</v>
      </c>
      <c r="G154" s="53">
        <v>0.05</v>
      </c>
      <c r="H154" s="52">
        <v>218.25</v>
      </c>
    </row>
    <row r="155" spans="1:8" ht="15.6" x14ac:dyDescent="0.3">
      <c r="A155" s="4">
        <v>38077</v>
      </c>
      <c r="B155" s="3" t="s">
        <v>614</v>
      </c>
      <c r="C155" s="3" t="s">
        <v>68</v>
      </c>
      <c r="D155" s="3" t="s">
        <v>70</v>
      </c>
      <c r="E155" s="3" t="s">
        <v>267</v>
      </c>
      <c r="F155" s="51">
        <v>89100</v>
      </c>
      <c r="G155" s="53">
        <v>4.5000000000000012E-2</v>
      </c>
      <c r="H155" s="52">
        <v>723.37500000000023</v>
      </c>
    </row>
    <row r="156" spans="1:8" ht="15.6" x14ac:dyDescent="0.3">
      <c r="A156" s="4">
        <v>38077</v>
      </c>
      <c r="B156" s="3" t="s">
        <v>614</v>
      </c>
      <c r="C156" s="3" t="s">
        <v>68</v>
      </c>
      <c r="D156" s="3" t="s">
        <v>75</v>
      </c>
      <c r="E156" s="3" t="s">
        <v>268</v>
      </c>
      <c r="F156" s="51">
        <v>13125</v>
      </c>
      <c r="G156" s="53">
        <v>4.0000000000000008E-2</v>
      </c>
      <c r="H156" s="52">
        <v>141.40000000000003</v>
      </c>
    </row>
    <row r="157" spans="1:8" ht="15.6" x14ac:dyDescent="0.3">
      <c r="A157" s="4">
        <v>38077</v>
      </c>
      <c r="B157" s="3" t="s">
        <v>614</v>
      </c>
      <c r="C157" s="3" t="s">
        <v>35</v>
      </c>
      <c r="D157" s="3" t="s">
        <v>39</v>
      </c>
      <c r="E157" s="3" t="s">
        <v>250</v>
      </c>
      <c r="F157" s="51">
        <v>28620</v>
      </c>
      <c r="G157" s="53">
        <v>6.5000000000000002E-2</v>
      </c>
      <c r="H157" s="52">
        <v>427.7</v>
      </c>
    </row>
    <row r="158" spans="1:8" ht="15.6" x14ac:dyDescent="0.3">
      <c r="A158" s="4">
        <v>38077</v>
      </c>
      <c r="B158" s="3" t="s">
        <v>614</v>
      </c>
      <c r="C158" s="3" t="s">
        <v>35</v>
      </c>
      <c r="D158" s="3" t="s">
        <v>40</v>
      </c>
      <c r="E158" s="3" t="s">
        <v>251</v>
      </c>
      <c r="F158" s="51">
        <v>34200</v>
      </c>
      <c r="G158" s="53">
        <v>0.05</v>
      </c>
      <c r="H158" s="52">
        <v>131.875</v>
      </c>
    </row>
    <row r="159" spans="1:8" ht="15.6" x14ac:dyDescent="0.3">
      <c r="A159" s="4">
        <v>38077</v>
      </c>
      <c r="B159" s="3" t="s">
        <v>614</v>
      </c>
      <c r="C159" s="3" t="s">
        <v>35</v>
      </c>
      <c r="D159" s="3" t="s">
        <v>37</v>
      </c>
      <c r="E159" s="3" t="s">
        <v>248</v>
      </c>
      <c r="F159" s="51">
        <v>8130</v>
      </c>
      <c r="G159" s="53">
        <v>5.5000000000000007E-2</v>
      </c>
      <c r="H159" s="52">
        <v>39.600000000000009</v>
      </c>
    </row>
    <row r="160" spans="1:8" ht="15.6" x14ac:dyDescent="0.3">
      <c r="A160" s="4">
        <v>38077</v>
      </c>
      <c r="B160" s="3" t="s">
        <v>614</v>
      </c>
      <c r="C160" s="3" t="s">
        <v>35</v>
      </c>
      <c r="D160" s="3" t="s">
        <v>38</v>
      </c>
      <c r="E160" s="3" t="s">
        <v>249</v>
      </c>
      <c r="F160" s="51">
        <v>29100</v>
      </c>
      <c r="G160" s="53">
        <v>4.5000000000000012E-2</v>
      </c>
      <c r="H160" s="52">
        <v>136.80000000000004</v>
      </c>
    </row>
    <row r="161" spans="1:8" ht="15.6" x14ac:dyDescent="0.3">
      <c r="A161" s="4">
        <v>38077</v>
      </c>
      <c r="B161" s="3" t="s">
        <v>614</v>
      </c>
      <c r="C161" s="3" t="s">
        <v>35</v>
      </c>
      <c r="D161" s="3" t="s">
        <v>36</v>
      </c>
      <c r="E161" s="3" t="s">
        <v>247</v>
      </c>
      <c r="F161" s="51">
        <v>9180</v>
      </c>
      <c r="G161" s="53">
        <v>4.0000000000000008E-2</v>
      </c>
      <c r="H161" s="52">
        <v>62.400000000000013</v>
      </c>
    </row>
    <row r="162" spans="1:8" ht="15.6" x14ac:dyDescent="0.3">
      <c r="A162" s="4">
        <v>38077</v>
      </c>
      <c r="B162" s="3" t="s">
        <v>614</v>
      </c>
      <c r="C162" s="3" t="s">
        <v>61</v>
      </c>
      <c r="D162" s="3" t="s">
        <v>62</v>
      </c>
      <c r="E162" s="3" t="s">
        <v>261</v>
      </c>
      <c r="F162" s="51">
        <v>42840</v>
      </c>
      <c r="G162" s="53">
        <v>3.0000000000000013E-2</v>
      </c>
      <c r="H162" s="52">
        <v>160.20000000000007</v>
      </c>
    </row>
    <row r="163" spans="1:8" ht="15.6" x14ac:dyDescent="0.3">
      <c r="A163" s="4">
        <v>38077</v>
      </c>
      <c r="B163" s="3" t="s">
        <v>614</v>
      </c>
      <c r="C163" s="3" t="s">
        <v>61</v>
      </c>
      <c r="D163" s="3" t="s">
        <v>66</v>
      </c>
      <c r="E163" s="3" t="s">
        <v>265</v>
      </c>
      <c r="F163" s="51">
        <v>38955</v>
      </c>
      <c r="G163" s="53">
        <v>3.5000000000000003E-2</v>
      </c>
      <c r="H163" s="52">
        <v>148.83750000000001</v>
      </c>
    </row>
    <row r="164" spans="1:8" ht="15.6" x14ac:dyDescent="0.3">
      <c r="A164" s="4">
        <v>38077</v>
      </c>
      <c r="B164" s="3" t="s">
        <v>614</v>
      </c>
      <c r="C164" s="3" t="s">
        <v>61</v>
      </c>
      <c r="D164" s="3" t="s">
        <v>65</v>
      </c>
      <c r="E164" s="3" t="s">
        <v>264</v>
      </c>
      <c r="F164" s="51">
        <v>15720</v>
      </c>
      <c r="G164" s="53">
        <v>3.5000000000000003E-2</v>
      </c>
      <c r="H164" s="52">
        <v>102.37500000000001</v>
      </c>
    </row>
    <row r="165" spans="1:8" ht="15.6" x14ac:dyDescent="0.3">
      <c r="A165" s="4">
        <v>38077</v>
      </c>
      <c r="B165" s="3" t="s">
        <v>614</v>
      </c>
      <c r="C165" s="3" t="s">
        <v>61</v>
      </c>
      <c r="D165" s="3" t="s">
        <v>64</v>
      </c>
      <c r="E165" s="3" t="s">
        <v>263</v>
      </c>
      <c r="F165" s="51">
        <v>8995</v>
      </c>
      <c r="G165" s="53">
        <v>4.0000000000000008E-2</v>
      </c>
      <c r="H165" s="52">
        <v>70.700000000000017</v>
      </c>
    </row>
    <row r="166" spans="1:8" ht="15.6" x14ac:dyDescent="0.3">
      <c r="A166" s="4">
        <v>38077</v>
      </c>
      <c r="B166" s="3" t="s">
        <v>614</v>
      </c>
      <c r="C166" s="3" t="s">
        <v>61</v>
      </c>
      <c r="D166" s="3" t="s">
        <v>63</v>
      </c>
      <c r="E166" s="3" t="s">
        <v>262</v>
      </c>
      <c r="F166" s="51">
        <v>15720</v>
      </c>
      <c r="G166" s="53">
        <v>4.0000000000000008E-2</v>
      </c>
      <c r="H166" s="52">
        <v>82.40000000000002</v>
      </c>
    </row>
    <row r="167" spans="1:8" ht="15.6" x14ac:dyDescent="0.3">
      <c r="A167" s="4">
        <v>38168</v>
      </c>
      <c r="B167" s="3" t="s">
        <v>615</v>
      </c>
      <c r="C167" s="3" t="s">
        <v>32</v>
      </c>
      <c r="D167" s="3" t="s">
        <v>34</v>
      </c>
      <c r="E167" s="3" t="s">
        <v>246</v>
      </c>
      <c r="F167" s="51">
        <v>361840</v>
      </c>
      <c r="G167" s="53">
        <v>7.5000000000000011E-2</v>
      </c>
      <c r="H167" s="52">
        <v>2598.0000000000005</v>
      </c>
    </row>
    <row r="168" spans="1:8" ht="15.6" x14ac:dyDescent="0.3">
      <c r="A168" s="4">
        <v>38168</v>
      </c>
      <c r="B168" s="3" t="s">
        <v>615</v>
      </c>
      <c r="C168" s="3" t="s">
        <v>32</v>
      </c>
      <c r="D168" s="3" t="s">
        <v>44</v>
      </c>
      <c r="E168" s="3" t="s">
        <v>252</v>
      </c>
      <c r="F168" s="51">
        <v>142065</v>
      </c>
      <c r="G168" s="53">
        <v>6.5000000000000002E-2</v>
      </c>
      <c r="H168" s="52">
        <v>1449.6625000000001</v>
      </c>
    </row>
    <row r="169" spans="1:8" ht="15.6" x14ac:dyDescent="0.3">
      <c r="A169" s="4">
        <v>38168</v>
      </c>
      <c r="B169" s="3" t="s">
        <v>615</v>
      </c>
      <c r="C169" s="3" t="s">
        <v>32</v>
      </c>
      <c r="D169" s="3" t="s">
        <v>33</v>
      </c>
      <c r="E169" s="3" t="s">
        <v>245</v>
      </c>
      <c r="F169" s="51">
        <v>263840</v>
      </c>
      <c r="G169" s="53">
        <v>7.0000000000000007E-2</v>
      </c>
      <c r="H169" s="52">
        <v>3159.4500000000003</v>
      </c>
    </row>
    <row r="170" spans="1:8" ht="15.6" x14ac:dyDescent="0.3">
      <c r="A170" s="4">
        <v>38168</v>
      </c>
      <c r="B170" s="3" t="s">
        <v>615</v>
      </c>
      <c r="C170" s="3" t="s">
        <v>32</v>
      </c>
      <c r="D170" s="3" t="s">
        <v>45</v>
      </c>
      <c r="E170" s="3" t="s">
        <v>253</v>
      </c>
      <c r="F170" s="51">
        <v>66360</v>
      </c>
      <c r="G170" s="53">
        <v>0.05</v>
      </c>
      <c r="H170" s="52">
        <v>603.75</v>
      </c>
    </row>
    <row r="171" spans="1:8" ht="15.6" x14ac:dyDescent="0.3">
      <c r="A171" s="4">
        <v>38168</v>
      </c>
      <c r="B171" s="3" t="s">
        <v>615</v>
      </c>
      <c r="C171" s="3" t="s">
        <v>32</v>
      </c>
      <c r="D171" s="3" t="s">
        <v>46</v>
      </c>
      <c r="E171" s="3" t="s">
        <v>254</v>
      </c>
      <c r="F171" s="51">
        <v>253530</v>
      </c>
      <c r="G171" s="53">
        <v>6.0000000000000012E-2</v>
      </c>
      <c r="H171" s="52">
        <v>3331.8000000000006</v>
      </c>
    </row>
    <row r="172" spans="1:8" ht="15.6" x14ac:dyDescent="0.3">
      <c r="A172" s="4">
        <v>38168</v>
      </c>
      <c r="B172" s="3" t="s">
        <v>615</v>
      </c>
      <c r="C172" s="3" t="s">
        <v>17</v>
      </c>
      <c r="D172" s="3" t="s">
        <v>20</v>
      </c>
      <c r="E172" s="3" t="s">
        <v>242</v>
      </c>
      <c r="F172" s="51">
        <v>244656</v>
      </c>
      <c r="G172" s="53">
        <v>2.5000000000000008E-2</v>
      </c>
      <c r="H172" s="52">
        <v>789.00000000000023</v>
      </c>
    </row>
    <row r="173" spans="1:8" ht="15.6" x14ac:dyDescent="0.3">
      <c r="A173" s="4">
        <v>38168</v>
      </c>
      <c r="B173" s="3" t="s">
        <v>615</v>
      </c>
      <c r="C173" s="3" t="s">
        <v>17</v>
      </c>
      <c r="D173" s="3" t="s">
        <v>18</v>
      </c>
      <c r="E173" s="3" t="s">
        <v>241</v>
      </c>
      <c r="F173" s="51">
        <v>23070</v>
      </c>
      <c r="G173" s="53">
        <v>3.5000000000000003E-2</v>
      </c>
      <c r="H173" s="52">
        <v>99.750000000000014</v>
      </c>
    </row>
    <row r="174" spans="1:8" ht="15.6" x14ac:dyDescent="0.3">
      <c r="A174" s="4">
        <v>38168</v>
      </c>
      <c r="B174" s="3" t="s">
        <v>615</v>
      </c>
      <c r="C174" s="3" t="s">
        <v>17</v>
      </c>
      <c r="D174" s="3" t="s">
        <v>82</v>
      </c>
      <c r="E174" s="3" t="s">
        <v>270</v>
      </c>
      <c r="F174" s="51">
        <v>66975</v>
      </c>
      <c r="G174" s="53">
        <v>2.0000000000000004E-2</v>
      </c>
      <c r="H174" s="52">
        <v>183.75000000000003</v>
      </c>
    </row>
    <row r="175" spans="1:8" ht="15.6" x14ac:dyDescent="0.3">
      <c r="A175" s="4">
        <v>38168</v>
      </c>
      <c r="B175" s="3" t="s">
        <v>615</v>
      </c>
      <c r="C175" s="3" t="s">
        <v>17</v>
      </c>
      <c r="D175" s="3" t="s">
        <v>26</v>
      </c>
      <c r="E175" s="3" t="s">
        <v>244</v>
      </c>
      <c r="F175" s="51">
        <v>93420</v>
      </c>
      <c r="G175" s="53">
        <v>1.4999999999999999E-2</v>
      </c>
      <c r="H175" s="52">
        <v>148.94999999999999</v>
      </c>
    </row>
    <row r="176" spans="1:8" ht="15.6" x14ac:dyDescent="0.3">
      <c r="A176" s="4">
        <v>38168</v>
      </c>
      <c r="B176" s="3" t="s">
        <v>615</v>
      </c>
      <c r="C176" s="3" t="s">
        <v>17</v>
      </c>
      <c r="D176" s="3" t="s">
        <v>52</v>
      </c>
      <c r="E176" s="3" t="s">
        <v>256</v>
      </c>
      <c r="F176" s="51">
        <v>29565</v>
      </c>
      <c r="G176" s="53">
        <v>3.0000000000000013E-2</v>
      </c>
      <c r="H176" s="52">
        <v>91.125000000000043</v>
      </c>
    </row>
    <row r="177" spans="1:8" ht="15.6" x14ac:dyDescent="0.3">
      <c r="A177" s="4">
        <v>38168</v>
      </c>
      <c r="B177" s="3" t="s">
        <v>615</v>
      </c>
      <c r="C177" s="3" t="s">
        <v>17</v>
      </c>
      <c r="D177" s="3" t="s">
        <v>21</v>
      </c>
      <c r="E177" s="3" t="s">
        <v>243</v>
      </c>
      <c r="F177" s="51">
        <v>69520</v>
      </c>
      <c r="G177" s="53">
        <v>5.0000000000000044E-3</v>
      </c>
      <c r="H177" s="52">
        <v>26.400000000000023</v>
      </c>
    </row>
    <row r="178" spans="1:8" ht="15.6" x14ac:dyDescent="0.3">
      <c r="A178" s="4">
        <v>38168</v>
      </c>
      <c r="B178" s="3" t="s">
        <v>615</v>
      </c>
      <c r="C178" s="3" t="s">
        <v>47</v>
      </c>
      <c r="D178" s="3" t="s">
        <v>48</v>
      </c>
      <c r="E178" s="3" t="s">
        <v>255</v>
      </c>
      <c r="F178" s="51">
        <v>39480</v>
      </c>
      <c r="G178" s="53">
        <v>1.4999999999999999E-2</v>
      </c>
      <c r="H178" s="52">
        <v>86.1</v>
      </c>
    </row>
    <row r="179" spans="1:8" ht="15.6" x14ac:dyDescent="0.3">
      <c r="A179" s="4">
        <v>38168</v>
      </c>
      <c r="B179" s="3" t="s">
        <v>615</v>
      </c>
      <c r="C179" s="3" t="s">
        <v>47</v>
      </c>
      <c r="D179" s="3" t="s">
        <v>119</v>
      </c>
      <c r="E179" s="3" t="s">
        <v>272</v>
      </c>
      <c r="F179" s="51">
        <v>21000</v>
      </c>
      <c r="G179" s="53">
        <v>1.0000000000000009E-2</v>
      </c>
      <c r="H179" s="52">
        <v>42.600000000000037</v>
      </c>
    </row>
    <row r="180" spans="1:8" ht="15.6" x14ac:dyDescent="0.3">
      <c r="A180" s="4">
        <v>38168</v>
      </c>
      <c r="B180" s="3" t="s">
        <v>615</v>
      </c>
      <c r="C180" s="3" t="s">
        <v>47</v>
      </c>
      <c r="D180" s="3" t="s">
        <v>53</v>
      </c>
      <c r="E180" s="3" t="s">
        <v>257</v>
      </c>
      <c r="F180" s="51">
        <v>31230</v>
      </c>
      <c r="G180" s="53">
        <v>2.0000000000000004E-2</v>
      </c>
      <c r="H180" s="52">
        <v>49.500000000000007</v>
      </c>
    </row>
    <row r="181" spans="1:8" ht="15.6" x14ac:dyDescent="0.3">
      <c r="A181" s="4">
        <v>38168</v>
      </c>
      <c r="B181" s="3" t="s">
        <v>615</v>
      </c>
      <c r="C181" s="3" t="s">
        <v>54</v>
      </c>
      <c r="D181" s="3" t="s">
        <v>57</v>
      </c>
      <c r="E181" s="3" t="s">
        <v>260</v>
      </c>
      <c r="F181" s="51">
        <v>209220</v>
      </c>
      <c r="G181" s="53">
        <v>0.05</v>
      </c>
      <c r="H181" s="52">
        <v>1633.5</v>
      </c>
    </row>
    <row r="182" spans="1:8" ht="15.6" x14ac:dyDescent="0.3">
      <c r="A182" s="4">
        <v>38168</v>
      </c>
      <c r="B182" s="3" t="s">
        <v>615</v>
      </c>
      <c r="C182" s="3" t="s">
        <v>54</v>
      </c>
      <c r="D182" s="3" t="s">
        <v>56</v>
      </c>
      <c r="E182" s="3" t="s">
        <v>259</v>
      </c>
      <c r="F182" s="51">
        <v>236250</v>
      </c>
      <c r="G182" s="53">
        <v>0.05</v>
      </c>
      <c r="H182" s="52">
        <v>2256.25</v>
      </c>
    </row>
    <row r="183" spans="1:8" ht="15.6" x14ac:dyDescent="0.3">
      <c r="A183" s="4">
        <v>38168</v>
      </c>
      <c r="B183" s="3" t="s">
        <v>615</v>
      </c>
      <c r="C183" s="3" t="s">
        <v>54</v>
      </c>
      <c r="D183" s="3" t="s">
        <v>55</v>
      </c>
      <c r="E183" s="3" t="s">
        <v>258</v>
      </c>
      <c r="F183" s="51">
        <v>172980</v>
      </c>
      <c r="G183" s="53">
        <v>4.5000000000000012E-2</v>
      </c>
      <c r="H183" s="52">
        <v>575.10000000000014</v>
      </c>
    </row>
    <row r="184" spans="1:8" ht="15.6" x14ac:dyDescent="0.3">
      <c r="A184" s="4">
        <v>38168</v>
      </c>
      <c r="B184" s="3" t="s">
        <v>615</v>
      </c>
      <c r="C184" s="3" t="s">
        <v>54</v>
      </c>
      <c r="D184" s="3" t="s">
        <v>166</v>
      </c>
      <c r="E184" s="3" t="s">
        <v>273</v>
      </c>
      <c r="F184" s="51">
        <v>88960</v>
      </c>
      <c r="G184" s="53">
        <v>4.0000000000000008E-2</v>
      </c>
      <c r="H184" s="52">
        <v>70.40000000000002</v>
      </c>
    </row>
    <row r="185" spans="1:8" ht="15.6" x14ac:dyDescent="0.3">
      <c r="A185" s="4">
        <v>38168</v>
      </c>
      <c r="B185" s="3" t="s">
        <v>615</v>
      </c>
      <c r="C185" s="3" t="s">
        <v>68</v>
      </c>
      <c r="D185" s="3" t="s">
        <v>69</v>
      </c>
      <c r="E185" s="3" t="s">
        <v>266</v>
      </c>
      <c r="F185" s="51">
        <v>56725</v>
      </c>
      <c r="G185" s="53">
        <v>6.0000000000000012E-2</v>
      </c>
      <c r="H185" s="52">
        <v>568.50000000000011</v>
      </c>
    </row>
    <row r="186" spans="1:8" ht="15.6" x14ac:dyDescent="0.3">
      <c r="A186" s="4">
        <v>38168</v>
      </c>
      <c r="B186" s="3" t="s">
        <v>615</v>
      </c>
      <c r="C186" s="3" t="s">
        <v>68</v>
      </c>
      <c r="D186" s="3" t="s">
        <v>76</v>
      </c>
      <c r="E186" s="3" t="s">
        <v>269</v>
      </c>
      <c r="F186" s="51">
        <v>25380</v>
      </c>
      <c r="G186" s="53">
        <v>5.5000000000000007E-2</v>
      </c>
      <c r="H186" s="52">
        <v>106.42500000000001</v>
      </c>
    </row>
    <row r="187" spans="1:8" ht="15.6" x14ac:dyDescent="0.3">
      <c r="A187" s="4">
        <v>38168</v>
      </c>
      <c r="B187" s="3" t="s">
        <v>615</v>
      </c>
      <c r="C187" s="3" t="s">
        <v>68</v>
      </c>
      <c r="D187" s="3" t="s">
        <v>108</v>
      </c>
      <c r="E187" s="3" t="s">
        <v>271</v>
      </c>
      <c r="F187" s="51">
        <v>18810</v>
      </c>
      <c r="G187" s="53">
        <v>0.05</v>
      </c>
      <c r="H187" s="52">
        <v>218.25</v>
      </c>
    </row>
    <row r="188" spans="1:8" ht="15.6" x14ac:dyDescent="0.3">
      <c r="A188" s="4">
        <v>38168</v>
      </c>
      <c r="B188" s="3" t="s">
        <v>615</v>
      </c>
      <c r="C188" s="3" t="s">
        <v>68</v>
      </c>
      <c r="D188" s="3" t="s">
        <v>70</v>
      </c>
      <c r="E188" s="3" t="s">
        <v>267</v>
      </c>
      <c r="F188" s="51">
        <v>89100</v>
      </c>
      <c r="G188" s="53">
        <v>4.5000000000000012E-2</v>
      </c>
      <c r="H188" s="52">
        <v>723.37500000000023</v>
      </c>
    </row>
    <row r="189" spans="1:8" ht="15.6" x14ac:dyDescent="0.3">
      <c r="A189" s="4">
        <v>38168</v>
      </c>
      <c r="B189" s="3" t="s">
        <v>615</v>
      </c>
      <c r="C189" s="3" t="s">
        <v>68</v>
      </c>
      <c r="D189" s="3" t="s">
        <v>75</v>
      </c>
      <c r="E189" s="3" t="s">
        <v>268</v>
      </c>
      <c r="F189" s="51">
        <v>13125</v>
      </c>
      <c r="G189" s="53">
        <v>4.0000000000000008E-2</v>
      </c>
      <c r="H189" s="52">
        <v>141.40000000000003</v>
      </c>
    </row>
    <row r="190" spans="1:8" ht="15.6" x14ac:dyDescent="0.3">
      <c r="A190" s="4">
        <v>38168</v>
      </c>
      <c r="B190" s="3" t="s">
        <v>615</v>
      </c>
      <c r="C190" s="3" t="s">
        <v>35</v>
      </c>
      <c r="D190" s="3" t="s">
        <v>39</v>
      </c>
      <c r="E190" s="3" t="s">
        <v>250</v>
      </c>
      <c r="F190" s="51">
        <v>28620</v>
      </c>
      <c r="G190" s="53">
        <v>6.5000000000000002E-2</v>
      </c>
      <c r="H190" s="52">
        <v>427.7</v>
      </c>
    </row>
    <row r="191" spans="1:8" ht="15.6" x14ac:dyDescent="0.3">
      <c r="A191" s="4">
        <v>38168</v>
      </c>
      <c r="B191" s="3" t="s">
        <v>615</v>
      </c>
      <c r="C191" s="3" t="s">
        <v>35</v>
      </c>
      <c r="D191" s="3" t="s">
        <v>40</v>
      </c>
      <c r="E191" s="3" t="s">
        <v>251</v>
      </c>
      <c r="F191" s="51">
        <v>34200</v>
      </c>
      <c r="G191" s="53">
        <v>0.05</v>
      </c>
      <c r="H191" s="52">
        <v>131.875</v>
      </c>
    </row>
    <row r="192" spans="1:8" ht="15.6" x14ac:dyDescent="0.3">
      <c r="A192" s="4">
        <v>38168</v>
      </c>
      <c r="B192" s="3" t="s">
        <v>615</v>
      </c>
      <c r="C192" s="3" t="s">
        <v>35</v>
      </c>
      <c r="D192" s="3" t="s">
        <v>37</v>
      </c>
      <c r="E192" s="3" t="s">
        <v>248</v>
      </c>
      <c r="F192" s="51">
        <v>8130</v>
      </c>
      <c r="G192" s="53">
        <v>5.5000000000000007E-2</v>
      </c>
      <c r="H192" s="52">
        <v>39.600000000000009</v>
      </c>
    </row>
    <row r="193" spans="1:8" ht="15.6" x14ac:dyDescent="0.3">
      <c r="A193" s="4">
        <v>38168</v>
      </c>
      <c r="B193" s="3" t="s">
        <v>615</v>
      </c>
      <c r="C193" s="3" t="s">
        <v>35</v>
      </c>
      <c r="D193" s="3" t="s">
        <v>38</v>
      </c>
      <c r="E193" s="3" t="s">
        <v>249</v>
      </c>
      <c r="F193" s="51">
        <v>29100</v>
      </c>
      <c r="G193" s="53">
        <v>4.5000000000000012E-2</v>
      </c>
      <c r="H193" s="52">
        <v>136.80000000000004</v>
      </c>
    </row>
    <row r="194" spans="1:8" ht="15.6" x14ac:dyDescent="0.3">
      <c r="A194" s="4">
        <v>38168</v>
      </c>
      <c r="B194" s="3" t="s">
        <v>615</v>
      </c>
      <c r="C194" s="3" t="s">
        <v>35</v>
      </c>
      <c r="D194" s="3" t="s">
        <v>36</v>
      </c>
      <c r="E194" s="3" t="s">
        <v>247</v>
      </c>
      <c r="F194" s="51">
        <v>9180</v>
      </c>
      <c r="G194" s="53">
        <v>4.0000000000000008E-2</v>
      </c>
      <c r="H194" s="52">
        <v>62.400000000000013</v>
      </c>
    </row>
    <row r="195" spans="1:8" ht="15.6" x14ac:dyDescent="0.3">
      <c r="A195" s="4">
        <v>38168</v>
      </c>
      <c r="B195" s="3" t="s">
        <v>615</v>
      </c>
      <c r="C195" s="3" t="s">
        <v>61</v>
      </c>
      <c r="D195" s="3" t="s">
        <v>62</v>
      </c>
      <c r="E195" s="3" t="s">
        <v>261</v>
      </c>
      <c r="F195" s="51">
        <v>42840</v>
      </c>
      <c r="G195" s="53">
        <v>3.0000000000000013E-2</v>
      </c>
      <c r="H195" s="52">
        <v>160.20000000000007</v>
      </c>
    </row>
    <row r="196" spans="1:8" ht="15.6" x14ac:dyDescent="0.3">
      <c r="A196" s="4">
        <v>38168</v>
      </c>
      <c r="B196" s="3" t="s">
        <v>615</v>
      </c>
      <c r="C196" s="3" t="s">
        <v>61</v>
      </c>
      <c r="D196" s="3" t="s">
        <v>66</v>
      </c>
      <c r="E196" s="3" t="s">
        <v>265</v>
      </c>
      <c r="F196" s="51">
        <v>38955</v>
      </c>
      <c r="G196" s="53">
        <v>3.5000000000000003E-2</v>
      </c>
      <c r="H196" s="52">
        <v>148.83750000000001</v>
      </c>
    </row>
    <row r="197" spans="1:8" ht="15.6" x14ac:dyDescent="0.3">
      <c r="A197" s="4">
        <v>38168</v>
      </c>
      <c r="B197" s="3" t="s">
        <v>615</v>
      </c>
      <c r="C197" s="3" t="s">
        <v>61</v>
      </c>
      <c r="D197" s="3" t="s">
        <v>65</v>
      </c>
      <c r="E197" s="3" t="s">
        <v>264</v>
      </c>
      <c r="F197" s="51">
        <v>15720</v>
      </c>
      <c r="G197" s="53">
        <v>3.5000000000000003E-2</v>
      </c>
      <c r="H197" s="52">
        <v>102.37500000000001</v>
      </c>
    </row>
    <row r="198" spans="1:8" ht="15.6" x14ac:dyDescent="0.3">
      <c r="A198" s="4">
        <v>38168</v>
      </c>
      <c r="B198" s="3" t="s">
        <v>615</v>
      </c>
      <c r="C198" s="3" t="s">
        <v>61</v>
      </c>
      <c r="D198" s="3" t="s">
        <v>64</v>
      </c>
      <c r="E198" s="3" t="s">
        <v>263</v>
      </c>
      <c r="F198" s="51">
        <v>8995</v>
      </c>
      <c r="G198" s="53">
        <v>4.0000000000000008E-2</v>
      </c>
      <c r="H198" s="52">
        <v>70.700000000000017</v>
      </c>
    </row>
    <row r="199" spans="1:8" ht="15.6" x14ac:dyDescent="0.3">
      <c r="A199" s="4">
        <v>38168</v>
      </c>
      <c r="B199" s="3" t="s">
        <v>615</v>
      </c>
      <c r="C199" s="3" t="s">
        <v>61</v>
      </c>
      <c r="D199" s="3" t="s">
        <v>63</v>
      </c>
      <c r="E199" s="3" t="s">
        <v>262</v>
      </c>
      <c r="F199" s="51">
        <v>15720</v>
      </c>
      <c r="G199" s="53">
        <v>4.0000000000000008E-2</v>
      </c>
      <c r="H199" s="52">
        <v>82.40000000000002</v>
      </c>
    </row>
    <row r="200" spans="1:8" ht="15.6" x14ac:dyDescent="0.3">
      <c r="A200" s="4">
        <v>38260</v>
      </c>
      <c r="B200" s="3" t="s">
        <v>616</v>
      </c>
      <c r="C200" s="3" t="s">
        <v>32</v>
      </c>
      <c r="D200" s="3" t="s">
        <v>34</v>
      </c>
      <c r="E200" s="3" t="s">
        <v>246</v>
      </c>
      <c r="F200" s="51">
        <v>361840</v>
      </c>
      <c r="G200" s="53">
        <v>0.13500000000000001</v>
      </c>
      <c r="H200" s="52">
        <v>12212.1</v>
      </c>
    </row>
    <row r="201" spans="1:8" ht="15.6" x14ac:dyDescent="0.3">
      <c r="A201" s="4">
        <v>38260</v>
      </c>
      <c r="B201" s="3" t="s">
        <v>616</v>
      </c>
      <c r="C201" s="3" t="s">
        <v>32</v>
      </c>
      <c r="D201" s="3" t="s">
        <v>44</v>
      </c>
      <c r="E201" s="3" t="s">
        <v>252</v>
      </c>
      <c r="F201" s="51">
        <v>142065</v>
      </c>
      <c r="G201" s="53">
        <v>0.125</v>
      </c>
      <c r="H201" s="52">
        <v>4439.53125</v>
      </c>
    </row>
    <row r="202" spans="1:8" ht="15.6" x14ac:dyDescent="0.3">
      <c r="A202" s="4">
        <v>38260</v>
      </c>
      <c r="B202" s="3" t="s">
        <v>616</v>
      </c>
      <c r="C202" s="3" t="s">
        <v>32</v>
      </c>
      <c r="D202" s="3" t="s">
        <v>33</v>
      </c>
      <c r="E202" s="3" t="s">
        <v>245</v>
      </c>
      <c r="F202" s="51">
        <v>263840</v>
      </c>
      <c r="G202" s="53">
        <v>0.13</v>
      </c>
      <c r="H202" s="52">
        <v>8574.8000000000011</v>
      </c>
    </row>
    <row r="203" spans="1:8" ht="15.6" x14ac:dyDescent="0.3">
      <c r="A203" s="4">
        <v>38260</v>
      </c>
      <c r="B203" s="3" t="s">
        <v>616</v>
      </c>
      <c r="C203" s="3" t="s">
        <v>32</v>
      </c>
      <c r="D203" s="3" t="s">
        <v>45</v>
      </c>
      <c r="E203" s="3" t="s">
        <v>253</v>
      </c>
      <c r="F203" s="51">
        <v>66360</v>
      </c>
      <c r="G203" s="53">
        <v>0.11</v>
      </c>
      <c r="H203" s="52">
        <v>1824.9</v>
      </c>
    </row>
    <row r="204" spans="1:8" ht="15.6" x14ac:dyDescent="0.3">
      <c r="A204" s="4">
        <v>38260</v>
      </c>
      <c r="B204" s="3" t="s">
        <v>616</v>
      </c>
      <c r="C204" s="3" t="s">
        <v>32</v>
      </c>
      <c r="D204" s="3" t="s">
        <v>46</v>
      </c>
      <c r="E204" s="3" t="s">
        <v>254</v>
      </c>
      <c r="F204" s="51">
        <v>253530</v>
      </c>
      <c r="G204" s="53">
        <v>0.12000000000000001</v>
      </c>
      <c r="H204" s="52">
        <v>7605.9000000000005</v>
      </c>
    </row>
    <row r="205" spans="1:8" ht="15.6" x14ac:dyDescent="0.3">
      <c r="A205" s="4">
        <v>38260</v>
      </c>
      <c r="B205" s="3" t="s">
        <v>616</v>
      </c>
      <c r="C205" s="3" t="s">
        <v>17</v>
      </c>
      <c r="D205" s="3" t="s">
        <v>20</v>
      </c>
      <c r="E205" s="3" t="s">
        <v>242</v>
      </c>
      <c r="F205" s="51">
        <v>244656</v>
      </c>
      <c r="G205" s="53">
        <v>8.5000000000000006E-2</v>
      </c>
      <c r="H205" s="52">
        <v>5198.9400000000005</v>
      </c>
    </row>
    <row r="206" spans="1:8" ht="15.6" x14ac:dyDescent="0.3">
      <c r="A206" s="4">
        <v>38260</v>
      </c>
      <c r="B206" s="3" t="s">
        <v>616</v>
      </c>
      <c r="C206" s="3" t="s">
        <v>17</v>
      </c>
      <c r="D206" s="3" t="s">
        <v>18</v>
      </c>
      <c r="E206" s="3" t="s">
        <v>241</v>
      </c>
      <c r="F206" s="51">
        <v>23070</v>
      </c>
      <c r="G206" s="53">
        <v>9.5000000000000001E-2</v>
      </c>
      <c r="H206" s="52">
        <v>547.91250000000002</v>
      </c>
    </row>
    <row r="207" spans="1:8" ht="15.6" x14ac:dyDescent="0.3">
      <c r="A207" s="4">
        <v>38260</v>
      </c>
      <c r="B207" s="3" t="s">
        <v>616</v>
      </c>
      <c r="C207" s="3" t="s">
        <v>17</v>
      </c>
      <c r="D207" s="3" t="s">
        <v>82</v>
      </c>
      <c r="E207" s="3" t="s">
        <v>270</v>
      </c>
      <c r="F207" s="51">
        <v>66975</v>
      </c>
      <c r="G207" s="53">
        <v>0.08</v>
      </c>
      <c r="H207" s="52">
        <v>1339.5</v>
      </c>
    </row>
    <row r="208" spans="1:8" ht="15.6" x14ac:dyDescent="0.3">
      <c r="A208" s="4">
        <v>38260</v>
      </c>
      <c r="B208" s="3" t="s">
        <v>616</v>
      </c>
      <c r="C208" s="3" t="s">
        <v>17</v>
      </c>
      <c r="D208" s="3" t="s">
        <v>26</v>
      </c>
      <c r="E208" s="3" t="s">
        <v>244</v>
      </c>
      <c r="F208" s="51">
        <v>93420</v>
      </c>
      <c r="G208" s="53">
        <v>7.4999999999999997E-2</v>
      </c>
      <c r="H208" s="52">
        <v>1751.625</v>
      </c>
    </row>
    <row r="209" spans="1:8" ht="15.6" x14ac:dyDescent="0.3">
      <c r="A209" s="4">
        <v>38260</v>
      </c>
      <c r="B209" s="3" t="s">
        <v>616</v>
      </c>
      <c r="C209" s="3" t="s">
        <v>17</v>
      </c>
      <c r="D209" s="3" t="s">
        <v>52</v>
      </c>
      <c r="E209" s="3" t="s">
        <v>256</v>
      </c>
      <c r="F209" s="51">
        <v>29565</v>
      </c>
      <c r="G209" s="53">
        <v>9.0000000000000011E-2</v>
      </c>
      <c r="H209" s="52">
        <v>665.21250000000009</v>
      </c>
    </row>
    <row r="210" spans="1:8" ht="15.6" x14ac:dyDescent="0.3">
      <c r="A210" s="4">
        <v>38260</v>
      </c>
      <c r="B210" s="3" t="s">
        <v>616</v>
      </c>
      <c r="C210" s="3" t="s">
        <v>17</v>
      </c>
      <c r="D210" s="3" t="s">
        <v>21</v>
      </c>
      <c r="E210" s="3" t="s">
        <v>243</v>
      </c>
      <c r="F210" s="51">
        <v>69520</v>
      </c>
      <c r="G210" s="53">
        <v>6.5000000000000002E-2</v>
      </c>
      <c r="H210" s="52">
        <v>1129.7</v>
      </c>
    </row>
    <row r="211" spans="1:8" ht="15.6" x14ac:dyDescent="0.3">
      <c r="A211" s="4">
        <v>38260</v>
      </c>
      <c r="B211" s="3" t="s">
        <v>616</v>
      </c>
      <c r="C211" s="3" t="s">
        <v>47</v>
      </c>
      <c r="D211" s="3" t="s">
        <v>48</v>
      </c>
      <c r="E211" s="3" t="s">
        <v>255</v>
      </c>
      <c r="F211" s="51">
        <v>39480</v>
      </c>
      <c r="G211" s="53">
        <v>7.4999999999999997E-2</v>
      </c>
      <c r="H211" s="52">
        <v>740.25</v>
      </c>
    </row>
    <row r="212" spans="1:8" ht="15.6" x14ac:dyDescent="0.3">
      <c r="A212" s="4">
        <v>38260</v>
      </c>
      <c r="B212" s="3" t="s">
        <v>616</v>
      </c>
      <c r="C212" s="3" t="s">
        <v>47</v>
      </c>
      <c r="D212" s="3" t="s">
        <v>119</v>
      </c>
      <c r="E212" s="3" t="s">
        <v>272</v>
      </c>
      <c r="F212" s="51">
        <v>21000</v>
      </c>
      <c r="G212" s="53">
        <v>7.0000000000000007E-2</v>
      </c>
      <c r="H212" s="52">
        <v>367.50000000000006</v>
      </c>
    </row>
    <row r="213" spans="1:8" ht="15.6" x14ac:dyDescent="0.3">
      <c r="A213" s="4">
        <v>38260</v>
      </c>
      <c r="B213" s="3" t="s">
        <v>616</v>
      </c>
      <c r="C213" s="3" t="s">
        <v>47</v>
      </c>
      <c r="D213" s="3" t="s">
        <v>53</v>
      </c>
      <c r="E213" s="3" t="s">
        <v>257</v>
      </c>
      <c r="F213" s="51">
        <v>31230</v>
      </c>
      <c r="G213" s="53">
        <v>0.08</v>
      </c>
      <c r="H213" s="52">
        <v>624.6</v>
      </c>
    </row>
    <row r="214" spans="1:8" ht="15.6" x14ac:dyDescent="0.3">
      <c r="A214" s="4">
        <v>38260</v>
      </c>
      <c r="B214" s="3" t="s">
        <v>616</v>
      </c>
      <c r="C214" s="3" t="s">
        <v>54</v>
      </c>
      <c r="D214" s="3" t="s">
        <v>57</v>
      </c>
      <c r="E214" s="3" t="s">
        <v>260</v>
      </c>
      <c r="F214" s="51">
        <v>209220</v>
      </c>
      <c r="G214" s="53">
        <v>0.11</v>
      </c>
      <c r="H214" s="52">
        <v>5753.55</v>
      </c>
    </row>
    <row r="215" spans="1:8" ht="15.6" x14ac:dyDescent="0.3">
      <c r="A215" s="4">
        <v>38260</v>
      </c>
      <c r="B215" s="3" t="s">
        <v>616</v>
      </c>
      <c r="C215" s="3" t="s">
        <v>54</v>
      </c>
      <c r="D215" s="3" t="s">
        <v>56</v>
      </c>
      <c r="E215" s="3" t="s">
        <v>259</v>
      </c>
      <c r="F215" s="51">
        <v>236250</v>
      </c>
      <c r="G215" s="53">
        <v>0.11</v>
      </c>
      <c r="H215" s="52">
        <v>6496.875</v>
      </c>
    </row>
    <row r="216" spans="1:8" ht="15.6" x14ac:dyDescent="0.3">
      <c r="A216" s="4">
        <v>38260</v>
      </c>
      <c r="B216" s="3" t="s">
        <v>616</v>
      </c>
      <c r="C216" s="3" t="s">
        <v>54</v>
      </c>
      <c r="D216" s="3" t="s">
        <v>55</v>
      </c>
      <c r="E216" s="3" t="s">
        <v>258</v>
      </c>
      <c r="F216" s="51">
        <v>172980</v>
      </c>
      <c r="G216" s="53">
        <v>0.10500000000000001</v>
      </c>
      <c r="H216" s="52">
        <v>4540.7250000000004</v>
      </c>
    </row>
    <row r="217" spans="1:8" ht="15.6" x14ac:dyDescent="0.3">
      <c r="A217" s="4">
        <v>38260</v>
      </c>
      <c r="B217" s="3" t="s">
        <v>616</v>
      </c>
      <c r="C217" s="3" t="s">
        <v>54</v>
      </c>
      <c r="D217" s="3" t="s">
        <v>166</v>
      </c>
      <c r="E217" s="3" t="s">
        <v>273</v>
      </c>
      <c r="F217" s="51">
        <v>88960</v>
      </c>
      <c r="G217" s="53">
        <v>0.1</v>
      </c>
      <c r="H217" s="52">
        <v>2224</v>
      </c>
    </row>
    <row r="218" spans="1:8" ht="15.6" x14ac:dyDescent="0.3">
      <c r="A218" s="4">
        <v>38260</v>
      </c>
      <c r="B218" s="3" t="s">
        <v>616</v>
      </c>
      <c r="C218" s="3" t="s">
        <v>68</v>
      </c>
      <c r="D218" s="3" t="s">
        <v>69</v>
      </c>
      <c r="E218" s="3" t="s">
        <v>266</v>
      </c>
      <c r="F218" s="51">
        <v>56725</v>
      </c>
      <c r="G218" s="53">
        <v>0.12000000000000001</v>
      </c>
      <c r="H218" s="52">
        <v>1701.7500000000002</v>
      </c>
    </row>
    <row r="219" spans="1:8" ht="15.6" x14ac:dyDescent="0.3">
      <c r="A219" s="4">
        <v>38260</v>
      </c>
      <c r="B219" s="3" t="s">
        <v>616</v>
      </c>
      <c r="C219" s="3" t="s">
        <v>68</v>
      </c>
      <c r="D219" s="3" t="s">
        <v>76</v>
      </c>
      <c r="E219" s="3" t="s">
        <v>269</v>
      </c>
      <c r="F219" s="51">
        <v>25380</v>
      </c>
      <c r="G219" s="53">
        <v>0.115</v>
      </c>
      <c r="H219" s="52">
        <v>729.67500000000007</v>
      </c>
    </row>
    <row r="220" spans="1:8" ht="15.6" x14ac:dyDescent="0.3">
      <c r="A220" s="4">
        <v>38260</v>
      </c>
      <c r="B220" s="3" t="s">
        <v>616</v>
      </c>
      <c r="C220" s="3" t="s">
        <v>68</v>
      </c>
      <c r="D220" s="3" t="s">
        <v>108</v>
      </c>
      <c r="E220" s="3" t="s">
        <v>271</v>
      </c>
      <c r="F220" s="51">
        <v>18810</v>
      </c>
      <c r="G220" s="53">
        <v>0.11</v>
      </c>
      <c r="H220" s="52">
        <v>517.27499999999998</v>
      </c>
    </row>
    <row r="221" spans="1:8" ht="15.6" x14ac:dyDescent="0.3">
      <c r="A221" s="4">
        <v>38260</v>
      </c>
      <c r="B221" s="3" t="s">
        <v>616</v>
      </c>
      <c r="C221" s="3" t="s">
        <v>68</v>
      </c>
      <c r="D221" s="3" t="s">
        <v>70</v>
      </c>
      <c r="E221" s="3" t="s">
        <v>267</v>
      </c>
      <c r="F221" s="51">
        <v>89100</v>
      </c>
      <c r="G221" s="53">
        <v>0.10500000000000001</v>
      </c>
      <c r="H221" s="52">
        <v>2338.875</v>
      </c>
    </row>
    <row r="222" spans="1:8" ht="15.6" x14ac:dyDescent="0.3">
      <c r="A222" s="4">
        <v>38260</v>
      </c>
      <c r="B222" s="3" t="s">
        <v>616</v>
      </c>
      <c r="C222" s="3" t="s">
        <v>68</v>
      </c>
      <c r="D222" s="3" t="s">
        <v>75</v>
      </c>
      <c r="E222" s="3" t="s">
        <v>268</v>
      </c>
      <c r="F222" s="51">
        <v>13125</v>
      </c>
      <c r="G222" s="53">
        <v>0.1</v>
      </c>
      <c r="H222" s="52">
        <v>328.125</v>
      </c>
    </row>
    <row r="223" spans="1:8" ht="15.6" x14ac:dyDescent="0.3">
      <c r="A223" s="4">
        <v>38260</v>
      </c>
      <c r="B223" s="3" t="s">
        <v>616</v>
      </c>
      <c r="C223" s="3" t="s">
        <v>35</v>
      </c>
      <c r="D223" s="3" t="s">
        <v>39</v>
      </c>
      <c r="E223" s="3" t="s">
        <v>250</v>
      </c>
      <c r="F223" s="51">
        <v>28620</v>
      </c>
      <c r="G223" s="53">
        <v>0.125</v>
      </c>
      <c r="H223" s="52">
        <v>894.375</v>
      </c>
    </row>
    <row r="224" spans="1:8" ht="15.6" x14ac:dyDescent="0.3">
      <c r="A224" s="4">
        <v>38260</v>
      </c>
      <c r="B224" s="3" t="s">
        <v>616</v>
      </c>
      <c r="C224" s="3" t="s">
        <v>35</v>
      </c>
      <c r="D224" s="3" t="s">
        <v>40</v>
      </c>
      <c r="E224" s="3" t="s">
        <v>251</v>
      </c>
      <c r="F224" s="51">
        <v>34200</v>
      </c>
      <c r="G224" s="53">
        <v>0.11</v>
      </c>
      <c r="H224" s="52">
        <v>940.5</v>
      </c>
    </row>
    <row r="225" spans="1:8" ht="15.6" x14ac:dyDescent="0.3">
      <c r="A225" s="4">
        <v>38260</v>
      </c>
      <c r="B225" s="3" t="s">
        <v>616</v>
      </c>
      <c r="C225" s="3" t="s">
        <v>35</v>
      </c>
      <c r="D225" s="3" t="s">
        <v>37</v>
      </c>
      <c r="E225" s="3" t="s">
        <v>248</v>
      </c>
      <c r="F225" s="51">
        <v>8130</v>
      </c>
      <c r="G225" s="53">
        <v>0.08</v>
      </c>
      <c r="H225" s="52">
        <v>162.6</v>
      </c>
    </row>
    <row r="226" spans="1:8" ht="15.6" x14ac:dyDescent="0.3">
      <c r="A226" s="4">
        <v>38260</v>
      </c>
      <c r="B226" s="3" t="s">
        <v>616</v>
      </c>
      <c r="C226" s="3" t="s">
        <v>35</v>
      </c>
      <c r="D226" s="3" t="s">
        <v>38</v>
      </c>
      <c r="E226" s="3" t="s">
        <v>249</v>
      </c>
      <c r="F226" s="51">
        <v>29100</v>
      </c>
      <c r="G226" s="53">
        <v>0.10500000000000001</v>
      </c>
      <c r="H226" s="52">
        <v>763.87500000000011</v>
      </c>
    </row>
    <row r="227" spans="1:8" ht="15.6" x14ac:dyDescent="0.3">
      <c r="A227" s="4">
        <v>38260</v>
      </c>
      <c r="B227" s="3" t="s">
        <v>616</v>
      </c>
      <c r="C227" s="3" t="s">
        <v>35</v>
      </c>
      <c r="D227" s="3" t="s">
        <v>36</v>
      </c>
      <c r="E227" s="3" t="s">
        <v>247</v>
      </c>
      <c r="F227" s="51">
        <v>9180</v>
      </c>
      <c r="G227" s="53">
        <v>0.06</v>
      </c>
      <c r="H227" s="52">
        <v>137.69999999999999</v>
      </c>
    </row>
    <row r="228" spans="1:8" ht="15.6" x14ac:dyDescent="0.3">
      <c r="A228" s="4">
        <v>38260</v>
      </c>
      <c r="B228" s="3" t="s">
        <v>616</v>
      </c>
      <c r="C228" s="3" t="s">
        <v>61</v>
      </c>
      <c r="D228" s="3" t="s">
        <v>62</v>
      </c>
      <c r="E228" s="3" t="s">
        <v>261</v>
      </c>
      <c r="F228" s="51">
        <v>42840</v>
      </c>
      <c r="G228" s="53">
        <v>9.0000000000000011E-2</v>
      </c>
      <c r="H228" s="52">
        <v>963.90000000000009</v>
      </c>
    </row>
    <row r="229" spans="1:8" ht="15.6" x14ac:dyDescent="0.3">
      <c r="A229" s="4">
        <v>38260</v>
      </c>
      <c r="B229" s="3" t="s">
        <v>616</v>
      </c>
      <c r="C229" s="3" t="s">
        <v>61</v>
      </c>
      <c r="D229" s="3" t="s">
        <v>66</v>
      </c>
      <c r="E229" s="3" t="s">
        <v>265</v>
      </c>
      <c r="F229" s="51">
        <v>38955</v>
      </c>
      <c r="G229" s="53">
        <v>9.5000000000000001E-2</v>
      </c>
      <c r="H229" s="52">
        <v>925.18124999999998</v>
      </c>
    </row>
    <row r="230" spans="1:8" ht="15.6" x14ac:dyDescent="0.3">
      <c r="A230" s="4">
        <v>38260</v>
      </c>
      <c r="B230" s="3" t="s">
        <v>616</v>
      </c>
      <c r="C230" s="3" t="s">
        <v>61</v>
      </c>
      <c r="D230" s="3" t="s">
        <v>65</v>
      </c>
      <c r="E230" s="3" t="s">
        <v>264</v>
      </c>
      <c r="F230" s="51">
        <v>15720</v>
      </c>
      <c r="G230" s="53">
        <v>9.5000000000000001E-2</v>
      </c>
      <c r="H230" s="52">
        <v>373.35</v>
      </c>
    </row>
    <row r="231" spans="1:8" ht="15.6" x14ac:dyDescent="0.3">
      <c r="A231" s="4">
        <v>38260</v>
      </c>
      <c r="B231" s="3" t="s">
        <v>616</v>
      </c>
      <c r="C231" s="3" t="s">
        <v>61</v>
      </c>
      <c r="D231" s="3" t="s">
        <v>64</v>
      </c>
      <c r="E231" s="3" t="s">
        <v>263</v>
      </c>
      <c r="F231" s="51">
        <v>8995</v>
      </c>
      <c r="G231" s="53">
        <v>0.1</v>
      </c>
      <c r="H231" s="52">
        <v>224.875</v>
      </c>
    </row>
    <row r="232" spans="1:8" ht="15.6" x14ac:dyDescent="0.3">
      <c r="A232" s="4">
        <v>38260</v>
      </c>
      <c r="B232" s="3" t="s">
        <v>616</v>
      </c>
      <c r="C232" s="3" t="s">
        <v>61</v>
      </c>
      <c r="D232" s="3" t="s">
        <v>63</v>
      </c>
      <c r="E232" s="3" t="s">
        <v>262</v>
      </c>
      <c r="F232" s="51">
        <v>15720</v>
      </c>
      <c r="G232" s="53">
        <v>0.1</v>
      </c>
      <c r="H232" s="52">
        <v>393</v>
      </c>
    </row>
    <row r="233" spans="1:8" ht="15.6" x14ac:dyDescent="0.3">
      <c r="A233" s="4">
        <v>38352</v>
      </c>
      <c r="B233" s="3" t="s">
        <v>617</v>
      </c>
      <c r="C233" s="3" t="s">
        <v>32</v>
      </c>
      <c r="D233" s="3" t="s">
        <v>34</v>
      </c>
      <c r="E233" s="3" t="s">
        <v>246</v>
      </c>
      <c r="F233" s="51">
        <v>361840</v>
      </c>
      <c r="G233" s="53">
        <v>0.13500000000000001</v>
      </c>
      <c r="H233" s="52">
        <v>12212.1</v>
      </c>
    </row>
    <row r="234" spans="1:8" ht="15.6" x14ac:dyDescent="0.3">
      <c r="A234" s="4">
        <v>38352</v>
      </c>
      <c r="B234" s="3" t="s">
        <v>617</v>
      </c>
      <c r="C234" s="3" t="s">
        <v>32</v>
      </c>
      <c r="D234" s="3" t="s">
        <v>44</v>
      </c>
      <c r="E234" s="3" t="s">
        <v>252</v>
      </c>
      <c r="F234" s="51">
        <v>142065</v>
      </c>
      <c r="G234" s="53">
        <v>0.125</v>
      </c>
      <c r="H234" s="52">
        <v>4439.53125</v>
      </c>
    </row>
    <row r="235" spans="1:8" ht="15.6" x14ac:dyDescent="0.3">
      <c r="A235" s="4">
        <v>38352</v>
      </c>
      <c r="B235" s="3" t="s">
        <v>617</v>
      </c>
      <c r="C235" s="3" t="s">
        <v>32</v>
      </c>
      <c r="D235" s="3" t="s">
        <v>33</v>
      </c>
      <c r="E235" s="3" t="s">
        <v>245</v>
      </c>
      <c r="F235" s="51">
        <v>263840</v>
      </c>
      <c r="G235" s="53">
        <v>0.13</v>
      </c>
      <c r="H235" s="52">
        <v>8574.8000000000011</v>
      </c>
    </row>
    <row r="236" spans="1:8" ht="15.6" x14ac:dyDescent="0.3">
      <c r="A236" s="4">
        <v>38352</v>
      </c>
      <c r="B236" s="3" t="s">
        <v>617</v>
      </c>
      <c r="C236" s="3" t="s">
        <v>32</v>
      </c>
      <c r="D236" s="3" t="s">
        <v>45</v>
      </c>
      <c r="E236" s="3" t="s">
        <v>253</v>
      </c>
      <c r="F236" s="51">
        <v>66360</v>
      </c>
      <c r="G236" s="53">
        <v>0.11</v>
      </c>
      <c r="H236" s="52">
        <v>1824.9</v>
      </c>
    </row>
    <row r="237" spans="1:8" ht="15.6" x14ac:dyDescent="0.3">
      <c r="A237" s="4">
        <v>38352</v>
      </c>
      <c r="B237" s="3" t="s">
        <v>617</v>
      </c>
      <c r="C237" s="3" t="s">
        <v>32</v>
      </c>
      <c r="D237" s="3" t="s">
        <v>46</v>
      </c>
      <c r="E237" s="3" t="s">
        <v>254</v>
      </c>
      <c r="F237" s="51">
        <v>253530</v>
      </c>
      <c r="G237" s="53">
        <v>0.12000000000000001</v>
      </c>
      <c r="H237" s="52">
        <v>7605.9000000000005</v>
      </c>
    </row>
    <row r="238" spans="1:8" ht="15.6" x14ac:dyDescent="0.3">
      <c r="A238" s="4">
        <v>38352</v>
      </c>
      <c r="B238" s="3" t="s">
        <v>617</v>
      </c>
      <c r="C238" s="3" t="s">
        <v>17</v>
      </c>
      <c r="D238" s="3" t="s">
        <v>20</v>
      </c>
      <c r="E238" s="3" t="s">
        <v>242</v>
      </c>
      <c r="F238" s="51">
        <v>244656</v>
      </c>
      <c r="G238" s="53">
        <v>8.5000000000000006E-2</v>
      </c>
      <c r="H238" s="52">
        <v>5198.9400000000005</v>
      </c>
    </row>
    <row r="239" spans="1:8" ht="15.6" x14ac:dyDescent="0.3">
      <c r="A239" s="4">
        <v>38352</v>
      </c>
      <c r="B239" s="3" t="s">
        <v>617</v>
      </c>
      <c r="C239" s="3" t="s">
        <v>17</v>
      </c>
      <c r="D239" s="3" t="s">
        <v>18</v>
      </c>
      <c r="E239" s="3" t="s">
        <v>241</v>
      </c>
      <c r="F239" s="51">
        <v>23070</v>
      </c>
      <c r="G239" s="53">
        <v>9.5000000000000001E-2</v>
      </c>
      <c r="H239" s="52">
        <v>547.91250000000002</v>
      </c>
    </row>
    <row r="240" spans="1:8" ht="15.6" x14ac:dyDescent="0.3">
      <c r="A240" s="4">
        <v>38352</v>
      </c>
      <c r="B240" s="3" t="s">
        <v>617</v>
      </c>
      <c r="C240" s="3" t="s">
        <v>17</v>
      </c>
      <c r="D240" s="3" t="s">
        <v>82</v>
      </c>
      <c r="E240" s="3" t="s">
        <v>270</v>
      </c>
      <c r="F240" s="51">
        <v>66975</v>
      </c>
      <c r="G240" s="53">
        <v>0.08</v>
      </c>
      <c r="H240" s="52">
        <v>1339.5</v>
      </c>
    </row>
    <row r="241" spans="1:8" ht="15.6" x14ac:dyDescent="0.3">
      <c r="A241" s="4">
        <v>38352</v>
      </c>
      <c r="B241" s="3" t="s">
        <v>617</v>
      </c>
      <c r="C241" s="3" t="s">
        <v>17</v>
      </c>
      <c r="D241" s="3" t="s">
        <v>26</v>
      </c>
      <c r="E241" s="3" t="s">
        <v>244</v>
      </c>
      <c r="F241" s="51">
        <v>93420</v>
      </c>
      <c r="G241" s="53">
        <v>7.4999999999999997E-2</v>
      </c>
      <c r="H241" s="52">
        <v>1751.625</v>
      </c>
    </row>
    <row r="242" spans="1:8" ht="15.6" x14ac:dyDescent="0.3">
      <c r="A242" s="4">
        <v>38352</v>
      </c>
      <c r="B242" s="3" t="s">
        <v>617</v>
      </c>
      <c r="C242" s="3" t="s">
        <v>17</v>
      </c>
      <c r="D242" s="3" t="s">
        <v>52</v>
      </c>
      <c r="E242" s="3" t="s">
        <v>256</v>
      </c>
      <c r="F242" s="51">
        <v>29565</v>
      </c>
      <c r="G242" s="53">
        <v>9.0000000000000011E-2</v>
      </c>
      <c r="H242" s="52">
        <v>665.21250000000009</v>
      </c>
    </row>
    <row r="243" spans="1:8" ht="15.6" x14ac:dyDescent="0.3">
      <c r="A243" s="4">
        <v>38352</v>
      </c>
      <c r="B243" s="3" t="s">
        <v>617</v>
      </c>
      <c r="C243" s="3" t="s">
        <v>17</v>
      </c>
      <c r="D243" s="3" t="s">
        <v>21</v>
      </c>
      <c r="E243" s="3" t="s">
        <v>243</v>
      </c>
      <c r="F243" s="51">
        <v>69520</v>
      </c>
      <c r="G243" s="53">
        <v>6.5000000000000002E-2</v>
      </c>
      <c r="H243" s="52">
        <v>1129.7</v>
      </c>
    </row>
    <row r="244" spans="1:8" ht="15.6" x14ac:dyDescent="0.3">
      <c r="A244" s="4">
        <v>38352</v>
      </c>
      <c r="B244" s="3" t="s">
        <v>617</v>
      </c>
      <c r="C244" s="3" t="s">
        <v>47</v>
      </c>
      <c r="D244" s="3" t="s">
        <v>48</v>
      </c>
      <c r="E244" s="3" t="s">
        <v>255</v>
      </c>
      <c r="F244" s="51">
        <v>39480</v>
      </c>
      <c r="G244" s="53">
        <v>7.4999999999999997E-2</v>
      </c>
      <c r="H244" s="52">
        <v>740.25</v>
      </c>
    </row>
    <row r="245" spans="1:8" ht="15.6" x14ac:dyDescent="0.3">
      <c r="A245" s="4">
        <v>38352</v>
      </c>
      <c r="B245" s="3" t="s">
        <v>617</v>
      </c>
      <c r="C245" s="3" t="s">
        <v>47</v>
      </c>
      <c r="D245" s="3" t="s">
        <v>119</v>
      </c>
      <c r="E245" s="3" t="s">
        <v>272</v>
      </c>
      <c r="F245" s="51">
        <v>21000</v>
      </c>
      <c r="G245" s="53">
        <v>7.0000000000000007E-2</v>
      </c>
      <c r="H245" s="52">
        <v>367.50000000000006</v>
      </c>
    </row>
    <row r="246" spans="1:8" ht="15.6" x14ac:dyDescent="0.3">
      <c r="A246" s="4">
        <v>38352</v>
      </c>
      <c r="B246" s="3" t="s">
        <v>617</v>
      </c>
      <c r="C246" s="3" t="s">
        <v>47</v>
      </c>
      <c r="D246" s="3" t="s">
        <v>53</v>
      </c>
      <c r="E246" s="3" t="s">
        <v>257</v>
      </c>
      <c r="F246" s="51">
        <v>31230</v>
      </c>
      <c r="G246" s="53">
        <v>0.08</v>
      </c>
      <c r="H246" s="52">
        <v>624.6</v>
      </c>
    </row>
    <row r="247" spans="1:8" ht="15.6" x14ac:dyDescent="0.3">
      <c r="A247" s="4">
        <v>38352</v>
      </c>
      <c r="B247" s="3" t="s">
        <v>617</v>
      </c>
      <c r="C247" s="3" t="s">
        <v>54</v>
      </c>
      <c r="D247" s="3" t="s">
        <v>57</v>
      </c>
      <c r="E247" s="3" t="s">
        <v>260</v>
      </c>
      <c r="F247" s="51">
        <v>209220</v>
      </c>
      <c r="G247" s="53">
        <v>0.11</v>
      </c>
      <c r="H247" s="52">
        <v>5753.55</v>
      </c>
    </row>
    <row r="248" spans="1:8" ht="15.6" x14ac:dyDescent="0.3">
      <c r="A248" s="4">
        <v>38352</v>
      </c>
      <c r="B248" s="3" t="s">
        <v>617</v>
      </c>
      <c r="C248" s="3" t="s">
        <v>54</v>
      </c>
      <c r="D248" s="3" t="s">
        <v>56</v>
      </c>
      <c r="E248" s="3" t="s">
        <v>259</v>
      </c>
      <c r="F248" s="51">
        <v>236250</v>
      </c>
      <c r="G248" s="53">
        <v>0.11</v>
      </c>
      <c r="H248" s="52">
        <v>6496.875</v>
      </c>
    </row>
    <row r="249" spans="1:8" ht="15.6" x14ac:dyDescent="0.3">
      <c r="A249" s="4">
        <v>38352</v>
      </c>
      <c r="B249" s="3" t="s">
        <v>617</v>
      </c>
      <c r="C249" s="3" t="s">
        <v>54</v>
      </c>
      <c r="D249" s="3" t="s">
        <v>55</v>
      </c>
      <c r="E249" s="3" t="s">
        <v>258</v>
      </c>
      <c r="F249" s="51">
        <v>172980</v>
      </c>
      <c r="G249" s="53">
        <v>0.10500000000000001</v>
      </c>
      <c r="H249" s="52">
        <v>4540.7250000000004</v>
      </c>
    </row>
    <row r="250" spans="1:8" ht="15.6" x14ac:dyDescent="0.3">
      <c r="A250" s="4">
        <v>38352</v>
      </c>
      <c r="B250" s="3" t="s">
        <v>617</v>
      </c>
      <c r="C250" s="3" t="s">
        <v>54</v>
      </c>
      <c r="D250" s="3" t="s">
        <v>166</v>
      </c>
      <c r="E250" s="3" t="s">
        <v>273</v>
      </c>
      <c r="F250" s="51">
        <v>88960</v>
      </c>
      <c r="G250" s="53">
        <v>0.1</v>
      </c>
      <c r="H250" s="52">
        <v>2224</v>
      </c>
    </row>
    <row r="251" spans="1:8" ht="15.6" x14ac:dyDescent="0.3">
      <c r="A251" s="4">
        <v>38352</v>
      </c>
      <c r="B251" s="3" t="s">
        <v>617</v>
      </c>
      <c r="C251" s="3" t="s">
        <v>68</v>
      </c>
      <c r="D251" s="3" t="s">
        <v>69</v>
      </c>
      <c r="E251" s="3" t="s">
        <v>266</v>
      </c>
      <c r="F251" s="51">
        <v>56725</v>
      </c>
      <c r="G251" s="53">
        <v>0.12000000000000001</v>
      </c>
      <c r="H251" s="52">
        <v>1701.7500000000002</v>
      </c>
    </row>
    <row r="252" spans="1:8" ht="15.6" x14ac:dyDescent="0.3">
      <c r="A252" s="4">
        <v>38352</v>
      </c>
      <c r="B252" s="3" t="s">
        <v>617</v>
      </c>
      <c r="C252" s="3" t="s">
        <v>68</v>
      </c>
      <c r="D252" s="3" t="s">
        <v>76</v>
      </c>
      <c r="E252" s="3" t="s">
        <v>269</v>
      </c>
      <c r="F252" s="51">
        <v>25380</v>
      </c>
      <c r="G252" s="53">
        <v>0.115</v>
      </c>
      <c r="H252" s="52">
        <v>729.67500000000007</v>
      </c>
    </row>
    <row r="253" spans="1:8" ht="15.6" x14ac:dyDescent="0.3">
      <c r="A253" s="4">
        <v>38352</v>
      </c>
      <c r="B253" s="3" t="s">
        <v>617</v>
      </c>
      <c r="C253" s="3" t="s">
        <v>68</v>
      </c>
      <c r="D253" s="3" t="s">
        <v>108</v>
      </c>
      <c r="E253" s="3" t="s">
        <v>271</v>
      </c>
      <c r="F253" s="51">
        <v>18810</v>
      </c>
      <c r="G253" s="53">
        <v>0.11</v>
      </c>
      <c r="H253" s="52">
        <v>517.27499999999998</v>
      </c>
    </row>
    <row r="254" spans="1:8" ht="15.6" x14ac:dyDescent="0.3">
      <c r="A254" s="4">
        <v>38352</v>
      </c>
      <c r="B254" s="3" t="s">
        <v>617</v>
      </c>
      <c r="C254" s="3" t="s">
        <v>68</v>
      </c>
      <c r="D254" s="3" t="s">
        <v>70</v>
      </c>
      <c r="E254" s="3" t="s">
        <v>267</v>
      </c>
      <c r="F254" s="51">
        <v>89100</v>
      </c>
      <c r="G254" s="53">
        <v>0.10500000000000001</v>
      </c>
      <c r="H254" s="52">
        <v>2338.875</v>
      </c>
    </row>
    <row r="255" spans="1:8" ht="15.6" x14ac:dyDescent="0.3">
      <c r="A255" s="4">
        <v>38352</v>
      </c>
      <c r="B255" s="3" t="s">
        <v>617</v>
      </c>
      <c r="C255" s="3" t="s">
        <v>68</v>
      </c>
      <c r="D255" s="3" t="s">
        <v>75</v>
      </c>
      <c r="E255" s="3" t="s">
        <v>268</v>
      </c>
      <c r="F255" s="51">
        <v>13125</v>
      </c>
      <c r="G255" s="53">
        <v>0.1</v>
      </c>
      <c r="H255" s="52">
        <v>328.125</v>
      </c>
    </row>
    <row r="256" spans="1:8" ht="15.6" x14ac:dyDescent="0.3">
      <c r="A256" s="4">
        <v>38352</v>
      </c>
      <c r="B256" s="3" t="s">
        <v>617</v>
      </c>
      <c r="C256" s="3" t="s">
        <v>35</v>
      </c>
      <c r="D256" s="3" t="s">
        <v>39</v>
      </c>
      <c r="E256" s="3" t="s">
        <v>250</v>
      </c>
      <c r="F256" s="51">
        <v>28620</v>
      </c>
      <c r="G256" s="53">
        <v>0.125</v>
      </c>
      <c r="H256" s="52">
        <v>894.375</v>
      </c>
    </row>
    <row r="257" spans="1:8" ht="15.6" x14ac:dyDescent="0.3">
      <c r="A257" s="4">
        <v>38352</v>
      </c>
      <c r="B257" s="3" t="s">
        <v>617</v>
      </c>
      <c r="C257" s="3" t="s">
        <v>35</v>
      </c>
      <c r="D257" s="3" t="s">
        <v>40</v>
      </c>
      <c r="E257" s="3" t="s">
        <v>251</v>
      </c>
      <c r="F257" s="51">
        <v>34200</v>
      </c>
      <c r="G257" s="53">
        <v>0.11</v>
      </c>
      <c r="H257" s="52">
        <v>940.5</v>
      </c>
    </row>
    <row r="258" spans="1:8" ht="15.6" x14ac:dyDescent="0.3">
      <c r="A258" s="4">
        <v>38352</v>
      </c>
      <c r="B258" s="3" t="s">
        <v>617</v>
      </c>
      <c r="C258" s="3" t="s">
        <v>35</v>
      </c>
      <c r="D258" s="3" t="s">
        <v>37</v>
      </c>
      <c r="E258" s="3" t="s">
        <v>248</v>
      </c>
      <c r="F258" s="51">
        <v>8130</v>
      </c>
      <c r="G258" s="53">
        <v>0.08</v>
      </c>
      <c r="H258" s="52">
        <v>162.6</v>
      </c>
    </row>
    <row r="259" spans="1:8" ht="15.6" x14ac:dyDescent="0.3">
      <c r="A259" s="4">
        <v>38352</v>
      </c>
      <c r="B259" s="3" t="s">
        <v>617</v>
      </c>
      <c r="C259" s="3" t="s">
        <v>35</v>
      </c>
      <c r="D259" s="3" t="s">
        <v>38</v>
      </c>
      <c r="E259" s="3" t="s">
        <v>249</v>
      </c>
      <c r="F259" s="51">
        <v>29100</v>
      </c>
      <c r="G259" s="53">
        <v>0.10500000000000001</v>
      </c>
      <c r="H259" s="52">
        <v>763.87500000000011</v>
      </c>
    </row>
    <row r="260" spans="1:8" ht="15.6" x14ac:dyDescent="0.3">
      <c r="A260" s="4">
        <v>38352</v>
      </c>
      <c r="B260" s="3" t="s">
        <v>617</v>
      </c>
      <c r="C260" s="3" t="s">
        <v>35</v>
      </c>
      <c r="D260" s="3" t="s">
        <v>36</v>
      </c>
      <c r="E260" s="3" t="s">
        <v>247</v>
      </c>
      <c r="F260" s="51">
        <v>9180</v>
      </c>
      <c r="G260" s="53">
        <v>0.06</v>
      </c>
      <c r="H260" s="52">
        <v>137.69999999999999</v>
      </c>
    </row>
    <row r="261" spans="1:8" ht="15.6" x14ac:dyDescent="0.3">
      <c r="A261" s="4">
        <v>38352</v>
      </c>
      <c r="B261" s="3" t="s">
        <v>617</v>
      </c>
      <c r="C261" s="3" t="s">
        <v>61</v>
      </c>
      <c r="D261" s="3" t="s">
        <v>62</v>
      </c>
      <c r="E261" s="3" t="s">
        <v>261</v>
      </c>
      <c r="F261" s="51">
        <v>42840</v>
      </c>
      <c r="G261" s="53">
        <v>9.0000000000000011E-2</v>
      </c>
      <c r="H261" s="52">
        <v>963.90000000000009</v>
      </c>
    </row>
    <row r="262" spans="1:8" ht="15.6" x14ac:dyDescent="0.3">
      <c r="A262" s="4">
        <v>38352</v>
      </c>
      <c r="B262" s="3" t="s">
        <v>617</v>
      </c>
      <c r="C262" s="3" t="s">
        <v>61</v>
      </c>
      <c r="D262" s="3" t="s">
        <v>66</v>
      </c>
      <c r="E262" s="3" t="s">
        <v>265</v>
      </c>
      <c r="F262" s="51">
        <v>38955</v>
      </c>
      <c r="G262" s="53">
        <v>9.5000000000000001E-2</v>
      </c>
      <c r="H262" s="52">
        <v>925.18124999999998</v>
      </c>
    </row>
    <row r="263" spans="1:8" ht="15.6" x14ac:dyDescent="0.3">
      <c r="A263" s="4">
        <v>38352</v>
      </c>
      <c r="B263" s="3" t="s">
        <v>617</v>
      </c>
      <c r="C263" s="3" t="s">
        <v>61</v>
      </c>
      <c r="D263" s="3" t="s">
        <v>65</v>
      </c>
      <c r="E263" s="3" t="s">
        <v>264</v>
      </c>
      <c r="F263" s="51">
        <v>15720</v>
      </c>
      <c r="G263" s="53">
        <v>9.5000000000000001E-2</v>
      </c>
      <c r="H263" s="52">
        <v>373.35</v>
      </c>
    </row>
    <row r="264" spans="1:8" ht="15.6" x14ac:dyDescent="0.3">
      <c r="A264" s="4">
        <v>38352</v>
      </c>
      <c r="B264" s="3" t="s">
        <v>617</v>
      </c>
      <c r="C264" s="3" t="s">
        <v>61</v>
      </c>
      <c r="D264" s="3" t="s">
        <v>64</v>
      </c>
      <c r="E264" s="3" t="s">
        <v>263</v>
      </c>
      <c r="F264" s="51">
        <v>8995</v>
      </c>
      <c r="G264" s="53">
        <v>0.1</v>
      </c>
      <c r="H264" s="52">
        <v>224.875</v>
      </c>
    </row>
    <row r="265" spans="1:8" ht="15.6" x14ac:dyDescent="0.3">
      <c r="A265" s="4">
        <v>38352</v>
      </c>
      <c r="B265" s="3" t="s">
        <v>617</v>
      </c>
      <c r="C265" s="3" t="s">
        <v>61</v>
      </c>
      <c r="D265" s="3" t="s">
        <v>63</v>
      </c>
      <c r="E265" s="3" t="s">
        <v>262</v>
      </c>
      <c r="F265" s="51">
        <v>15720</v>
      </c>
      <c r="G265" s="53">
        <v>0.1</v>
      </c>
      <c r="H265" s="52">
        <v>393</v>
      </c>
    </row>
    <row r="266" spans="1:8" ht="15.6" x14ac:dyDescent="0.3">
      <c r="A266" s="4">
        <v>38442</v>
      </c>
      <c r="B266" s="3" t="s">
        <v>614</v>
      </c>
      <c r="C266" s="3" t="s">
        <v>32</v>
      </c>
      <c r="D266" s="3" t="s">
        <v>34</v>
      </c>
      <c r="E266" s="3" t="s">
        <v>246</v>
      </c>
      <c r="F266" s="51">
        <v>138560</v>
      </c>
      <c r="G266" s="53">
        <v>7.5000000000000011E-2</v>
      </c>
      <c r="H266" s="52">
        <v>2598.0000000000005</v>
      </c>
    </row>
    <row r="267" spans="1:8" ht="15.6" x14ac:dyDescent="0.3">
      <c r="A267" s="4">
        <v>38442</v>
      </c>
      <c r="B267" s="3" t="s">
        <v>614</v>
      </c>
      <c r="C267" s="3" t="s">
        <v>32</v>
      </c>
      <c r="D267" s="3" t="s">
        <v>44</v>
      </c>
      <c r="E267" s="3" t="s">
        <v>252</v>
      </c>
      <c r="F267" s="51">
        <v>89210</v>
      </c>
      <c r="G267" s="53">
        <v>6.5000000000000002E-2</v>
      </c>
      <c r="H267" s="52">
        <v>1449.6625000000001</v>
      </c>
    </row>
    <row r="268" spans="1:8" ht="15.6" x14ac:dyDescent="0.3">
      <c r="A268" s="4">
        <v>38442</v>
      </c>
      <c r="B268" s="3" t="s">
        <v>614</v>
      </c>
      <c r="C268" s="3" t="s">
        <v>32</v>
      </c>
      <c r="D268" s="3" t="s">
        <v>33</v>
      </c>
      <c r="E268" s="3" t="s">
        <v>245</v>
      </c>
      <c r="F268" s="51">
        <v>180540</v>
      </c>
      <c r="G268" s="53">
        <v>7.0000000000000007E-2</v>
      </c>
      <c r="H268" s="52">
        <v>3159.4500000000003</v>
      </c>
    </row>
    <row r="269" spans="1:8" ht="15.6" x14ac:dyDescent="0.3">
      <c r="A269" s="4">
        <v>38442</v>
      </c>
      <c r="B269" s="3" t="s">
        <v>614</v>
      </c>
      <c r="C269" s="3" t="s">
        <v>32</v>
      </c>
      <c r="D269" s="3" t="s">
        <v>45</v>
      </c>
      <c r="E269" s="3" t="s">
        <v>253</v>
      </c>
      <c r="F269" s="51">
        <v>48300</v>
      </c>
      <c r="G269" s="53">
        <v>0.05</v>
      </c>
      <c r="H269" s="52">
        <v>603.75</v>
      </c>
    </row>
    <row r="270" spans="1:8" ht="15.6" x14ac:dyDescent="0.3">
      <c r="A270" s="4">
        <v>38442</v>
      </c>
      <c r="B270" s="3" t="s">
        <v>614</v>
      </c>
      <c r="C270" s="3" t="s">
        <v>32</v>
      </c>
      <c r="D270" s="3" t="s">
        <v>46</v>
      </c>
      <c r="E270" s="3" t="s">
        <v>254</v>
      </c>
      <c r="F270" s="51">
        <v>222120</v>
      </c>
      <c r="G270" s="53">
        <v>6.0000000000000012E-2</v>
      </c>
      <c r="H270" s="52">
        <v>3331.8000000000006</v>
      </c>
    </row>
    <row r="271" spans="1:8" ht="15.6" x14ac:dyDescent="0.3">
      <c r="A271" s="4">
        <v>38442</v>
      </c>
      <c r="B271" s="3" t="s">
        <v>614</v>
      </c>
      <c r="C271" s="3" t="s">
        <v>17</v>
      </c>
      <c r="D271" s="3" t="s">
        <v>20</v>
      </c>
      <c r="E271" s="3" t="s">
        <v>242</v>
      </c>
      <c r="F271" s="51">
        <v>126240</v>
      </c>
      <c r="G271" s="53">
        <v>2.5000000000000008E-2</v>
      </c>
      <c r="H271" s="52">
        <v>789.00000000000023</v>
      </c>
    </row>
    <row r="272" spans="1:8" ht="15.6" x14ac:dyDescent="0.3">
      <c r="A272" s="4">
        <v>38442</v>
      </c>
      <c r="B272" s="3" t="s">
        <v>614</v>
      </c>
      <c r="C272" s="3" t="s">
        <v>17</v>
      </c>
      <c r="D272" s="3" t="s">
        <v>18</v>
      </c>
      <c r="E272" s="3" t="s">
        <v>241</v>
      </c>
      <c r="F272" s="51">
        <v>11400</v>
      </c>
      <c r="G272" s="53">
        <v>3.5000000000000003E-2</v>
      </c>
      <c r="H272" s="52">
        <v>99.750000000000014</v>
      </c>
    </row>
    <row r="273" spans="1:8" ht="15.6" x14ac:dyDescent="0.3">
      <c r="A273" s="4">
        <v>38442</v>
      </c>
      <c r="B273" s="3" t="s">
        <v>614</v>
      </c>
      <c r="C273" s="3" t="s">
        <v>17</v>
      </c>
      <c r="D273" s="3" t="s">
        <v>82</v>
      </c>
      <c r="E273" s="3" t="s">
        <v>270</v>
      </c>
      <c r="F273" s="51">
        <v>36750</v>
      </c>
      <c r="G273" s="53">
        <v>2.0000000000000004E-2</v>
      </c>
      <c r="H273" s="52">
        <v>183.75000000000003</v>
      </c>
    </row>
    <row r="274" spans="1:8" ht="15.6" x14ac:dyDescent="0.3">
      <c r="A274" s="4">
        <v>38442</v>
      </c>
      <c r="B274" s="3" t="s">
        <v>614</v>
      </c>
      <c r="C274" s="3" t="s">
        <v>17</v>
      </c>
      <c r="D274" s="3" t="s">
        <v>26</v>
      </c>
      <c r="E274" s="3" t="s">
        <v>244</v>
      </c>
      <c r="F274" s="51">
        <v>39720</v>
      </c>
      <c r="G274" s="53">
        <v>1.4999999999999999E-2</v>
      </c>
      <c r="H274" s="52">
        <v>148.94999999999999</v>
      </c>
    </row>
    <row r="275" spans="1:8" ht="15.6" x14ac:dyDescent="0.3">
      <c r="A275" s="4">
        <v>38442</v>
      </c>
      <c r="B275" s="3" t="s">
        <v>614</v>
      </c>
      <c r="C275" s="3" t="s">
        <v>17</v>
      </c>
      <c r="D275" s="3" t="s">
        <v>52</v>
      </c>
      <c r="E275" s="3" t="s">
        <v>256</v>
      </c>
      <c r="F275" s="51">
        <v>12150</v>
      </c>
      <c r="G275" s="53">
        <v>3.0000000000000013E-2</v>
      </c>
      <c r="H275" s="52">
        <v>91.125000000000043</v>
      </c>
    </row>
    <row r="276" spans="1:8" ht="15.6" x14ac:dyDescent="0.3">
      <c r="A276" s="4">
        <v>38442</v>
      </c>
      <c r="B276" s="3" t="s">
        <v>614</v>
      </c>
      <c r="C276" s="3" t="s">
        <v>17</v>
      </c>
      <c r="D276" s="3" t="s">
        <v>21</v>
      </c>
      <c r="E276" s="3" t="s">
        <v>243</v>
      </c>
      <c r="F276" s="51">
        <v>21120</v>
      </c>
      <c r="G276" s="53">
        <v>5.0000000000000044E-3</v>
      </c>
      <c r="H276" s="52">
        <v>26.400000000000023</v>
      </c>
    </row>
    <row r="277" spans="1:8" ht="15.6" x14ac:dyDescent="0.3">
      <c r="A277" s="4">
        <v>38442</v>
      </c>
      <c r="B277" s="3" t="s">
        <v>614</v>
      </c>
      <c r="C277" s="3" t="s">
        <v>47</v>
      </c>
      <c r="D277" s="3" t="s">
        <v>48</v>
      </c>
      <c r="E277" s="3" t="s">
        <v>255</v>
      </c>
      <c r="F277" s="51">
        <v>22960</v>
      </c>
      <c r="G277" s="53">
        <v>1.4999999999999999E-2</v>
      </c>
      <c r="H277" s="52">
        <v>86.1</v>
      </c>
    </row>
    <row r="278" spans="1:8" ht="15.6" x14ac:dyDescent="0.3">
      <c r="A278" s="4">
        <v>38442</v>
      </c>
      <c r="B278" s="3" t="s">
        <v>614</v>
      </c>
      <c r="C278" s="3" t="s">
        <v>47</v>
      </c>
      <c r="D278" s="3" t="s">
        <v>119</v>
      </c>
      <c r="E278" s="3" t="s">
        <v>272</v>
      </c>
      <c r="F278" s="51">
        <v>17040</v>
      </c>
      <c r="G278" s="53">
        <v>1.0000000000000009E-2</v>
      </c>
      <c r="H278" s="52">
        <v>42.600000000000037</v>
      </c>
    </row>
    <row r="279" spans="1:8" ht="15.6" x14ac:dyDescent="0.3">
      <c r="A279" s="4">
        <v>38442</v>
      </c>
      <c r="B279" s="3" t="s">
        <v>614</v>
      </c>
      <c r="C279" s="3" t="s">
        <v>47</v>
      </c>
      <c r="D279" s="3" t="s">
        <v>53</v>
      </c>
      <c r="E279" s="3" t="s">
        <v>257</v>
      </c>
      <c r="F279" s="51">
        <v>9900</v>
      </c>
      <c r="G279" s="53">
        <v>2.0000000000000004E-2</v>
      </c>
      <c r="H279" s="52">
        <v>49.500000000000007</v>
      </c>
    </row>
    <row r="280" spans="1:8" ht="15.6" x14ac:dyDescent="0.3">
      <c r="A280" s="4">
        <v>38442</v>
      </c>
      <c r="B280" s="3" t="s">
        <v>614</v>
      </c>
      <c r="C280" s="3" t="s">
        <v>54</v>
      </c>
      <c r="D280" s="3" t="s">
        <v>57</v>
      </c>
      <c r="E280" s="3" t="s">
        <v>260</v>
      </c>
      <c r="F280" s="51">
        <v>130680</v>
      </c>
      <c r="G280" s="53">
        <v>0.05</v>
      </c>
      <c r="H280" s="52">
        <v>1633.5</v>
      </c>
    </row>
    <row r="281" spans="1:8" ht="15.6" x14ac:dyDescent="0.3">
      <c r="A281" s="4">
        <v>38442</v>
      </c>
      <c r="B281" s="3" t="s">
        <v>614</v>
      </c>
      <c r="C281" s="3" t="s">
        <v>54</v>
      </c>
      <c r="D281" s="3" t="s">
        <v>56</v>
      </c>
      <c r="E281" s="3" t="s">
        <v>259</v>
      </c>
      <c r="F281" s="51">
        <v>180500</v>
      </c>
      <c r="G281" s="53">
        <v>0.05</v>
      </c>
      <c r="H281" s="52">
        <v>2256.25</v>
      </c>
    </row>
    <row r="282" spans="1:8" ht="15.6" x14ac:dyDescent="0.3">
      <c r="A282" s="4">
        <v>38442</v>
      </c>
      <c r="B282" s="3" t="s">
        <v>614</v>
      </c>
      <c r="C282" s="3" t="s">
        <v>54</v>
      </c>
      <c r="D282" s="3" t="s">
        <v>55</v>
      </c>
      <c r="E282" s="3" t="s">
        <v>258</v>
      </c>
      <c r="F282" s="51">
        <v>51120</v>
      </c>
      <c r="G282" s="53">
        <v>4.5000000000000012E-2</v>
      </c>
      <c r="H282" s="52">
        <v>575.10000000000014</v>
      </c>
    </row>
    <row r="283" spans="1:8" ht="15.6" x14ac:dyDescent="0.3">
      <c r="A283" s="4">
        <v>38442</v>
      </c>
      <c r="B283" s="3" t="s">
        <v>614</v>
      </c>
      <c r="C283" s="3" t="s">
        <v>54</v>
      </c>
      <c r="D283" s="3" t="s">
        <v>166</v>
      </c>
      <c r="E283" s="3" t="s">
        <v>273</v>
      </c>
      <c r="F283" s="51">
        <v>7040</v>
      </c>
      <c r="G283" s="53">
        <v>4.0000000000000008E-2</v>
      </c>
      <c r="H283" s="52">
        <v>70.40000000000002</v>
      </c>
    </row>
    <row r="284" spans="1:8" ht="15.6" x14ac:dyDescent="0.3">
      <c r="A284" s="4">
        <v>38442</v>
      </c>
      <c r="B284" s="3" t="s">
        <v>614</v>
      </c>
      <c r="C284" s="3" t="s">
        <v>68</v>
      </c>
      <c r="D284" s="3" t="s">
        <v>69</v>
      </c>
      <c r="E284" s="3" t="s">
        <v>266</v>
      </c>
      <c r="F284" s="51">
        <v>37900</v>
      </c>
      <c r="G284" s="53">
        <v>6.0000000000000012E-2</v>
      </c>
      <c r="H284" s="52">
        <v>568.50000000000011</v>
      </c>
    </row>
    <row r="285" spans="1:8" ht="15.6" x14ac:dyDescent="0.3">
      <c r="A285" s="4">
        <v>38442</v>
      </c>
      <c r="B285" s="3" t="s">
        <v>614</v>
      </c>
      <c r="C285" s="3" t="s">
        <v>68</v>
      </c>
      <c r="D285" s="3" t="s">
        <v>76</v>
      </c>
      <c r="E285" s="3" t="s">
        <v>269</v>
      </c>
      <c r="F285" s="51">
        <v>7740</v>
      </c>
      <c r="G285" s="53">
        <v>5.5000000000000007E-2</v>
      </c>
      <c r="H285" s="52">
        <v>106.42500000000001</v>
      </c>
    </row>
    <row r="286" spans="1:8" ht="15.6" x14ac:dyDescent="0.3">
      <c r="A286" s="4">
        <v>38442</v>
      </c>
      <c r="B286" s="3" t="s">
        <v>614</v>
      </c>
      <c r="C286" s="3" t="s">
        <v>68</v>
      </c>
      <c r="D286" s="3" t="s">
        <v>108</v>
      </c>
      <c r="E286" s="3" t="s">
        <v>271</v>
      </c>
      <c r="F286" s="51">
        <v>17460</v>
      </c>
      <c r="G286" s="53">
        <v>0.05</v>
      </c>
      <c r="H286" s="52">
        <v>218.25</v>
      </c>
    </row>
    <row r="287" spans="1:8" ht="15.6" x14ac:dyDescent="0.3">
      <c r="A287" s="4">
        <v>38442</v>
      </c>
      <c r="B287" s="3" t="s">
        <v>614</v>
      </c>
      <c r="C287" s="3" t="s">
        <v>68</v>
      </c>
      <c r="D287" s="3" t="s">
        <v>70</v>
      </c>
      <c r="E287" s="3" t="s">
        <v>267</v>
      </c>
      <c r="F287" s="51">
        <v>64300</v>
      </c>
      <c r="G287" s="53">
        <v>4.5000000000000012E-2</v>
      </c>
      <c r="H287" s="52">
        <v>723.37500000000023</v>
      </c>
    </row>
    <row r="288" spans="1:8" ht="15.6" x14ac:dyDescent="0.3">
      <c r="A288" s="4">
        <v>38442</v>
      </c>
      <c r="B288" s="3" t="s">
        <v>614</v>
      </c>
      <c r="C288" s="3" t="s">
        <v>68</v>
      </c>
      <c r="D288" s="3" t="s">
        <v>75</v>
      </c>
      <c r="E288" s="3" t="s">
        <v>268</v>
      </c>
      <c r="F288" s="51">
        <v>14140</v>
      </c>
      <c r="G288" s="53">
        <v>4.0000000000000008E-2</v>
      </c>
      <c r="H288" s="52">
        <v>141.40000000000003</v>
      </c>
    </row>
    <row r="289" spans="1:8" ht="15.6" x14ac:dyDescent="0.3">
      <c r="A289" s="4">
        <v>38442</v>
      </c>
      <c r="B289" s="3" t="s">
        <v>614</v>
      </c>
      <c r="C289" s="3" t="s">
        <v>35</v>
      </c>
      <c r="D289" s="3" t="s">
        <v>39</v>
      </c>
      <c r="E289" s="3" t="s">
        <v>250</v>
      </c>
      <c r="F289" s="51">
        <v>26320</v>
      </c>
      <c r="G289" s="53">
        <v>6.5000000000000002E-2</v>
      </c>
      <c r="H289" s="52">
        <v>427.7</v>
      </c>
    </row>
    <row r="290" spans="1:8" ht="15.6" x14ac:dyDescent="0.3">
      <c r="A290" s="4">
        <v>38442</v>
      </c>
      <c r="B290" s="3" t="s">
        <v>614</v>
      </c>
      <c r="C290" s="3" t="s">
        <v>35</v>
      </c>
      <c r="D290" s="3" t="s">
        <v>40</v>
      </c>
      <c r="E290" s="3" t="s">
        <v>251</v>
      </c>
      <c r="F290" s="51">
        <v>10550</v>
      </c>
      <c r="G290" s="53">
        <v>0.05</v>
      </c>
      <c r="H290" s="52">
        <v>131.875</v>
      </c>
    </row>
    <row r="291" spans="1:8" ht="15.6" x14ac:dyDescent="0.3">
      <c r="A291" s="4">
        <v>38442</v>
      </c>
      <c r="B291" s="3" t="s">
        <v>614</v>
      </c>
      <c r="C291" s="3" t="s">
        <v>35</v>
      </c>
      <c r="D291" s="3" t="s">
        <v>37</v>
      </c>
      <c r="E291" s="3" t="s">
        <v>248</v>
      </c>
      <c r="F291" s="51">
        <v>2880</v>
      </c>
      <c r="G291" s="53">
        <v>5.5000000000000007E-2</v>
      </c>
      <c r="H291" s="52">
        <v>39.600000000000009</v>
      </c>
    </row>
    <row r="292" spans="1:8" ht="15.6" x14ac:dyDescent="0.3">
      <c r="A292" s="4">
        <v>38442</v>
      </c>
      <c r="B292" s="3" t="s">
        <v>614</v>
      </c>
      <c r="C292" s="3" t="s">
        <v>35</v>
      </c>
      <c r="D292" s="3" t="s">
        <v>38</v>
      </c>
      <c r="E292" s="3" t="s">
        <v>249</v>
      </c>
      <c r="F292" s="51">
        <v>12160</v>
      </c>
      <c r="G292" s="53">
        <v>4.5000000000000012E-2</v>
      </c>
      <c r="H292" s="52">
        <v>136.80000000000004</v>
      </c>
    </row>
    <row r="293" spans="1:8" ht="15.6" x14ac:dyDescent="0.3">
      <c r="A293" s="4">
        <v>38442</v>
      </c>
      <c r="B293" s="3" t="s">
        <v>614</v>
      </c>
      <c r="C293" s="3" t="s">
        <v>35</v>
      </c>
      <c r="D293" s="3" t="s">
        <v>36</v>
      </c>
      <c r="E293" s="3" t="s">
        <v>247</v>
      </c>
      <c r="F293" s="51">
        <v>6240</v>
      </c>
      <c r="G293" s="53">
        <v>4.0000000000000008E-2</v>
      </c>
      <c r="H293" s="52">
        <v>62.400000000000013</v>
      </c>
    </row>
    <row r="294" spans="1:8" ht="15.6" x14ac:dyDescent="0.3">
      <c r="A294" s="4">
        <v>38442</v>
      </c>
      <c r="B294" s="3" t="s">
        <v>614</v>
      </c>
      <c r="C294" s="3" t="s">
        <v>61</v>
      </c>
      <c r="D294" s="3" t="s">
        <v>62</v>
      </c>
      <c r="E294" s="3" t="s">
        <v>261</v>
      </c>
      <c r="F294" s="51">
        <v>21360</v>
      </c>
      <c r="G294" s="53">
        <v>3.0000000000000013E-2</v>
      </c>
      <c r="H294" s="52">
        <v>160.20000000000007</v>
      </c>
    </row>
    <row r="295" spans="1:8" ht="15.6" x14ac:dyDescent="0.3">
      <c r="A295" s="4">
        <v>38442</v>
      </c>
      <c r="B295" s="3" t="s">
        <v>614</v>
      </c>
      <c r="C295" s="3" t="s">
        <v>61</v>
      </c>
      <c r="D295" s="3" t="s">
        <v>66</v>
      </c>
      <c r="E295" s="3" t="s">
        <v>265</v>
      </c>
      <c r="F295" s="51">
        <v>17010</v>
      </c>
      <c r="G295" s="53">
        <v>3.5000000000000003E-2</v>
      </c>
      <c r="H295" s="52">
        <v>148.83750000000001</v>
      </c>
    </row>
    <row r="296" spans="1:8" ht="15.6" x14ac:dyDescent="0.3">
      <c r="A296" s="4">
        <v>38442</v>
      </c>
      <c r="B296" s="3" t="s">
        <v>614</v>
      </c>
      <c r="C296" s="3" t="s">
        <v>61</v>
      </c>
      <c r="D296" s="3" t="s">
        <v>65</v>
      </c>
      <c r="E296" s="3" t="s">
        <v>264</v>
      </c>
      <c r="F296" s="51">
        <v>11700</v>
      </c>
      <c r="G296" s="53">
        <v>3.5000000000000003E-2</v>
      </c>
      <c r="H296" s="52">
        <v>102.37500000000001</v>
      </c>
    </row>
    <row r="297" spans="1:8" ht="15.6" x14ac:dyDescent="0.3">
      <c r="A297" s="4">
        <v>38442</v>
      </c>
      <c r="B297" s="3" t="s">
        <v>614</v>
      </c>
      <c r="C297" s="3" t="s">
        <v>61</v>
      </c>
      <c r="D297" s="3" t="s">
        <v>64</v>
      </c>
      <c r="E297" s="3" t="s">
        <v>263</v>
      </c>
      <c r="F297" s="51">
        <v>7070</v>
      </c>
      <c r="G297" s="53">
        <v>4.0000000000000008E-2</v>
      </c>
      <c r="H297" s="52">
        <v>70.700000000000017</v>
      </c>
    </row>
    <row r="298" spans="1:8" ht="15.6" x14ac:dyDescent="0.3">
      <c r="A298" s="4">
        <v>38442</v>
      </c>
      <c r="B298" s="3" t="s">
        <v>614</v>
      </c>
      <c r="C298" s="3" t="s">
        <v>61</v>
      </c>
      <c r="D298" s="3" t="s">
        <v>63</v>
      </c>
      <c r="E298" s="3" t="s">
        <v>262</v>
      </c>
      <c r="F298" s="51">
        <v>8240</v>
      </c>
      <c r="G298" s="53">
        <v>4.0000000000000008E-2</v>
      </c>
      <c r="H298" s="52">
        <v>82.40000000000002</v>
      </c>
    </row>
    <row r="299" spans="1:8" ht="15.6" x14ac:dyDescent="0.3">
      <c r="A299" s="4">
        <v>38533</v>
      </c>
      <c r="B299" s="3" t="s">
        <v>615</v>
      </c>
      <c r="C299" s="3" t="s">
        <v>32</v>
      </c>
      <c r="D299" s="3" t="s">
        <v>34</v>
      </c>
      <c r="E299" s="3" t="s">
        <v>246</v>
      </c>
      <c r="F299" s="51">
        <v>138560</v>
      </c>
      <c r="G299" s="53">
        <v>7.5000000000000011E-2</v>
      </c>
      <c r="H299" s="52">
        <v>2598.0000000000005</v>
      </c>
    </row>
    <row r="300" spans="1:8" ht="15.6" x14ac:dyDescent="0.3">
      <c r="A300" s="4">
        <v>38533</v>
      </c>
      <c r="B300" s="3" t="s">
        <v>615</v>
      </c>
      <c r="C300" s="3" t="s">
        <v>32</v>
      </c>
      <c r="D300" s="3" t="s">
        <v>44</v>
      </c>
      <c r="E300" s="3" t="s">
        <v>252</v>
      </c>
      <c r="F300" s="51">
        <v>89210</v>
      </c>
      <c r="G300" s="53">
        <v>6.5000000000000002E-2</v>
      </c>
      <c r="H300" s="52">
        <v>1449.6625000000001</v>
      </c>
    </row>
    <row r="301" spans="1:8" ht="15.6" x14ac:dyDescent="0.3">
      <c r="A301" s="4">
        <v>38533</v>
      </c>
      <c r="B301" s="3" t="s">
        <v>615</v>
      </c>
      <c r="C301" s="3" t="s">
        <v>32</v>
      </c>
      <c r="D301" s="3" t="s">
        <v>33</v>
      </c>
      <c r="E301" s="3" t="s">
        <v>245</v>
      </c>
      <c r="F301" s="51">
        <v>180540</v>
      </c>
      <c r="G301" s="53">
        <v>7.0000000000000007E-2</v>
      </c>
      <c r="H301" s="52">
        <v>3159.4500000000003</v>
      </c>
    </row>
    <row r="302" spans="1:8" ht="15.6" x14ac:dyDescent="0.3">
      <c r="A302" s="4">
        <v>38533</v>
      </c>
      <c r="B302" s="3" t="s">
        <v>615</v>
      </c>
      <c r="C302" s="3" t="s">
        <v>32</v>
      </c>
      <c r="D302" s="3" t="s">
        <v>45</v>
      </c>
      <c r="E302" s="3" t="s">
        <v>253</v>
      </c>
      <c r="F302" s="51">
        <v>48300</v>
      </c>
      <c r="G302" s="53">
        <v>0.05</v>
      </c>
      <c r="H302" s="52">
        <v>603.75</v>
      </c>
    </row>
    <row r="303" spans="1:8" ht="15.6" x14ac:dyDescent="0.3">
      <c r="A303" s="4">
        <v>38533</v>
      </c>
      <c r="B303" s="3" t="s">
        <v>615</v>
      </c>
      <c r="C303" s="3" t="s">
        <v>32</v>
      </c>
      <c r="D303" s="3" t="s">
        <v>46</v>
      </c>
      <c r="E303" s="3" t="s">
        <v>254</v>
      </c>
      <c r="F303" s="51">
        <v>222120</v>
      </c>
      <c r="G303" s="53">
        <v>6.0000000000000012E-2</v>
      </c>
      <c r="H303" s="52">
        <v>3331.8000000000006</v>
      </c>
    </row>
    <row r="304" spans="1:8" ht="15.6" x14ac:dyDescent="0.3">
      <c r="A304" s="4">
        <v>38533</v>
      </c>
      <c r="B304" s="3" t="s">
        <v>615</v>
      </c>
      <c r="C304" s="3" t="s">
        <v>17</v>
      </c>
      <c r="D304" s="3" t="s">
        <v>20</v>
      </c>
      <c r="E304" s="3" t="s">
        <v>242</v>
      </c>
      <c r="F304" s="51">
        <v>126240</v>
      </c>
      <c r="G304" s="53">
        <v>2.5000000000000008E-2</v>
      </c>
      <c r="H304" s="52">
        <v>789.00000000000023</v>
      </c>
    </row>
    <row r="305" spans="1:8" ht="15.6" x14ac:dyDescent="0.3">
      <c r="A305" s="4">
        <v>38533</v>
      </c>
      <c r="B305" s="3" t="s">
        <v>615</v>
      </c>
      <c r="C305" s="3" t="s">
        <v>17</v>
      </c>
      <c r="D305" s="3" t="s">
        <v>18</v>
      </c>
      <c r="E305" s="3" t="s">
        <v>241</v>
      </c>
      <c r="F305" s="51">
        <v>11400</v>
      </c>
      <c r="G305" s="53">
        <v>3.5000000000000003E-2</v>
      </c>
      <c r="H305" s="52">
        <v>99.750000000000014</v>
      </c>
    </row>
    <row r="306" spans="1:8" ht="15.6" x14ac:dyDescent="0.3">
      <c r="A306" s="4">
        <v>38533</v>
      </c>
      <c r="B306" s="3" t="s">
        <v>615</v>
      </c>
      <c r="C306" s="3" t="s">
        <v>17</v>
      </c>
      <c r="D306" s="3" t="s">
        <v>82</v>
      </c>
      <c r="E306" s="3" t="s">
        <v>270</v>
      </c>
      <c r="F306" s="51">
        <v>36750</v>
      </c>
      <c r="G306" s="53">
        <v>2.0000000000000004E-2</v>
      </c>
      <c r="H306" s="52">
        <v>183.75000000000003</v>
      </c>
    </row>
    <row r="307" spans="1:8" ht="15.6" x14ac:dyDescent="0.3">
      <c r="A307" s="4">
        <v>38533</v>
      </c>
      <c r="B307" s="3" t="s">
        <v>615</v>
      </c>
      <c r="C307" s="3" t="s">
        <v>17</v>
      </c>
      <c r="D307" s="3" t="s">
        <v>26</v>
      </c>
      <c r="E307" s="3" t="s">
        <v>244</v>
      </c>
      <c r="F307" s="51">
        <v>39720</v>
      </c>
      <c r="G307" s="53">
        <v>1.4999999999999999E-2</v>
      </c>
      <c r="H307" s="52">
        <v>148.94999999999999</v>
      </c>
    </row>
    <row r="308" spans="1:8" ht="15.6" x14ac:dyDescent="0.3">
      <c r="A308" s="4">
        <v>38533</v>
      </c>
      <c r="B308" s="3" t="s">
        <v>615</v>
      </c>
      <c r="C308" s="3" t="s">
        <v>17</v>
      </c>
      <c r="D308" s="3" t="s">
        <v>52</v>
      </c>
      <c r="E308" s="3" t="s">
        <v>256</v>
      </c>
      <c r="F308" s="51">
        <v>12150</v>
      </c>
      <c r="G308" s="53">
        <v>3.0000000000000013E-2</v>
      </c>
      <c r="H308" s="52">
        <v>91.125000000000043</v>
      </c>
    </row>
    <row r="309" spans="1:8" ht="15.6" x14ac:dyDescent="0.3">
      <c r="A309" s="4">
        <v>38533</v>
      </c>
      <c r="B309" s="3" t="s">
        <v>615</v>
      </c>
      <c r="C309" s="3" t="s">
        <v>17</v>
      </c>
      <c r="D309" s="3" t="s">
        <v>21</v>
      </c>
      <c r="E309" s="3" t="s">
        <v>243</v>
      </c>
      <c r="F309" s="51">
        <v>21120</v>
      </c>
      <c r="G309" s="53">
        <v>5.0000000000000044E-3</v>
      </c>
      <c r="H309" s="52">
        <v>26.400000000000023</v>
      </c>
    </row>
    <row r="310" spans="1:8" ht="15.6" x14ac:dyDescent="0.3">
      <c r="A310" s="4">
        <v>38533</v>
      </c>
      <c r="B310" s="3" t="s">
        <v>615</v>
      </c>
      <c r="C310" s="3" t="s">
        <v>47</v>
      </c>
      <c r="D310" s="3" t="s">
        <v>48</v>
      </c>
      <c r="E310" s="3" t="s">
        <v>255</v>
      </c>
      <c r="F310" s="51">
        <v>22960</v>
      </c>
      <c r="G310" s="53">
        <v>1.4999999999999999E-2</v>
      </c>
      <c r="H310" s="52">
        <v>86.1</v>
      </c>
    </row>
    <row r="311" spans="1:8" ht="15.6" x14ac:dyDescent="0.3">
      <c r="A311" s="4">
        <v>38533</v>
      </c>
      <c r="B311" s="3" t="s">
        <v>615</v>
      </c>
      <c r="C311" s="3" t="s">
        <v>47</v>
      </c>
      <c r="D311" s="3" t="s">
        <v>119</v>
      </c>
      <c r="E311" s="3" t="s">
        <v>272</v>
      </c>
      <c r="F311" s="51">
        <v>17040</v>
      </c>
      <c r="G311" s="53">
        <v>1.0000000000000009E-2</v>
      </c>
      <c r="H311" s="52">
        <v>42.600000000000037</v>
      </c>
    </row>
    <row r="312" spans="1:8" ht="15.6" x14ac:dyDescent="0.3">
      <c r="A312" s="4">
        <v>38533</v>
      </c>
      <c r="B312" s="3" t="s">
        <v>615</v>
      </c>
      <c r="C312" s="3" t="s">
        <v>47</v>
      </c>
      <c r="D312" s="3" t="s">
        <v>53</v>
      </c>
      <c r="E312" s="3" t="s">
        <v>257</v>
      </c>
      <c r="F312" s="51">
        <v>9900</v>
      </c>
      <c r="G312" s="53">
        <v>2.0000000000000004E-2</v>
      </c>
      <c r="H312" s="52">
        <v>49.500000000000007</v>
      </c>
    </row>
    <row r="313" spans="1:8" ht="15.6" x14ac:dyDescent="0.3">
      <c r="A313" s="4">
        <v>38533</v>
      </c>
      <c r="B313" s="3" t="s">
        <v>615</v>
      </c>
      <c r="C313" s="3" t="s">
        <v>54</v>
      </c>
      <c r="D313" s="3" t="s">
        <v>57</v>
      </c>
      <c r="E313" s="3" t="s">
        <v>260</v>
      </c>
      <c r="F313" s="51">
        <v>130680</v>
      </c>
      <c r="G313" s="53">
        <v>0.05</v>
      </c>
      <c r="H313" s="52">
        <v>1633.5</v>
      </c>
    </row>
    <row r="314" spans="1:8" ht="15.6" x14ac:dyDescent="0.3">
      <c r="A314" s="4">
        <v>38533</v>
      </c>
      <c r="B314" s="3" t="s">
        <v>615</v>
      </c>
      <c r="C314" s="3" t="s">
        <v>54</v>
      </c>
      <c r="D314" s="3" t="s">
        <v>56</v>
      </c>
      <c r="E314" s="3" t="s">
        <v>259</v>
      </c>
      <c r="F314" s="51">
        <v>180500</v>
      </c>
      <c r="G314" s="53">
        <v>0.05</v>
      </c>
      <c r="H314" s="52">
        <v>2256.25</v>
      </c>
    </row>
    <row r="315" spans="1:8" ht="15.6" x14ac:dyDescent="0.3">
      <c r="A315" s="4">
        <v>38533</v>
      </c>
      <c r="B315" s="3" t="s">
        <v>615</v>
      </c>
      <c r="C315" s="3" t="s">
        <v>54</v>
      </c>
      <c r="D315" s="3" t="s">
        <v>55</v>
      </c>
      <c r="E315" s="3" t="s">
        <v>258</v>
      </c>
      <c r="F315" s="51">
        <v>51120</v>
      </c>
      <c r="G315" s="53">
        <v>4.5000000000000012E-2</v>
      </c>
      <c r="H315" s="52">
        <v>575.10000000000014</v>
      </c>
    </row>
    <row r="316" spans="1:8" ht="15.6" x14ac:dyDescent="0.3">
      <c r="A316" s="4">
        <v>38533</v>
      </c>
      <c r="B316" s="3" t="s">
        <v>615</v>
      </c>
      <c r="C316" s="3" t="s">
        <v>54</v>
      </c>
      <c r="D316" s="3" t="s">
        <v>166</v>
      </c>
      <c r="E316" s="3" t="s">
        <v>273</v>
      </c>
      <c r="F316" s="51">
        <v>7040</v>
      </c>
      <c r="G316" s="53">
        <v>4.0000000000000008E-2</v>
      </c>
      <c r="H316" s="52">
        <v>70.40000000000002</v>
      </c>
    </row>
    <row r="317" spans="1:8" ht="15.6" x14ac:dyDescent="0.3">
      <c r="A317" s="4">
        <v>38533</v>
      </c>
      <c r="B317" s="3" t="s">
        <v>615</v>
      </c>
      <c r="C317" s="3" t="s">
        <v>68</v>
      </c>
      <c r="D317" s="3" t="s">
        <v>69</v>
      </c>
      <c r="E317" s="3" t="s">
        <v>266</v>
      </c>
      <c r="F317" s="51">
        <v>37900</v>
      </c>
      <c r="G317" s="53">
        <v>6.0000000000000012E-2</v>
      </c>
      <c r="H317" s="52">
        <v>568.50000000000011</v>
      </c>
    </row>
    <row r="318" spans="1:8" ht="15.6" x14ac:dyDescent="0.3">
      <c r="A318" s="4">
        <v>38533</v>
      </c>
      <c r="B318" s="3" t="s">
        <v>615</v>
      </c>
      <c r="C318" s="3" t="s">
        <v>68</v>
      </c>
      <c r="D318" s="3" t="s">
        <v>76</v>
      </c>
      <c r="E318" s="3" t="s">
        <v>269</v>
      </c>
      <c r="F318" s="51">
        <v>7740</v>
      </c>
      <c r="G318" s="53">
        <v>5.5000000000000007E-2</v>
      </c>
      <c r="H318" s="52">
        <v>106.42500000000001</v>
      </c>
    </row>
    <row r="319" spans="1:8" ht="15.6" x14ac:dyDescent="0.3">
      <c r="A319" s="4">
        <v>38533</v>
      </c>
      <c r="B319" s="3" t="s">
        <v>615</v>
      </c>
      <c r="C319" s="3" t="s">
        <v>68</v>
      </c>
      <c r="D319" s="3" t="s">
        <v>108</v>
      </c>
      <c r="E319" s="3" t="s">
        <v>271</v>
      </c>
      <c r="F319" s="51">
        <v>17460</v>
      </c>
      <c r="G319" s="53">
        <v>0.05</v>
      </c>
      <c r="H319" s="52">
        <v>218.25</v>
      </c>
    </row>
    <row r="320" spans="1:8" ht="15.6" x14ac:dyDescent="0.3">
      <c r="A320" s="4">
        <v>38533</v>
      </c>
      <c r="B320" s="3" t="s">
        <v>615</v>
      </c>
      <c r="C320" s="3" t="s">
        <v>68</v>
      </c>
      <c r="D320" s="3" t="s">
        <v>70</v>
      </c>
      <c r="E320" s="3" t="s">
        <v>267</v>
      </c>
      <c r="F320" s="51">
        <v>64300</v>
      </c>
      <c r="G320" s="53">
        <v>4.5000000000000012E-2</v>
      </c>
      <c r="H320" s="52">
        <v>723.37500000000023</v>
      </c>
    </row>
    <row r="321" spans="1:8" ht="15.6" x14ac:dyDescent="0.3">
      <c r="A321" s="4">
        <v>38533</v>
      </c>
      <c r="B321" s="3" t="s">
        <v>615</v>
      </c>
      <c r="C321" s="3" t="s">
        <v>68</v>
      </c>
      <c r="D321" s="3" t="s">
        <v>75</v>
      </c>
      <c r="E321" s="3" t="s">
        <v>268</v>
      </c>
      <c r="F321" s="51">
        <v>14140</v>
      </c>
      <c r="G321" s="53">
        <v>4.0000000000000008E-2</v>
      </c>
      <c r="H321" s="52">
        <v>141.40000000000003</v>
      </c>
    </row>
    <row r="322" spans="1:8" ht="15.6" x14ac:dyDescent="0.3">
      <c r="A322" s="4">
        <v>38533</v>
      </c>
      <c r="B322" s="3" t="s">
        <v>615</v>
      </c>
      <c r="C322" s="3" t="s">
        <v>35</v>
      </c>
      <c r="D322" s="3" t="s">
        <v>39</v>
      </c>
      <c r="E322" s="3" t="s">
        <v>250</v>
      </c>
      <c r="F322" s="51">
        <v>26320</v>
      </c>
      <c r="G322" s="53">
        <v>6.5000000000000002E-2</v>
      </c>
      <c r="H322" s="52">
        <v>427.7</v>
      </c>
    </row>
    <row r="323" spans="1:8" ht="15.6" x14ac:dyDescent="0.3">
      <c r="A323" s="4">
        <v>38533</v>
      </c>
      <c r="B323" s="3" t="s">
        <v>615</v>
      </c>
      <c r="C323" s="3" t="s">
        <v>35</v>
      </c>
      <c r="D323" s="3" t="s">
        <v>40</v>
      </c>
      <c r="E323" s="3" t="s">
        <v>251</v>
      </c>
      <c r="F323" s="51">
        <v>10550</v>
      </c>
      <c r="G323" s="53">
        <v>0.05</v>
      </c>
      <c r="H323" s="52">
        <v>131.875</v>
      </c>
    </row>
    <row r="324" spans="1:8" ht="15.6" x14ac:dyDescent="0.3">
      <c r="A324" s="4">
        <v>38533</v>
      </c>
      <c r="B324" s="3" t="s">
        <v>615</v>
      </c>
      <c r="C324" s="3" t="s">
        <v>35</v>
      </c>
      <c r="D324" s="3" t="s">
        <v>37</v>
      </c>
      <c r="E324" s="3" t="s">
        <v>248</v>
      </c>
      <c r="F324" s="51">
        <v>2880</v>
      </c>
      <c r="G324" s="53">
        <v>5.5000000000000007E-2</v>
      </c>
      <c r="H324" s="52">
        <v>39.600000000000009</v>
      </c>
    </row>
    <row r="325" spans="1:8" ht="15.6" x14ac:dyDescent="0.3">
      <c r="A325" s="4">
        <v>38533</v>
      </c>
      <c r="B325" s="3" t="s">
        <v>615</v>
      </c>
      <c r="C325" s="3" t="s">
        <v>35</v>
      </c>
      <c r="D325" s="3" t="s">
        <v>38</v>
      </c>
      <c r="E325" s="3" t="s">
        <v>249</v>
      </c>
      <c r="F325" s="51">
        <v>12160</v>
      </c>
      <c r="G325" s="53">
        <v>4.5000000000000012E-2</v>
      </c>
      <c r="H325" s="52">
        <v>136.80000000000004</v>
      </c>
    </row>
    <row r="326" spans="1:8" ht="15.6" x14ac:dyDescent="0.3">
      <c r="A326" s="4">
        <v>38533</v>
      </c>
      <c r="B326" s="3" t="s">
        <v>615</v>
      </c>
      <c r="C326" s="3" t="s">
        <v>35</v>
      </c>
      <c r="D326" s="3" t="s">
        <v>36</v>
      </c>
      <c r="E326" s="3" t="s">
        <v>247</v>
      </c>
      <c r="F326" s="51">
        <v>6240</v>
      </c>
      <c r="G326" s="53">
        <v>4.0000000000000008E-2</v>
      </c>
      <c r="H326" s="52">
        <v>62.400000000000013</v>
      </c>
    </row>
    <row r="327" spans="1:8" ht="15.6" x14ac:dyDescent="0.3">
      <c r="A327" s="4">
        <v>38533</v>
      </c>
      <c r="B327" s="3" t="s">
        <v>615</v>
      </c>
      <c r="C327" s="3" t="s">
        <v>61</v>
      </c>
      <c r="D327" s="3" t="s">
        <v>62</v>
      </c>
      <c r="E327" s="3" t="s">
        <v>261</v>
      </c>
      <c r="F327" s="51">
        <v>21360</v>
      </c>
      <c r="G327" s="53">
        <v>3.0000000000000013E-2</v>
      </c>
      <c r="H327" s="52">
        <v>160.20000000000007</v>
      </c>
    </row>
    <row r="328" spans="1:8" ht="15.6" x14ac:dyDescent="0.3">
      <c r="A328" s="4">
        <v>38533</v>
      </c>
      <c r="B328" s="3" t="s">
        <v>615</v>
      </c>
      <c r="C328" s="3" t="s">
        <v>61</v>
      </c>
      <c r="D328" s="3" t="s">
        <v>66</v>
      </c>
      <c r="E328" s="3" t="s">
        <v>265</v>
      </c>
      <c r="F328" s="51">
        <v>17010</v>
      </c>
      <c r="G328" s="53">
        <v>3.5000000000000003E-2</v>
      </c>
      <c r="H328" s="52">
        <v>148.83750000000001</v>
      </c>
    </row>
    <row r="329" spans="1:8" ht="15.6" x14ac:dyDescent="0.3">
      <c r="A329" s="4">
        <v>38533</v>
      </c>
      <c r="B329" s="3" t="s">
        <v>615</v>
      </c>
      <c r="C329" s="3" t="s">
        <v>61</v>
      </c>
      <c r="D329" s="3" t="s">
        <v>65</v>
      </c>
      <c r="E329" s="3" t="s">
        <v>264</v>
      </c>
      <c r="F329" s="51">
        <v>11700</v>
      </c>
      <c r="G329" s="53">
        <v>3.5000000000000003E-2</v>
      </c>
      <c r="H329" s="52">
        <v>102.37500000000001</v>
      </c>
    </row>
    <row r="330" spans="1:8" ht="15.6" x14ac:dyDescent="0.3">
      <c r="A330" s="4">
        <v>38533</v>
      </c>
      <c r="B330" s="3" t="s">
        <v>615</v>
      </c>
      <c r="C330" s="3" t="s">
        <v>61</v>
      </c>
      <c r="D330" s="3" t="s">
        <v>64</v>
      </c>
      <c r="E330" s="3" t="s">
        <v>263</v>
      </c>
      <c r="F330" s="51">
        <v>7070</v>
      </c>
      <c r="G330" s="53">
        <v>4.0000000000000008E-2</v>
      </c>
      <c r="H330" s="52">
        <v>70.700000000000017</v>
      </c>
    </row>
    <row r="331" spans="1:8" ht="15.6" x14ac:dyDescent="0.3">
      <c r="A331" s="4">
        <v>38533</v>
      </c>
      <c r="B331" s="3" t="s">
        <v>615</v>
      </c>
      <c r="C331" s="3" t="s">
        <v>61</v>
      </c>
      <c r="D331" s="3" t="s">
        <v>63</v>
      </c>
      <c r="E331" s="3" t="s">
        <v>262</v>
      </c>
      <c r="F331" s="51">
        <v>8240</v>
      </c>
      <c r="G331" s="53">
        <v>4.0000000000000008E-2</v>
      </c>
      <c r="H331" s="52">
        <v>82.40000000000002</v>
      </c>
    </row>
    <row r="332" spans="1:8" ht="15.6" x14ac:dyDescent="0.3">
      <c r="A332" s="4">
        <v>38625</v>
      </c>
      <c r="B332" s="3" t="s">
        <v>616</v>
      </c>
      <c r="C332" s="3" t="s">
        <v>32</v>
      </c>
      <c r="D332" s="3" t="s">
        <v>34</v>
      </c>
      <c r="E332" s="3" t="s">
        <v>246</v>
      </c>
      <c r="F332" s="51">
        <v>138560</v>
      </c>
      <c r="G332" s="53">
        <v>7.5000000000000011E-2</v>
      </c>
      <c r="H332" s="52">
        <v>2598.0000000000005</v>
      </c>
    </row>
    <row r="333" spans="1:8" ht="15.6" x14ac:dyDescent="0.3">
      <c r="A333" s="4">
        <v>38625</v>
      </c>
      <c r="B333" s="3" t="s">
        <v>616</v>
      </c>
      <c r="C333" s="3" t="s">
        <v>32</v>
      </c>
      <c r="D333" s="3" t="s">
        <v>44</v>
      </c>
      <c r="E333" s="3" t="s">
        <v>252</v>
      </c>
      <c r="F333" s="51">
        <v>89210</v>
      </c>
      <c r="G333" s="53">
        <v>6.5000000000000002E-2</v>
      </c>
      <c r="H333" s="52">
        <v>1449.6625000000001</v>
      </c>
    </row>
    <row r="334" spans="1:8" ht="15.6" x14ac:dyDescent="0.3">
      <c r="A334" s="4">
        <v>38625</v>
      </c>
      <c r="B334" s="3" t="s">
        <v>616</v>
      </c>
      <c r="C334" s="3" t="s">
        <v>32</v>
      </c>
      <c r="D334" s="3" t="s">
        <v>33</v>
      </c>
      <c r="E334" s="3" t="s">
        <v>245</v>
      </c>
      <c r="F334" s="51">
        <v>180540</v>
      </c>
      <c r="G334" s="53">
        <v>7.0000000000000007E-2</v>
      </c>
      <c r="H334" s="52">
        <v>3159.4500000000003</v>
      </c>
    </row>
    <row r="335" spans="1:8" ht="15.6" x14ac:dyDescent="0.3">
      <c r="A335" s="4">
        <v>38625</v>
      </c>
      <c r="B335" s="3" t="s">
        <v>616</v>
      </c>
      <c r="C335" s="3" t="s">
        <v>32</v>
      </c>
      <c r="D335" s="3" t="s">
        <v>45</v>
      </c>
      <c r="E335" s="3" t="s">
        <v>253</v>
      </c>
      <c r="F335" s="51">
        <v>48300</v>
      </c>
      <c r="G335" s="53">
        <v>0.05</v>
      </c>
      <c r="H335" s="52">
        <v>603.75</v>
      </c>
    </row>
    <row r="336" spans="1:8" ht="15.6" x14ac:dyDescent="0.3">
      <c r="A336" s="4">
        <v>38625</v>
      </c>
      <c r="B336" s="3" t="s">
        <v>616</v>
      </c>
      <c r="C336" s="3" t="s">
        <v>32</v>
      </c>
      <c r="D336" s="3" t="s">
        <v>46</v>
      </c>
      <c r="E336" s="3" t="s">
        <v>254</v>
      </c>
      <c r="F336" s="51">
        <v>222120</v>
      </c>
      <c r="G336" s="53">
        <v>6.0000000000000012E-2</v>
      </c>
      <c r="H336" s="52">
        <v>3331.8000000000006</v>
      </c>
    </row>
    <row r="337" spans="1:8" ht="15.6" x14ac:dyDescent="0.3">
      <c r="A337" s="4">
        <v>38625</v>
      </c>
      <c r="B337" s="3" t="s">
        <v>616</v>
      </c>
      <c r="C337" s="3" t="s">
        <v>17</v>
      </c>
      <c r="D337" s="3" t="s">
        <v>20</v>
      </c>
      <c r="E337" s="3" t="s">
        <v>242</v>
      </c>
      <c r="F337" s="51">
        <v>126240</v>
      </c>
      <c r="G337" s="53">
        <v>2.5000000000000008E-2</v>
      </c>
      <c r="H337" s="52">
        <v>789.00000000000023</v>
      </c>
    </row>
    <row r="338" spans="1:8" ht="15.6" x14ac:dyDescent="0.3">
      <c r="A338" s="4">
        <v>38625</v>
      </c>
      <c r="B338" s="3" t="s">
        <v>616</v>
      </c>
      <c r="C338" s="3" t="s">
        <v>17</v>
      </c>
      <c r="D338" s="3" t="s">
        <v>18</v>
      </c>
      <c r="E338" s="3" t="s">
        <v>241</v>
      </c>
      <c r="F338" s="51">
        <v>11400</v>
      </c>
      <c r="G338" s="53">
        <v>3.5000000000000003E-2</v>
      </c>
      <c r="H338" s="52">
        <v>99.750000000000014</v>
      </c>
    </row>
    <row r="339" spans="1:8" ht="15.6" x14ac:dyDescent="0.3">
      <c r="A339" s="4">
        <v>38625</v>
      </c>
      <c r="B339" s="3" t="s">
        <v>616</v>
      </c>
      <c r="C339" s="3" t="s">
        <v>17</v>
      </c>
      <c r="D339" s="3" t="s">
        <v>82</v>
      </c>
      <c r="E339" s="3" t="s">
        <v>270</v>
      </c>
      <c r="F339" s="51">
        <v>36750</v>
      </c>
      <c r="G339" s="53">
        <v>2.0000000000000004E-2</v>
      </c>
      <c r="H339" s="52">
        <v>183.75000000000003</v>
      </c>
    </row>
    <row r="340" spans="1:8" ht="15.6" x14ac:dyDescent="0.3">
      <c r="A340" s="4">
        <v>38625</v>
      </c>
      <c r="B340" s="3" t="s">
        <v>616</v>
      </c>
      <c r="C340" s="3" t="s">
        <v>17</v>
      </c>
      <c r="D340" s="3" t="s">
        <v>26</v>
      </c>
      <c r="E340" s="3" t="s">
        <v>244</v>
      </c>
      <c r="F340" s="51">
        <v>39720</v>
      </c>
      <c r="G340" s="53">
        <v>1.4999999999999999E-2</v>
      </c>
      <c r="H340" s="52">
        <v>148.94999999999999</v>
      </c>
    </row>
    <row r="341" spans="1:8" ht="15.6" x14ac:dyDescent="0.3">
      <c r="A341" s="4">
        <v>38625</v>
      </c>
      <c r="B341" s="3" t="s">
        <v>616</v>
      </c>
      <c r="C341" s="3" t="s">
        <v>17</v>
      </c>
      <c r="D341" s="3" t="s">
        <v>52</v>
      </c>
      <c r="E341" s="3" t="s">
        <v>256</v>
      </c>
      <c r="F341" s="51">
        <v>12150</v>
      </c>
      <c r="G341" s="53">
        <v>3.0000000000000013E-2</v>
      </c>
      <c r="H341" s="52">
        <v>91.125000000000043</v>
      </c>
    </row>
    <row r="342" spans="1:8" ht="15.6" x14ac:dyDescent="0.3">
      <c r="A342" s="4">
        <v>38625</v>
      </c>
      <c r="B342" s="3" t="s">
        <v>616</v>
      </c>
      <c r="C342" s="3" t="s">
        <v>17</v>
      </c>
      <c r="D342" s="3" t="s">
        <v>21</v>
      </c>
      <c r="E342" s="3" t="s">
        <v>243</v>
      </c>
      <c r="F342" s="51">
        <v>21120</v>
      </c>
      <c r="G342" s="53">
        <v>5.0000000000000044E-3</v>
      </c>
      <c r="H342" s="52">
        <v>26.400000000000023</v>
      </c>
    </row>
    <row r="343" spans="1:8" ht="15.6" x14ac:dyDescent="0.3">
      <c r="A343" s="4">
        <v>38625</v>
      </c>
      <c r="B343" s="3" t="s">
        <v>616</v>
      </c>
      <c r="C343" s="3" t="s">
        <v>47</v>
      </c>
      <c r="D343" s="3" t="s">
        <v>48</v>
      </c>
      <c r="E343" s="3" t="s">
        <v>255</v>
      </c>
      <c r="F343" s="51">
        <v>22960</v>
      </c>
      <c r="G343" s="53">
        <v>1.4999999999999999E-2</v>
      </c>
      <c r="H343" s="52">
        <v>86.1</v>
      </c>
    </row>
    <row r="344" spans="1:8" ht="15.6" x14ac:dyDescent="0.3">
      <c r="A344" s="4">
        <v>38625</v>
      </c>
      <c r="B344" s="3" t="s">
        <v>616</v>
      </c>
      <c r="C344" s="3" t="s">
        <v>47</v>
      </c>
      <c r="D344" s="3" t="s">
        <v>119</v>
      </c>
      <c r="E344" s="3" t="s">
        <v>272</v>
      </c>
      <c r="F344" s="51">
        <v>17040</v>
      </c>
      <c r="G344" s="53">
        <v>1.0000000000000009E-2</v>
      </c>
      <c r="H344" s="52">
        <v>42.600000000000037</v>
      </c>
    </row>
    <row r="345" spans="1:8" ht="15.6" x14ac:dyDescent="0.3">
      <c r="A345" s="4">
        <v>38625</v>
      </c>
      <c r="B345" s="3" t="s">
        <v>616</v>
      </c>
      <c r="C345" s="3" t="s">
        <v>47</v>
      </c>
      <c r="D345" s="3" t="s">
        <v>53</v>
      </c>
      <c r="E345" s="3" t="s">
        <v>257</v>
      </c>
      <c r="F345" s="51">
        <v>9900</v>
      </c>
      <c r="G345" s="53">
        <v>2.0000000000000004E-2</v>
      </c>
      <c r="H345" s="52">
        <v>49.500000000000007</v>
      </c>
    </row>
    <row r="346" spans="1:8" ht="15.6" x14ac:dyDescent="0.3">
      <c r="A346" s="4">
        <v>38625</v>
      </c>
      <c r="B346" s="3" t="s">
        <v>616</v>
      </c>
      <c r="C346" s="3" t="s">
        <v>54</v>
      </c>
      <c r="D346" s="3" t="s">
        <v>57</v>
      </c>
      <c r="E346" s="3" t="s">
        <v>260</v>
      </c>
      <c r="F346" s="51">
        <v>130680</v>
      </c>
      <c r="G346" s="53">
        <v>0.05</v>
      </c>
      <c r="H346" s="52">
        <v>1633.5</v>
      </c>
    </row>
    <row r="347" spans="1:8" ht="15.6" x14ac:dyDescent="0.3">
      <c r="A347" s="4">
        <v>38625</v>
      </c>
      <c r="B347" s="3" t="s">
        <v>616</v>
      </c>
      <c r="C347" s="3" t="s">
        <v>54</v>
      </c>
      <c r="D347" s="3" t="s">
        <v>56</v>
      </c>
      <c r="E347" s="3" t="s">
        <v>259</v>
      </c>
      <c r="F347" s="51">
        <v>180500</v>
      </c>
      <c r="G347" s="53">
        <v>0.05</v>
      </c>
      <c r="H347" s="52">
        <v>2256.25</v>
      </c>
    </row>
    <row r="348" spans="1:8" ht="15.6" x14ac:dyDescent="0.3">
      <c r="A348" s="4">
        <v>38625</v>
      </c>
      <c r="B348" s="3" t="s">
        <v>616</v>
      </c>
      <c r="C348" s="3" t="s">
        <v>54</v>
      </c>
      <c r="D348" s="3" t="s">
        <v>55</v>
      </c>
      <c r="E348" s="3" t="s">
        <v>258</v>
      </c>
      <c r="F348" s="51">
        <v>51120</v>
      </c>
      <c r="G348" s="53">
        <v>4.5000000000000012E-2</v>
      </c>
      <c r="H348" s="52">
        <v>575.10000000000014</v>
      </c>
    </row>
    <row r="349" spans="1:8" ht="15.6" x14ac:dyDescent="0.3">
      <c r="A349" s="4">
        <v>38625</v>
      </c>
      <c r="B349" s="3" t="s">
        <v>616</v>
      </c>
      <c r="C349" s="3" t="s">
        <v>54</v>
      </c>
      <c r="D349" s="3" t="s">
        <v>166</v>
      </c>
      <c r="E349" s="3" t="s">
        <v>273</v>
      </c>
      <c r="F349" s="51">
        <v>7040</v>
      </c>
      <c r="G349" s="53">
        <v>4.0000000000000008E-2</v>
      </c>
      <c r="H349" s="52">
        <v>70.40000000000002</v>
      </c>
    </row>
    <row r="350" spans="1:8" ht="15.6" x14ac:dyDescent="0.3">
      <c r="A350" s="4">
        <v>38625</v>
      </c>
      <c r="B350" s="3" t="s">
        <v>616</v>
      </c>
      <c r="C350" s="3" t="s">
        <v>68</v>
      </c>
      <c r="D350" s="3" t="s">
        <v>69</v>
      </c>
      <c r="E350" s="3" t="s">
        <v>266</v>
      </c>
      <c r="F350" s="51">
        <v>37900</v>
      </c>
      <c r="G350" s="53">
        <v>6.0000000000000012E-2</v>
      </c>
      <c r="H350" s="52">
        <v>568.50000000000011</v>
      </c>
    </row>
    <row r="351" spans="1:8" ht="15.6" x14ac:dyDescent="0.3">
      <c r="A351" s="4">
        <v>38625</v>
      </c>
      <c r="B351" s="3" t="s">
        <v>616</v>
      </c>
      <c r="C351" s="3" t="s">
        <v>68</v>
      </c>
      <c r="D351" s="3" t="s">
        <v>76</v>
      </c>
      <c r="E351" s="3" t="s">
        <v>269</v>
      </c>
      <c r="F351" s="51">
        <v>7740</v>
      </c>
      <c r="G351" s="53">
        <v>5.5000000000000007E-2</v>
      </c>
      <c r="H351" s="52">
        <v>106.42500000000001</v>
      </c>
    </row>
    <row r="352" spans="1:8" ht="15.6" x14ac:dyDescent="0.3">
      <c r="A352" s="4">
        <v>38625</v>
      </c>
      <c r="B352" s="3" t="s">
        <v>616</v>
      </c>
      <c r="C352" s="3" t="s">
        <v>68</v>
      </c>
      <c r="D352" s="3" t="s">
        <v>108</v>
      </c>
      <c r="E352" s="3" t="s">
        <v>271</v>
      </c>
      <c r="F352" s="51">
        <v>17460</v>
      </c>
      <c r="G352" s="53">
        <v>0.05</v>
      </c>
      <c r="H352" s="52">
        <v>218.25</v>
      </c>
    </row>
    <row r="353" spans="1:8" ht="15.6" x14ac:dyDescent="0.3">
      <c r="A353" s="4">
        <v>38625</v>
      </c>
      <c r="B353" s="3" t="s">
        <v>616</v>
      </c>
      <c r="C353" s="3" t="s">
        <v>68</v>
      </c>
      <c r="D353" s="3" t="s">
        <v>70</v>
      </c>
      <c r="E353" s="3" t="s">
        <v>267</v>
      </c>
      <c r="F353" s="51">
        <v>64300</v>
      </c>
      <c r="G353" s="53">
        <v>4.5000000000000012E-2</v>
      </c>
      <c r="H353" s="52">
        <v>723.37500000000023</v>
      </c>
    </row>
    <row r="354" spans="1:8" ht="15.6" x14ac:dyDescent="0.3">
      <c r="A354" s="4">
        <v>38625</v>
      </c>
      <c r="B354" s="3" t="s">
        <v>616</v>
      </c>
      <c r="C354" s="3" t="s">
        <v>68</v>
      </c>
      <c r="D354" s="3" t="s">
        <v>75</v>
      </c>
      <c r="E354" s="3" t="s">
        <v>268</v>
      </c>
      <c r="F354" s="51">
        <v>14140</v>
      </c>
      <c r="G354" s="53">
        <v>4.0000000000000008E-2</v>
      </c>
      <c r="H354" s="52">
        <v>141.40000000000003</v>
      </c>
    </row>
    <row r="355" spans="1:8" ht="15.6" x14ac:dyDescent="0.3">
      <c r="A355" s="4">
        <v>38625</v>
      </c>
      <c r="B355" s="3" t="s">
        <v>616</v>
      </c>
      <c r="C355" s="3" t="s">
        <v>35</v>
      </c>
      <c r="D355" s="3" t="s">
        <v>39</v>
      </c>
      <c r="E355" s="3" t="s">
        <v>250</v>
      </c>
      <c r="F355" s="51">
        <v>26320</v>
      </c>
      <c r="G355" s="53">
        <v>6.5000000000000002E-2</v>
      </c>
      <c r="H355" s="52">
        <v>427.7</v>
      </c>
    </row>
    <row r="356" spans="1:8" ht="15.6" x14ac:dyDescent="0.3">
      <c r="A356" s="4">
        <v>38625</v>
      </c>
      <c r="B356" s="3" t="s">
        <v>616</v>
      </c>
      <c r="C356" s="3" t="s">
        <v>35</v>
      </c>
      <c r="D356" s="3" t="s">
        <v>40</v>
      </c>
      <c r="E356" s="3" t="s">
        <v>251</v>
      </c>
      <c r="F356" s="51">
        <v>10550</v>
      </c>
      <c r="G356" s="53">
        <v>0.05</v>
      </c>
      <c r="H356" s="52">
        <v>131.875</v>
      </c>
    </row>
    <row r="357" spans="1:8" ht="15.6" x14ac:dyDescent="0.3">
      <c r="A357" s="4">
        <v>38625</v>
      </c>
      <c r="B357" s="3" t="s">
        <v>616</v>
      </c>
      <c r="C357" s="3" t="s">
        <v>35</v>
      </c>
      <c r="D357" s="3" t="s">
        <v>37</v>
      </c>
      <c r="E357" s="3" t="s">
        <v>248</v>
      </c>
      <c r="F357" s="51">
        <v>2880</v>
      </c>
      <c r="G357" s="53">
        <v>5.5000000000000007E-2</v>
      </c>
      <c r="H357" s="52">
        <v>39.600000000000009</v>
      </c>
    </row>
    <row r="358" spans="1:8" ht="15.6" x14ac:dyDescent="0.3">
      <c r="A358" s="4">
        <v>38625</v>
      </c>
      <c r="B358" s="3" t="s">
        <v>616</v>
      </c>
      <c r="C358" s="3" t="s">
        <v>35</v>
      </c>
      <c r="D358" s="3" t="s">
        <v>38</v>
      </c>
      <c r="E358" s="3" t="s">
        <v>249</v>
      </c>
      <c r="F358" s="51">
        <v>12160</v>
      </c>
      <c r="G358" s="53">
        <v>4.5000000000000012E-2</v>
      </c>
      <c r="H358" s="52">
        <v>136.80000000000004</v>
      </c>
    </row>
    <row r="359" spans="1:8" ht="15.6" x14ac:dyDescent="0.3">
      <c r="A359" s="4">
        <v>38625</v>
      </c>
      <c r="B359" s="3" t="s">
        <v>616</v>
      </c>
      <c r="C359" s="3" t="s">
        <v>35</v>
      </c>
      <c r="D359" s="3" t="s">
        <v>36</v>
      </c>
      <c r="E359" s="3" t="s">
        <v>247</v>
      </c>
      <c r="F359" s="51">
        <v>6240</v>
      </c>
      <c r="G359" s="53">
        <v>4.0000000000000008E-2</v>
      </c>
      <c r="H359" s="52">
        <v>62.400000000000013</v>
      </c>
    </row>
    <row r="360" spans="1:8" ht="15.6" x14ac:dyDescent="0.3">
      <c r="A360" s="4">
        <v>38625</v>
      </c>
      <c r="B360" s="3" t="s">
        <v>616</v>
      </c>
      <c r="C360" s="3" t="s">
        <v>61</v>
      </c>
      <c r="D360" s="3" t="s">
        <v>62</v>
      </c>
      <c r="E360" s="3" t="s">
        <v>261</v>
      </c>
      <c r="F360" s="51">
        <v>21360</v>
      </c>
      <c r="G360" s="53">
        <v>3.0000000000000013E-2</v>
      </c>
      <c r="H360" s="52">
        <v>160.20000000000007</v>
      </c>
    </row>
    <row r="361" spans="1:8" ht="15.6" x14ac:dyDescent="0.3">
      <c r="A361" s="4">
        <v>38625</v>
      </c>
      <c r="B361" s="3" t="s">
        <v>616</v>
      </c>
      <c r="C361" s="3" t="s">
        <v>61</v>
      </c>
      <c r="D361" s="3" t="s">
        <v>66</v>
      </c>
      <c r="E361" s="3" t="s">
        <v>265</v>
      </c>
      <c r="F361" s="51">
        <v>17010</v>
      </c>
      <c r="G361" s="53">
        <v>3.5000000000000003E-2</v>
      </c>
      <c r="H361" s="52">
        <v>148.83750000000001</v>
      </c>
    </row>
    <row r="362" spans="1:8" ht="15.6" x14ac:dyDescent="0.3">
      <c r="A362" s="4">
        <v>38625</v>
      </c>
      <c r="B362" s="3" t="s">
        <v>616</v>
      </c>
      <c r="C362" s="3" t="s">
        <v>61</v>
      </c>
      <c r="D362" s="3" t="s">
        <v>65</v>
      </c>
      <c r="E362" s="3" t="s">
        <v>264</v>
      </c>
      <c r="F362" s="51">
        <v>11700</v>
      </c>
      <c r="G362" s="53">
        <v>3.5000000000000003E-2</v>
      </c>
      <c r="H362" s="52">
        <v>102.37500000000001</v>
      </c>
    </row>
    <row r="363" spans="1:8" ht="15.6" x14ac:dyDescent="0.3">
      <c r="A363" s="4">
        <v>38625</v>
      </c>
      <c r="B363" s="3" t="s">
        <v>616</v>
      </c>
      <c r="C363" s="3" t="s">
        <v>61</v>
      </c>
      <c r="D363" s="3" t="s">
        <v>64</v>
      </c>
      <c r="E363" s="3" t="s">
        <v>263</v>
      </c>
      <c r="F363" s="51">
        <v>7070</v>
      </c>
      <c r="G363" s="53">
        <v>4.0000000000000008E-2</v>
      </c>
      <c r="H363" s="52">
        <v>70.700000000000017</v>
      </c>
    </row>
    <row r="364" spans="1:8" ht="15.6" x14ac:dyDescent="0.3">
      <c r="A364" s="4">
        <v>38625</v>
      </c>
      <c r="B364" s="3" t="s">
        <v>616</v>
      </c>
      <c r="C364" s="3" t="s">
        <v>61</v>
      </c>
      <c r="D364" s="3" t="s">
        <v>63</v>
      </c>
      <c r="E364" s="3" t="s">
        <v>262</v>
      </c>
      <c r="F364" s="51">
        <v>8240</v>
      </c>
      <c r="G364" s="53">
        <v>4.0000000000000008E-2</v>
      </c>
      <c r="H364" s="52">
        <v>82.40000000000002</v>
      </c>
    </row>
    <row r="365" spans="1:8" ht="15.6" x14ac:dyDescent="0.3">
      <c r="A365" s="4">
        <v>38717</v>
      </c>
      <c r="B365" s="3" t="s">
        <v>617</v>
      </c>
      <c r="C365" s="3" t="s">
        <v>32</v>
      </c>
      <c r="D365" s="3" t="s">
        <v>34</v>
      </c>
      <c r="E365" s="3" t="s">
        <v>246</v>
      </c>
      <c r="F365" s="51">
        <v>138560</v>
      </c>
      <c r="G365" s="53">
        <v>7.5000000000000011E-2</v>
      </c>
      <c r="H365" s="52">
        <v>2598.0000000000005</v>
      </c>
    </row>
    <row r="366" spans="1:8" ht="15.6" x14ac:dyDescent="0.3">
      <c r="A366" s="4">
        <v>38717</v>
      </c>
      <c r="B366" s="3" t="s">
        <v>617</v>
      </c>
      <c r="C366" s="3" t="s">
        <v>32</v>
      </c>
      <c r="D366" s="3" t="s">
        <v>44</v>
      </c>
      <c r="E366" s="3" t="s">
        <v>252</v>
      </c>
      <c r="F366" s="51">
        <v>89210</v>
      </c>
      <c r="G366" s="53">
        <v>6.5000000000000002E-2</v>
      </c>
      <c r="H366" s="52">
        <v>1449.6625000000001</v>
      </c>
    </row>
    <row r="367" spans="1:8" ht="15.6" x14ac:dyDescent="0.3">
      <c r="A367" s="4">
        <v>38717</v>
      </c>
      <c r="B367" s="3" t="s">
        <v>617</v>
      </c>
      <c r="C367" s="3" t="s">
        <v>32</v>
      </c>
      <c r="D367" s="3" t="s">
        <v>33</v>
      </c>
      <c r="E367" s="3" t="s">
        <v>245</v>
      </c>
      <c r="F367" s="51">
        <v>180540</v>
      </c>
      <c r="G367" s="53">
        <v>7.0000000000000007E-2</v>
      </c>
      <c r="H367" s="52">
        <v>3159.4500000000003</v>
      </c>
    </row>
    <row r="368" spans="1:8" ht="15.6" x14ac:dyDescent="0.3">
      <c r="A368" s="4">
        <v>38717</v>
      </c>
      <c r="B368" s="3" t="s">
        <v>617</v>
      </c>
      <c r="C368" s="3" t="s">
        <v>32</v>
      </c>
      <c r="D368" s="3" t="s">
        <v>45</v>
      </c>
      <c r="E368" s="3" t="s">
        <v>253</v>
      </c>
      <c r="F368" s="51">
        <v>48300</v>
      </c>
      <c r="G368" s="53">
        <v>0.05</v>
      </c>
      <c r="H368" s="52">
        <v>603.75</v>
      </c>
    </row>
    <row r="369" spans="1:8" ht="15.6" x14ac:dyDescent="0.3">
      <c r="A369" s="4">
        <v>38717</v>
      </c>
      <c r="B369" s="3" t="s">
        <v>617</v>
      </c>
      <c r="C369" s="3" t="s">
        <v>32</v>
      </c>
      <c r="D369" s="3" t="s">
        <v>46</v>
      </c>
      <c r="E369" s="3" t="s">
        <v>254</v>
      </c>
      <c r="F369" s="51">
        <v>222120</v>
      </c>
      <c r="G369" s="53">
        <v>6.0000000000000012E-2</v>
      </c>
      <c r="H369" s="52">
        <v>3331.8000000000006</v>
      </c>
    </row>
    <row r="370" spans="1:8" ht="15.6" x14ac:dyDescent="0.3">
      <c r="A370" s="4">
        <v>38717</v>
      </c>
      <c r="B370" s="3" t="s">
        <v>617</v>
      </c>
      <c r="C370" s="3" t="s">
        <v>17</v>
      </c>
      <c r="D370" s="3" t="s">
        <v>20</v>
      </c>
      <c r="E370" s="3" t="s">
        <v>242</v>
      </c>
      <c r="F370" s="51">
        <v>126240</v>
      </c>
      <c r="G370" s="53">
        <v>2.5000000000000008E-2</v>
      </c>
      <c r="H370" s="52">
        <v>789.00000000000023</v>
      </c>
    </row>
    <row r="371" spans="1:8" ht="15.6" x14ac:dyDescent="0.3">
      <c r="A371" s="4">
        <v>38717</v>
      </c>
      <c r="B371" s="3" t="s">
        <v>617</v>
      </c>
      <c r="C371" s="3" t="s">
        <v>17</v>
      </c>
      <c r="D371" s="3" t="s">
        <v>18</v>
      </c>
      <c r="E371" s="3" t="s">
        <v>241</v>
      </c>
      <c r="F371" s="51">
        <v>11400</v>
      </c>
      <c r="G371" s="53">
        <v>3.5000000000000003E-2</v>
      </c>
      <c r="H371" s="52">
        <v>99.750000000000014</v>
      </c>
    </row>
    <row r="372" spans="1:8" ht="15.6" x14ac:dyDescent="0.3">
      <c r="A372" s="4">
        <v>38717</v>
      </c>
      <c r="B372" s="3" t="s">
        <v>617</v>
      </c>
      <c r="C372" s="3" t="s">
        <v>17</v>
      </c>
      <c r="D372" s="3" t="s">
        <v>82</v>
      </c>
      <c r="E372" s="3" t="s">
        <v>270</v>
      </c>
      <c r="F372" s="51">
        <v>36750</v>
      </c>
      <c r="G372" s="53">
        <v>2.0000000000000004E-2</v>
      </c>
      <c r="H372" s="52">
        <v>183.75000000000003</v>
      </c>
    </row>
    <row r="373" spans="1:8" ht="15.6" x14ac:dyDescent="0.3">
      <c r="A373" s="4">
        <v>38717</v>
      </c>
      <c r="B373" s="3" t="s">
        <v>617</v>
      </c>
      <c r="C373" s="3" t="s">
        <v>17</v>
      </c>
      <c r="D373" s="3" t="s">
        <v>26</v>
      </c>
      <c r="E373" s="3" t="s">
        <v>244</v>
      </c>
      <c r="F373" s="51">
        <v>39720</v>
      </c>
      <c r="G373" s="53">
        <v>1.4999999999999999E-2</v>
      </c>
      <c r="H373" s="52">
        <v>148.94999999999999</v>
      </c>
    </row>
    <row r="374" spans="1:8" ht="15.6" x14ac:dyDescent="0.3">
      <c r="A374" s="4">
        <v>38717</v>
      </c>
      <c r="B374" s="3" t="s">
        <v>617</v>
      </c>
      <c r="C374" s="3" t="s">
        <v>17</v>
      </c>
      <c r="D374" s="3" t="s">
        <v>52</v>
      </c>
      <c r="E374" s="3" t="s">
        <v>256</v>
      </c>
      <c r="F374" s="51">
        <v>12150</v>
      </c>
      <c r="G374" s="53">
        <v>3.0000000000000013E-2</v>
      </c>
      <c r="H374" s="52">
        <v>91.125000000000043</v>
      </c>
    </row>
    <row r="375" spans="1:8" ht="15.6" x14ac:dyDescent="0.3">
      <c r="A375" s="4">
        <v>38717</v>
      </c>
      <c r="B375" s="3" t="s">
        <v>617</v>
      </c>
      <c r="C375" s="3" t="s">
        <v>17</v>
      </c>
      <c r="D375" s="3" t="s">
        <v>21</v>
      </c>
      <c r="E375" s="3" t="s">
        <v>243</v>
      </c>
      <c r="F375" s="51">
        <v>21120</v>
      </c>
      <c r="G375" s="53">
        <v>5.0000000000000044E-3</v>
      </c>
      <c r="H375" s="52">
        <v>26.400000000000023</v>
      </c>
    </row>
    <row r="376" spans="1:8" ht="15.6" x14ac:dyDescent="0.3">
      <c r="A376" s="4">
        <v>38717</v>
      </c>
      <c r="B376" s="3" t="s">
        <v>617</v>
      </c>
      <c r="C376" s="3" t="s">
        <v>47</v>
      </c>
      <c r="D376" s="3" t="s">
        <v>48</v>
      </c>
      <c r="E376" s="3" t="s">
        <v>255</v>
      </c>
      <c r="F376" s="51">
        <v>22960</v>
      </c>
      <c r="G376" s="53">
        <v>1.4999999999999999E-2</v>
      </c>
      <c r="H376" s="52">
        <v>86.1</v>
      </c>
    </row>
    <row r="377" spans="1:8" ht="15.6" x14ac:dyDescent="0.3">
      <c r="A377" s="4">
        <v>38717</v>
      </c>
      <c r="B377" s="3" t="s">
        <v>617</v>
      </c>
      <c r="C377" s="3" t="s">
        <v>47</v>
      </c>
      <c r="D377" s="3" t="s">
        <v>119</v>
      </c>
      <c r="E377" s="3" t="s">
        <v>272</v>
      </c>
      <c r="F377" s="51">
        <v>17040</v>
      </c>
      <c r="G377" s="53">
        <v>1.0000000000000009E-2</v>
      </c>
      <c r="H377" s="52">
        <v>42.600000000000037</v>
      </c>
    </row>
    <row r="378" spans="1:8" ht="15.6" x14ac:dyDescent="0.3">
      <c r="A378" s="4">
        <v>38717</v>
      </c>
      <c r="B378" s="3" t="s">
        <v>617</v>
      </c>
      <c r="C378" s="3" t="s">
        <v>47</v>
      </c>
      <c r="D378" s="3" t="s">
        <v>53</v>
      </c>
      <c r="E378" s="3" t="s">
        <v>257</v>
      </c>
      <c r="F378" s="51">
        <v>9900</v>
      </c>
      <c r="G378" s="53">
        <v>2.0000000000000004E-2</v>
      </c>
      <c r="H378" s="52">
        <v>49.500000000000007</v>
      </c>
    </row>
    <row r="379" spans="1:8" ht="15.6" x14ac:dyDescent="0.3">
      <c r="A379" s="4">
        <v>38717</v>
      </c>
      <c r="B379" s="3" t="s">
        <v>617</v>
      </c>
      <c r="C379" s="3" t="s">
        <v>54</v>
      </c>
      <c r="D379" s="3" t="s">
        <v>57</v>
      </c>
      <c r="E379" s="3" t="s">
        <v>260</v>
      </c>
      <c r="F379" s="51">
        <v>130680</v>
      </c>
      <c r="G379" s="53">
        <v>0.05</v>
      </c>
      <c r="H379" s="52">
        <v>1633.5</v>
      </c>
    </row>
    <row r="380" spans="1:8" ht="15.6" x14ac:dyDescent="0.3">
      <c r="A380" s="4">
        <v>38717</v>
      </c>
      <c r="B380" s="3" t="s">
        <v>617</v>
      </c>
      <c r="C380" s="3" t="s">
        <v>54</v>
      </c>
      <c r="D380" s="3" t="s">
        <v>56</v>
      </c>
      <c r="E380" s="3" t="s">
        <v>259</v>
      </c>
      <c r="F380" s="51">
        <v>180500</v>
      </c>
      <c r="G380" s="53">
        <v>0.05</v>
      </c>
      <c r="H380" s="52">
        <v>2256.25</v>
      </c>
    </row>
    <row r="381" spans="1:8" ht="15.6" x14ac:dyDescent="0.3">
      <c r="A381" s="4">
        <v>38717</v>
      </c>
      <c r="B381" s="3" t="s">
        <v>617</v>
      </c>
      <c r="C381" s="3" t="s">
        <v>54</v>
      </c>
      <c r="D381" s="3" t="s">
        <v>55</v>
      </c>
      <c r="E381" s="3" t="s">
        <v>258</v>
      </c>
      <c r="F381" s="51">
        <v>51120</v>
      </c>
      <c r="G381" s="53">
        <v>4.5000000000000012E-2</v>
      </c>
      <c r="H381" s="52">
        <v>575.10000000000014</v>
      </c>
    </row>
    <row r="382" spans="1:8" ht="15.6" x14ac:dyDescent="0.3">
      <c r="A382" s="4">
        <v>38717</v>
      </c>
      <c r="B382" s="3" t="s">
        <v>617</v>
      </c>
      <c r="C382" s="3" t="s">
        <v>54</v>
      </c>
      <c r="D382" s="3" t="s">
        <v>166</v>
      </c>
      <c r="E382" s="3" t="s">
        <v>273</v>
      </c>
      <c r="F382" s="51">
        <v>7040</v>
      </c>
      <c r="G382" s="53">
        <v>4.0000000000000008E-2</v>
      </c>
      <c r="H382" s="52">
        <v>70.40000000000002</v>
      </c>
    </row>
    <row r="383" spans="1:8" ht="15.6" x14ac:dyDescent="0.3">
      <c r="A383" s="4">
        <v>38717</v>
      </c>
      <c r="B383" s="3" t="s">
        <v>617</v>
      </c>
      <c r="C383" s="3" t="s">
        <v>68</v>
      </c>
      <c r="D383" s="3" t="s">
        <v>69</v>
      </c>
      <c r="E383" s="3" t="s">
        <v>266</v>
      </c>
      <c r="F383" s="51">
        <v>37900</v>
      </c>
      <c r="G383" s="53">
        <v>6.0000000000000012E-2</v>
      </c>
      <c r="H383" s="52">
        <v>568.50000000000011</v>
      </c>
    </row>
    <row r="384" spans="1:8" ht="15.6" x14ac:dyDescent="0.3">
      <c r="A384" s="4">
        <v>38717</v>
      </c>
      <c r="B384" s="3" t="s">
        <v>617</v>
      </c>
      <c r="C384" s="3" t="s">
        <v>68</v>
      </c>
      <c r="D384" s="3" t="s">
        <v>76</v>
      </c>
      <c r="E384" s="3" t="s">
        <v>269</v>
      </c>
      <c r="F384" s="51">
        <v>7740</v>
      </c>
      <c r="G384" s="53">
        <v>5.5000000000000007E-2</v>
      </c>
      <c r="H384" s="52">
        <v>106.42500000000001</v>
      </c>
    </row>
    <row r="385" spans="1:8" ht="15.6" x14ac:dyDescent="0.3">
      <c r="A385" s="4">
        <v>38717</v>
      </c>
      <c r="B385" s="3" t="s">
        <v>617</v>
      </c>
      <c r="C385" s="3" t="s">
        <v>68</v>
      </c>
      <c r="D385" s="3" t="s">
        <v>108</v>
      </c>
      <c r="E385" s="3" t="s">
        <v>271</v>
      </c>
      <c r="F385" s="51">
        <v>17460</v>
      </c>
      <c r="G385" s="53">
        <v>0.05</v>
      </c>
      <c r="H385" s="52">
        <v>218.25</v>
      </c>
    </row>
    <row r="386" spans="1:8" ht="15.6" x14ac:dyDescent="0.3">
      <c r="A386" s="4">
        <v>38717</v>
      </c>
      <c r="B386" s="3" t="s">
        <v>617</v>
      </c>
      <c r="C386" s="3" t="s">
        <v>68</v>
      </c>
      <c r="D386" s="3" t="s">
        <v>70</v>
      </c>
      <c r="E386" s="3" t="s">
        <v>267</v>
      </c>
      <c r="F386" s="51">
        <v>64300</v>
      </c>
      <c r="G386" s="53">
        <v>4.5000000000000012E-2</v>
      </c>
      <c r="H386" s="52">
        <v>723.37500000000023</v>
      </c>
    </row>
    <row r="387" spans="1:8" ht="15.6" x14ac:dyDescent="0.3">
      <c r="A387" s="4">
        <v>38717</v>
      </c>
      <c r="B387" s="3" t="s">
        <v>617</v>
      </c>
      <c r="C387" s="3" t="s">
        <v>68</v>
      </c>
      <c r="D387" s="3" t="s">
        <v>75</v>
      </c>
      <c r="E387" s="3" t="s">
        <v>268</v>
      </c>
      <c r="F387" s="51">
        <v>14140</v>
      </c>
      <c r="G387" s="53">
        <v>4.0000000000000008E-2</v>
      </c>
      <c r="H387" s="52">
        <v>141.40000000000003</v>
      </c>
    </row>
    <row r="388" spans="1:8" ht="15.6" x14ac:dyDescent="0.3">
      <c r="A388" s="4">
        <v>38717</v>
      </c>
      <c r="B388" s="3" t="s">
        <v>617</v>
      </c>
      <c r="C388" s="3" t="s">
        <v>35</v>
      </c>
      <c r="D388" s="3" t="s">
        <v>39</v>
      </c>
      <c r="E388" s="3" t="s">
        <v>250</v>
      </c>
      <c r="F388" s="51">
        <v>26320</v>
      </c>
      <c r="G388" s="53">
        <v>6.5000000000000002E-2</v>
      </c>
      <c r="H388" s="52">
        <v>427.7</v>
      </c>
    </row>
    <row r="389" spans="1:8" ht="15.6" x14ac:dyDescent="0.3">
      <c r="A389" s="4">
        <v>38717</v>
      </c>
      <c r="B389" s="3" t="s">
        <v>617</v>
      </c>
      <c r="C389" s="3" t="s">
        <v>35</v>
      </c>
      <c r="D389" s="3" t="s">
        <v>40</v>
      </c>
      <c r="E389" s="3" t="s">
        <v>251</v>
      </c>
      <c r="F389" s="51">
        <v>10550</v>
      </c>
      <c r="G389" s="53">
        <v>0.05</v>
      </c>
      <c r="H389" s="52">
        <v>131.875</v>
      </c>
    </row>
    <row r="390" spans="1:8" ht="15.6" x14ac:dyDescent="0.3">
      <c r="A390" s="4">
        <v>38717</v>
      </c>
      <c r="B390" s="3" t="s">
        <v>617</v>
      </c>
      <c r="C390" s="3" t="s">
        <v>35</v>
      </c>
      <c r="D390" s="3" t="s">
        <v>37</v>
      </c>
      <c r="E390" s="3" t="s">
        <v>248</v>
      </c>
      <c r="F390" s="51">
        <v>2880</v>
      </c>
      <c r="G390" s="53">
        <v>5.5000000000000007E-2</v>
      </c>
      <c r="H390" s="52">
        <v>39.600000000000009</v>
      </c>
    </row>
    <row r="391" spans="1:8" ht="15.6" x14ac:dyDescent="0.3">
      <c r="A391" s="4">
        <v>38717</v>
      </c>
      <c r="B391" s="3" t="s">
        <v>617</v>
      </c>
      <c r="C391" s="3" t="s">
        <v>35</v>
      </c>
      <c r="D391" s="3" t="s">
        <v>38</v>
      </c>
      <c r="E391" s="3" t="s">
        <v>249</v>
      </c>
      <c r="F391" s="51">
        <v>12160</v>
      </c>
      <c r="G391" s="53">
        <v>4.5000000000000012E-2</v>
      </c>
      <c r="H391" s="52">
        <v>136.80000000000004</v>
      </c>
    </row>
    <row r="392" spans="1:8" ht="15.6" x14ac:dyDescent="0.3">
      <c r="A392" s="4">
        <v>38717</v>
      </c>
      <c r="B392" s="3" t="s">
        <v>617</v>
      </c>
      <c r="C392" s="3" t="s">
        <v>35</v>
      </c>
      <c r="D392" s="3" t="s">
        <v>36</v>
      </c>
      <c r="E392" s="3" t="s">
        <v>247</v>
      </c>
      <c r="F392" s="51">
        <v>6240</v>
      </c>
      <c r="G392" s="53">
        <v>4.0000000000000008E-2</v>
      </c>
      <c r="H392" s="52">
        <v>62.400000000000013</v>
      </c>
    </row>
    <row r="393" spans="1:8" ht="15.6" x14ac:dyDescent="0.3">
      <c r="A393" s="4">
        <v>38717</v>
      </c>
      <c r="B393" s="3" t="s">
        <v>617</v>
      </c>
      <c r="C393" s="3" t="s">
        <v>61</v>
      </c>
      <c r="D393" s="3" t="s">
        <v>62</v>
      </c>
      <c r="E393" s="3" t="s">
        <v>261</v>
      </c>
      <c r="F393" s="51">
        <v>21360</v>
      </c>
      <c r="G393" s="53">
        <v>3.0000000000000013E-2</v>
      </c>
      <c r="H393" s="52">
        <v>160.20000000000007</v>
      </c>
    </row>
    <row r="394" spans="1:8" ht="15.6" x14ac:dyDescent="0.3">
      <c r="A394" s="4">
        <v>38717</v>
      </c>
      <c r="B394" s="3" t="s">
        <v>617</v>
      </c>
      <c r="C394" s="3" t="s">
        <v>61</v>
      </c>
      <c r="D394" s="3" t="s">
        <v>66</v>
      </c>
      <c r="E394" s="3" t="s">
        <v>265</v>
      </c>
      <c r="F394" s="51">
        <v>17010</v>
      </c>
      <c r="G394" s="53">
        <v>3.5000000000000003E-2</v>
      </c>
      <c r="H394" s="52">
        <v>148.83750000000001</v>
      </c>
    </row>
    <row r="395" spans="1:8" ht="15.6" x14ac:dyDescent="0.3">
      <c r="A395" s="4">
        <v>38717</v>
      </c>
      <c r="B395" s="3" t="s">
        <v>617</v>
      </c>
      <c r="C395" s="3" t="s">
        <v>61</v>
      </c>
      <c r="D395" s="3" t="s">
        <v>65</v>
      </c>
      <c r="E395" s="3" t="s">
        <v>264</v>
      </c>
      <c r="F395" s="51">
        <v>11700</v>
      </c>
      <c r="G395" s="53">
        <v>3.5000000000000003E-2</v>
      </c>
      <c r="H395" s="52">
        <v>102.37500000000001</v>
      </c>
    </row>
    <row r="396" spans="1:8" ht="15.6" x14ac:dyDescent="0.3">
      <c r="A396" s="4">
        <v>38717</v>
      </c>
      <c r="B396" s="3" t="s">
        <v>617</v>
      </c>
      <c r="C396" s="3" t="s">
        <v>61</v>
      </c>
      <c r="D396" s="3" t="s">
        <v>64</v>
      </c>
      <c r="E396" s="3" t="s">
        <v>263</v>
      </c>
      <c r="F396" s="51">
        <v>7070</v>
      </c>
      <c r="G396" s="53">
        <v>4.0000000000000008E-2</v>
      </c>
      <c r="H396" s="52">
        <v>70.700000000000017</v>
      </c>
    </row>
    <row r="397" spans="1:8" ht="15.6" x14ac:dyDescent="0.3">
      <c r="A397" s="4">
        <v>38717</v>
      </c>
      <c r="B397" s="3" t="s">
        <v>617</v>
      </c>
      <c r="C397" s="3" t="s">
        <v>61</v>
      </c>
      <c r="D397" s="3" t="s">
        <v>63</v>
      </c>
      <c r="E397" s="3" t="s">
        <v>262</v>
      </c>
      <c r="F397" s="51">
        <v>8240</v>
      </c>
      <c r="G397" s="53">
        <v>4.0000000000000008E-2</v>
      </c>
      <c r="H397" s="52">
        <v>82.40000000000002</v>
      </c>
    </row>
  </sheetData>
  <mergeCells count="2">
    <mergeCell ref="K1:Q1"/>
    <mergeCell ref="T1:V1"/>
  </mergeCells>
  <phoneticPr fontId="6" type="noConversion"/>
  <pageMargins left="0.7" right="0.7" top="0.75" bottom="0.75" header="0.3" footer="0.3"/>
  <ignoredErrors>
    <ignoredError sqref="U9" formula="1"/>
  </ignoredErrors>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B03E4-F438-4F7E-A0BE-F79A6D02F7D1}">
  <sheetPr>
    <tabColor rgb="FFFF0000"/>
  </sheetPr>
  <dimension ref="A1:H1097"/>
  <sheetViews>
    <sheetView workbookViewId="0">
      <selection activeCell="O55" sqref="O55"/>
    </sheetView>
  </sheetViews>
  <sheetFormatPr defaultRowHeight="15.6" x14ac:dyDescent="0.3"/>
  <cols>
    <col min="1" max="1" width="13.77734375" style="3" customWidth="1"/>
    <col min="2" max="2" width="9.6640625" style="3" bestFit="1" customWidth="1"/>
    <col min="3" max="3" width="15.88671875" style="3" bestFit="1" customWidth="1"/>
    <col min="4" max="4" width="17.88671875" style="3" bestFit="1" customWidth="1"/>
    <col min="5" max="5" width="12.77734375" style="3" bestFit="1" customWidth="1"/>
    <col min="6" max="6" width="9.21875" style="3" bestFit="1" customWidth="1"/>
    <col min="7" max="7" width="20.44140625" style="3" bestFit="1" customWidth="1"/>
    <col min="8" max="8" width="14.33203125" style="3" bestFit="1" customWidth="1"/>
    <col min="9" max="16384" width="8.88671875" style="3"/>
  </cols>
  <sheetData>
    <row r="1" spans="1:8" s="62" customFormat="1" x14ac:dyDescent="0.3">
      <c r="A1" s="1" t="s">
        <v>612</v>
      </c>
      <c r="B1" s="1" t="s">
        <v>371</v>
      </c>
      <c r="C1" s="1" t="s">
        <v>646</v>
      </c>
      <c r="D1" s="1" t="s">
        <v>647</v>
      </c>
      <c r="E1" s="1" t="s">
        <v>613</v>
      </c>
      <c r="F1" s="1" t="s">
        <v>648</v>
      </c>
      <c r="G1" s="1" t="s">
        <v>649</v>
      </c>
      <c r="H1" s="1" t="s">
        <v>650</v>
      </c>
    </row>
    <row r="2" spans="1:8" x14ac:dyDescent="0.3">
      <c r="A2" s="4">
        <v>37622</v>
      </c>
      <c r="B2" s="3">
        <v>2003</v>
      </c>
      <c r="C2" s="3">
        <v>1</v>
      </c>
      <c r="D2" s="3" t="s">
        <v>651</v>
      </c>
      <c r="E2" s="3" t="s">
        <v>614</v>
      </c>
      <c r="F2" s="3">
        <v>1</v>
      </c>
      <c r="G2" s="3" t="s">
        <v>652</v>
      </c>
      <c r="H2" s="3">
        <v>0</v>
      </c>
    </row>
    <row r="3" spans="1:8" x14ac:dyDescent="0.3">
      <c r="A3" s="4">
        <v>37623</v>
      </c>
      <c r="B3" s="3">
        <v>2003</v>
      </c>
      <c r="C3" s="3">
        <v>1</v>
      </c>
      <c r="D3" s="3" t="s">
        <v>651</v>
      </c>
      <c r="E3" s="3" t="s">
        <v>614</v>
      </c>
      <c r="F3" s="3">
        <v>2</v>
      </c>
      <c r="G3" s="3" t="s">
        <v>653</v>
      </c>
      <c r="H3" s="3">
        <v>0</v>
      </c>
    </row>
    <row r="4" spans="1:8" x14ac:dyDescent="0.3">
      <c r="A4" s="4">
        <v>37624</v>
      </c>
      <c r="B4" s="3">
        <v>2003</v>
      </c>
      <c r="C4" s="3">
        <v>1</v>
      </c>
      <c r="D4" s="3" t="s">
        <v>651</v>
      </c>
      <c r="E4" s="3" t="s">
        <v>614</v>
      </c>
      <c r="F4" s="3">
        <v>3</v>
      </c>
      <c r="G4" s="3" t="s">
        <v>654</v>
      </c>
      <c r="H4" s="3">
        <v>0</v>
      </c>
    </row>
    <row r="5" spans="1:8" x14ac:dyDescent="0.3">
      <c r="A5" s="4">
        <v>37625</v>
      </c>
      <c r="B5" s="3">
        <v>2003</v>
      </c>
      <c r="C5" s="3">
        <v>1</v>
      </c>
      <c r="D5" s="3" t="s">
        <v>651</v>
      </c>
      <c r="E5" s="3" t="s">
        <v>614</v>
      </c>
      <c r="F5" s="3">
        <v>4</v>
      </c>
      <c r="G5" s="3" t="s">
        <v>655</v>
      </c>
      <c r="H5" s="3">
        <v>1</v>
      </c>
    </row>
    <row r="6" spans="1:8" x14ac:dyDescent="0.3">
      <c r="A6" s="4">
        <v>37626</v>
      </c>
      <c r="B6" s="3">
        <v>2003</v>
      </c>
      <c r="C6" s="3">
        <v>1</v>
      </c>
      <c r="D6" s="3" t="s">
        <v>651</v>
      </c>
      <c r="E6" s="3" t="s">
        <v>614</v>
      </c>
      <c r="F6" s="3">
        <v>5</v>
      </c>
      <c r="G6" s="3" t="s">
        <v>656</v>
      </c>
      <c r="H6" s="3">
        <v>1</v>
      </c>
    </row>
    <row r="7" spans="1:8" x14ac:dyDescent="0.3">
      <c r="A7" s="4">
        <v>37627</v>
      </c>
      <c r="B7" s="3">
        <v>2003</v>
      </c>
      <c r="C7" s="3">
        <v>1</v>
      </c>
      <c r="D7" s="3" t="s">
        <v>651</v>
      </c>
      <c r="E7" s="3" t="s">
        <v>614</v>
      </c>
      <c r="F7" s="3">
        <v>6</v>
      </c>
      <c r="G7" s="3" t="s">
        <v>657</v>
      </c>
      <c r="H7" s="3">
        <v>0</v>
      </c>
    </row>
    <row r="8" spans="1:8" x14ac:dyDescent="0.3">
      <c r="A8" s="4">
        <v>37628</v>
      </c>
      <c r="B8" s="3">
        <v>2003</v>
      </c>
      <c r="C8" s="3">
        <v>1</v>
      </c>
      <c r="D8" s="3" t="s">
        <v>651</v>
      </c>
      <c r="E8" s="3" t="s">
        <v>614</v>
      </c>
      <c r="F8" s="3">
        <v>7</v>
      </c>
      <c r="G8" s="3" t="s">
        <v>658</v>
      </c>
      <c r="H8" s="3">
        <v>0</v>
      </c>
    </row>
    <row r="9" spans="1:8" x14ac:dyDescent="0.3">
      <c r="A9" s="4">
        <v>37629</v>
      </c>
      <c r="B9" s="3">
        <v>2003</v>
      </c>
      <c r="C9" s="3">
        <v>1</v>
      </c>
      <c r="D9" s="3" t="s">
        <v>651</v>
      </c>
      <c r="E9" s="3" t="s">
        <v>614</v>
      </c>
      <c r="F9" s="3">
        <v>8</v>
      </c>
      <c r="G9" s="3" t="s">
        <v>652</v>
      </c>
      <c r="H9" s="3">
        <v>0</v>
      </c>
    </row>
    <row r="10" spans="1:8" x14ac:dyDescent="0.3">
      <c r="A10" s="4">
        <v>37630</v>
      </c>
      <c r="B10" s="3">
        <v>2003</v>
      </c>
      <c r="C10" s="3">
        <v>1</v>
      </c>
      <c r="D10" s="3" t="s">
        <v>651</v>
      </c>
      <c r="E10" s="3" t="s">
        <v>614</v>
      </c>
      <c r="F10" s="3">
        <v>9</v>
      </c>
      <c r="G10" s="3" t="s">
        <v>653</v>
      </c>
      <c r="H10" s="3">
        <v>0</v>
      </c>
    </row>
    <row r="11" spans="1:8" x14ac:dyDescent="0.3">
      <c r="A11" s="4">
        <v>37631</v>
      </c>
      <c r="B11" s="3">
        <v>2003</v>
      </c>
      <c r="C11" s="3">
        <v>1</v>
      </c>
      <c r="D11" s="3" t="s">
        <v>651</v>
      </c>
      <c r="E11" s="3" t="s">
        <v>614</v>
      </c>
      <c r="F11" s="3">
        <v>10</v>
      </c>
      <c r="G11" s="3" t="s">
        <v>654</v>
      </c>
      <c r="H11" s="3">
        <v>0</v>
      </c>
    </row>
    <row r="12" spans="1:8" x14ac:dyDescent="0.3">
      <c r="A12" s="4">
        <v>37632</v>
      </c>
      <c r="B12" s="3">
        <v>2003</v>
      </c>
      <c r="C12" s="3">
        <v>1</v>
      </c>
      <c r="D12" s="3" t="s">
        <v>651</v>
      </c>
      <c r="E12" s="3" t="s">
        <v>614</v>
      </c>
      <c r="F12" s="3">
        <v>11</v>
      </c>
      <c r="G12" s="3" t="s">
        <v>655</v>
      </c>
      <c r="H12" s="3">
        <v>1</v>
      </c>
    </row>
    <row r="13" spans="1:8" x14ac:dyDescent="0.3">
      <c r="A13" s="4">
        <v>37633</v>
      </c>
      <c r="B13" s="3">
        <v>2003</v>
      </c>
      <c r="C13" s="3">
        <v>1</v>
      </c>
      <c r="D13" s="3" t="s">
        <v>651</v>
      </c>
      <c r="E13" s="3" t="s">
        <v>614</v>
      </c>
      <c r="F13" s="3">
        <v>12</v>
      </c>
      <c r="G13" s="3" t="s">
        <v>656</v>
      </c>
      <c r="H13" s="3">
        <v>1</v>
      </c>
    </row>
    <row r="14" spans="1:8" x14ac:dyDescent="0.3">
      <c r="A14" s="4">
        <v>37634</v>
      </c>
      <c r="B14" s="3">
        <v>2003</v>
      </c>
      <c r="C14" s="3">
        <v>1</v>
      </c>
      <c r="D14" s="3" t="s">
        <v>651</v>
      </c>
      <c r="E14" s="3" t="s">
        <v>614</v>
      </c>
      <c r="F14" s="3">
        <v>13</v>
      </c>
      <c r="G14" s="3" t="s">
        <v>657</v>
      </c>
      <c r="H14" s="3">
        <v>0</v>
      </c>
    </row>
    <row r="15" spans="1:8" x14ac:dyDescent="0.3">
      <c r="A15" s="4">
        <v>37635</v>
      </c>
      <c r="B15" s="3">
        <v>2003</v>
      </c>
      <c r="C15" s="3">
        <v>1</v>
      </c>
      <c r="D15" s="3" t="s">
        <v>651</v>
      </c>
      <c r="E15" s="3" t="s">
        <v>614</v>
      </c>
      <c r="F15" s="3">
        <v>14</v>
      </c>
      <c r="G15" s="3" t="s">
        <v>658</v>
      </c>
      <c r="H15" s="3">
        <v>0</v>
      </c>
    </row>
    <row r="16" spans="1:8" x14ac:dyDescent="0.3">
      <c r="A16" s="4">
        <v>37636</v>
      </c>
      <c r="B16" s="3">
        <v>2003</v>
      </c>
      <c r="C16" s="3">
        <v>1</v>
      </c>
      <c r="D16" s="3" t="s">
        <v>651</v>
      </c>
      <c r="E16" s="3" t="s">
        <v>614</v>
      </c>
      <c r="F16" s="3">
        <v>15</v>
      </c>
      <c r="G16" s="3" t="s">
        <v>652</v>
      </c>
      <c r="H16" s="3">
        <v>0</v>
      </c>
    </row>
    <row r="17" spans="1:8" x14ac:dyDescent="0.3">
      <c r="A17" s="4">
        <v>37637</v>
      </c>
      <c r="B17" s="3">
        <v>2003</v>
      </c>
      <c r="C17" s="3">
        <v>1</v>
      </c>
      <c r="D17" s="3" t="s">
        <v>651</v>
      </c>
      <c r="E17" s="3" t="s">
        <v>614</v>
      </c>
      <c r="F17" s="3">
        <v>16</v>
      </c>
      <c r="G17" s="3" t="s">
        <v>653</v>
      </c>
      <c r="H17" s="3">
        <v>0</v>
      </c>
    </row>
    <row r="18" spans="1:8" x14ac:dyDescent="0.3">
      <c r="A18" s="4">
        <v>37638</v>
      </c>
      <c r="B18" s="3">
        <v>2003</v>
      </c>
      <c r="C18" s="3">
        <v>1</v>
      </c>
      <c r="D18" s="3" t="s">
        <v>651</v>
      </c>
      <c r="E18" s="3" t="s">
        <v>614</v>
      </c>
      <c r="F18" s="3">
        <v>17</v>
      </c>
      <c r="G18" s="3" t="s">
        <v>654</v>
      </c>
      <c r="H18" s="3">
        <v>0</v>
      </c>
    </row>
    <row r="19" spans="1:8" x14ac:dyDescent="0.3">
      <c r="A19" s="4">
        <v>37639</v>
      </c>
      <c r="B19" s="3">
        <v>2003</v>
      </c>
      <c r="C19" s="3">
        <v>1</v>
      </c>
      <c r="D19" s="3" t="s">
        <v>651</v>
      </c>
      <c r="E19" s="3" t="s">
        <v>614</v>
      </c>
      <c r="F19" s="3">
        <v>18</v>
      </c>
      <c r="G19" s="3" t="s">
        <v>655</v>
      </c>
      <c r="H19" s="3">
        <v>1</v>
      </c>
    </row>
    <row r="20" spans="1:8" x14ac:dyDescent="0.3">
      <c r="A20" s="4">
        <v>37640</v>
      </c>
      <c r="B20" s="3">
        <v>2003</v>
      </c>
      <c r="C20" s="3">
        <v>1</v>
      </c>
      <c r="D20" s="3" t="s">
        <v>651</v>
      </c>
      <c r="E20" s="3" t="s">
        <v>614</v>
      </c>
      <c r="F20" s="3">
        <v>19</v>
      </c>
      <c r="G20" s="3" t="s">
        <v>656</v>
      </c>
      <c r="H20" s="3">
        <v>1</v>
      </c>
    </row>
    <row r="21" spans="1:8" x14ac:dyDescent="0.3">
      <c r="A21" s="4">
        <v>37641</v>
      </c>
      <c r="B21" s="3">
        <v>2003</v>
      </c>
      <c r="C21" s="3">
        <v>1</v>
      </c>
      <c r="D21" s="3" t="s">
        <v>651</v>
      </c>
      <c r="E21" s="3" t="s">
        <v>614</v>
      </c>
      <c r="F21" s="3">
        <v>20</v>
      </c>
      <c r="G21" s="3" t="s">
        <v>657</v>
      </c>
      <c r="H21" s="3">
        <v>0</v>
      </c>
    </row>
    <row r="22" spans="1:8" x14ac:dyDescent="0.3">
      <c r="A22" s="4">
        <v>37642</v>
      </c>
      <c r="B22" s="3">
        <v>2003</v>
      </c>
      <c r="C22" s="3">
        <v>1</v>
      </c>
      <c r="D22" s="3" t="s">
        <v>651</v>
      </c>
      <c r="E22" s="3" t="s">
        <v>614</v>
      </c>
      <c r="F22" s="3">
        <v>21</v>
      </c>
      <c r="G22" s="3" t="s">
        <v>658</v>
      </c>
      <c r="H22" s="3">
        <v>0</v>
      </c>
    </row>
    <row r="23" spans="1:8" x14ac:dyDescent="0.3">
      <c r="A23" s="4">
        <v>37643</v>
      </c>
      <c r="B23" s="3">
        <v>2003</v>
      </c>
      <c r="C23" s="3">
        <v>1</v>
      </c>
      <c r="D23" s="3" t="s">
        <v>651</v>
      </c>
      <c r="E23" s="3" t="s">
        <v>614</v>
      </c>
      <c r="F23" s="3">
        <v>22</v>
      </c>
      <c r="G23" s="3" t="s">
        <v>652</v>
      </c>
      <c r="H23" s="3">
        <v>0</v>
      </c>
    </row>
    <row r="24" spans="1:8" x14ac:dyDescent="0.3">
      <c r="A24" s="4">
        <v>37644</v>
      </c>
      <c r="B24" s="3">
        <v>2003</v>
      </c>
      <c r="C24" s="3">
        <v>1</v>
      </c>
      <c r="D24" s="3" t="s">
        <v>651</v>
      </c>
      <c r="E24" s="3" t="s">
        <v>614</v>
      </c>
      <c r="F24" s="3">
        <v>23</v>
      </c>
      <c r="G24" s="3" t="s">
        <v>653</v>
      </c>
      <c r="H24" s="3">
        <v>0</v>
      </c>
    </row>
    <row r="25" spans="1:8" x14ac:dyDescent="0.3">
      <c r="A25" s="4">
        <v>37645</v>
      </c>
      <c r="B25" s="3">
        <v>2003</v>
      </c>
      <c r="C25" s="3">
        <v>1</v>
      </c>
      <c r="D25" s="3" t="s">
        <v>651</v>
      </c>
      <c r="E25" s="3" t="s">
        <v>614</v>
      </c>
      <c r="F25" s="3">
        <v>24</v>
      </c>
      <c r="G25" s="3" t="s">
        <v>654</v>
      </c>
      <c r="H25" s="3">
        <v>0</v>
      </c>
    </row>
    <row r="26" spans="1:8" x14ac:dyDescent="0.3">
      <c r="A26" s="4">
        <v>37646</v>
      </c>
      <c r="B26" s="3">
        <v>2003</v>
      </c>
      <c r="C26" s="3">
        <v>1</v>
      </c>
      <c r="D26" s="3" t="s">
        <v>651</v>
      </c>
      <c r="E26" s="3" t="s">
        <v>614</v>
      </c>
      <c r="F26" s="3">
        <v>25</v>
      </c>
      <c r="G26" s="3" t="s">
        <v>655</v>
      </c>
      <c r="H26" s="3">
        <v>1</v>
      </c>
    </row>
    <row r="27" spans="1:8" x14ac:dyDescent="0.3">
      <c r="A27" s="4">
        <v>37647</v>
      </c>
      <c r="B27" s="3">
        <v>2003</v>
      </c>
      <c r="C27" s="3">
        <v>1</v>
      </c>
      <c r="D27" s="3" t="s">
        <v>651</v>
      </c>
      <c r="E27" s="3" t="s">
        <v>614</v>
      </c>
      <c r="F27" s="3">
        <v>26</v>
      </c>
      <c r="G27" s="3" t="s">
        <v>656</v>
      </c>
      <c r="H27" s="3">
        <v>1</v>
      </c>
    </row>
    <row r="28" spans="1:8" x14ac:dyDescent="0.3">
      <c r="A28" s="4">
        <v>37648</v>
      </c>
      <c r="B28" s="3">
        <v>2003</v>
      </c>
      <c r="C28" s="3">
        <v>1</v>
      </c>
      <c r="D28" s="3" t="s">
        <v>651</v>
      </c>
      <c r="E28" s="3" t="s">
        <v>614</v>
      </c>
      <c r="F28" s="3">
        <v>27</v>
      </c>
      <c r="G28" s="3" t="s">
        <v>657</v>
      </c>
      <c r="H28" s="3">
        <v>0</v>
      </c>
    </row>
    <row r="29" spans="1:8" x14ac:dyDescent="0.3">
      <c r="A29" s="4">
        <v>37649</v>
      </c>
      <c r="B29" s="3">
        <v>2003</v>
      </c>
      <c r="C29" s="3">
        <v>1</v>
      </c>
      <c r="D29" s="3" t="s">
        <v>651</v>
      </c>
      <c r="E29" s="3" t="s">
        <v>614</v>
      </c>
      <c r="F29" s="3">
        <v>28</v>
      </c>
      <c r="G29" s="3" t="s">
        <v>658</v>
      </c>
      <c r="H29" s="3">
        <v>0</v>
      </c>
    </row>
    <row r="30" spans="1:8" x14ac:dyDescent="0.3">
      <c r="A30" s="4">
        <v>37650</v>
      </c>
      <c r="B30" s="3">
        <v>2003</v>
      </c>
      <c r="C30" s="3">
        <v>1</v>
      </c>
      <c r="D30" s="3" t="s">
        <v>651</v>
      </c>
      <c r="E30" s="3" t="s">
        <v>614</v>
      </c>
      <c r="F30" s="3">
        <v>29</v>
      </c>
      <c r="G30" s="3" t="s">
        <v>652</v>
      </c>
      <c r="H30" s="3">
        <v>0</v>
      </c>
    </row>
    <row r="31" spans="1:8" x14ac:dyDescent="0.3">
      <c r="A31" s="4">
        <v>37651</v>
      </c>
      <c r="B31" s="3">
        <v>2003</v>
      </c>
      <c r="C31" s="3">
        <v>1</v>
      </c>
      <c r="D31" s="3" t="s">
        <v>651</v>
      </c>
      <c r="E31" s="3" t="s">
        <v>614</v>
      </c>
      <c r="F31" s="3">
        <v>30</v>
      </c>
      <c r="G31" s="3" t="s">
        <v>653</v>
      </c>
      <c r="H31" s="3">
        <v>0</v>
      </c>
    </row>
    <row r="32" spans="1:8" x14ac:dyDescent="0.3">
      <c r="A32" s="4">
        <v>37652</v>
      </c>
      <c r="B32" s="3">
        <v>2003</v>
      </c>
      <c r="C32" s="3">
        <v>1</v>
      </c>
      <c r="D32" s="3" t="s">
        <v>651</v>
      </c>
      <c r="E32" s="3" t="s">
        <v>614</v>
      </c>
      <c r="F32" s="3">
        <v>31</v>
      </c>
      <c r="G32" s="3" t="s">
        <v>654</v>
      </c>
      <c r="H32" s="3">
        <v>0</v>
      </c>
    </row>
    <row r="33" spans="1:8" x14ac:dyDescent="0.3">
      <c r="A33" s="4">
        <v>37653</v>
      </c>
      <c r="B33" s="3">
        <v>2003</v>
      </c>
      <c r="C33" s="3">
        <v>2</v>
      </c>
      <c r="D33" s="3" t="s">
        <v>659</v>
      </c>
      <c r="E33" s="3" t="s">
        <v>614</v>
      </c>
      <c r="F33" s="3">
        <v>1</v>
      </c>
      <c r="G33" s="3" t="s">
        <v>655</v>
      </c>
      <c r="H33" s="3">
        <v>1</v>
      </c>
    </row>
    <row r="34" spans="1:8" x14ac:dyDescent="0.3">
      <c r="A34" s="4">
        <v>37654</v>
      </c>
      <c r="B34" s="3">
        <v>2003</v>
      </c>
      <c r="C34" s="3">
        <v>2</v>
      </c>
      <c r="D34" s="3" t="s">
        <v>659</v>
      </c>
      <c r="E34" s="3" t="s">
        <v>614</v>
      </c>
      <c r="F34" s="3">
        <v>2</v>
      </c>
      <c r="G34" s="3" t="s">
        <v>656</v>
      </c>
      <c r="H34" s="3">
        <v>1</v>
      </c>
    </row>
    <row r="35" spans="1:8" x14ac:dyDescent="0.3">
      <c r="A35" s="4">
        <v>37655</v>
      </c>
      <c r="B35" s="3">
        <v>2003</v>
      </c>
      <c r="C35" s="3">
        <v>2</v>
      </c>
      <c r="D35" s="3" t="s">
        <v>659</v>
      </c>
      <c r="E35" s="3" t="s">
        <v>614</v>
      </c>
      <c r="F35" s="3">
        <v>3</v>
      </c>
      <c r="G35" s="3" t="s">
        <v>657</v>
      </c>
      <c r="H35" s="3">
        <v>0</v>
      </c>
    </row>
    <row r="36" spans="1:8" x14ac:dyDescent="0.3">
      <c r="A36" s="4">
        <v>37656</v>
      </c>
      <c r="B36" s="3">
        <v>2003</v>
      </c>
      <c r="C36" s="3">
        <v>2</v>
      </c>
      <c r="D36" s="3" t="s">
        <v>659</v>
      </c>
      <c r="E36" s="3" t="s">
        <v>614</v>
      </c>
      <c r="F36" s="3">
        <v>4</v>
      </c>
      <c r="G36" s="3" t="s">
        <v>658</v>
      </c>
      <c r="H36" s="3">
        <v>0</v>
      </c>
    </row>
    <row r="37" spans="1:8" x14ac:dyDescent="0.3">
      <c r="A37" s="4">
        <v>37657</v>
      </c>
      <c r="B37" s="3">
        <v>2003</v>
      </c>
      <c r="C37" s="3">
        <v>2</v>
      </c>
      <c r="D37" s="3" t="s">
        <v>659</v>
      </c>
      <c r="E37" s="3" t="s">
        <v>614</v>
      </c>
      <c r="F37" s="3">
        <v>5</v>
      </c>
      <c r="G37" s="3" t="s">
        <v>652</v>
      </c>
      <c r="H37" s="3">
        <v>0</v>
      </c>
    </row>
    <row r="38" spans="1:8" x14ac:dyDescent="0.3">
      <c r="A38" s="4">
        <v>37658</v>
      </c>
      <c r="B38" s="3">
        <v>2003</v>
      </c>
      <c r="C38" s="3">
        <v>2</v>
      </c>
      <c r="D38" s="3" t="s">
        <v>659</v>
      </c>
      <c r="E38" s="3" t="s">
        <v>614</v>
      </c>
      <c r="F38" s="3">
        <v>6</v>
      </c>
      <c r="G38" s="3" t="s">
        <v>653</v>
      </c>
      <c r="H38" s="3">
        <v>0</v>
      </c>
    </row>
    <row r="39" spans="1:8" x14ac:dyDescent="0.3">
      <c r="A39" s="4">
        <v>37659</v>
      </c>
      <c r="B39" s="3">
        <v>2003</v>
      </c>
      <c r="C39" s="3">
        <v>2</v>
      </c>
      <c r="D39" s="3" t="s">
        <v>659</v>
      </c>
      <c r="E39" s="3" t="s">
        <v>614</v>
      </c>
      <c r="F39" s="3">
        <v>7</v>
      </c>
      <c r="G39" s="3" t="s">
        <v>654</v>
      </c>
      <c r="H39" s="3">
        <v>0</v>
      </c>
    </row>
    <row r="40" spans="1:8" x14ac:dyDescent="0.3">
      <c r="A40" s="4">
        <v>37660</v>
      </c>
      <c r="B40" s="3">
        <v>2003</v>
      </c>
      <c r="C40" s="3">
        <v>2</v>
      </c>
      <c r="D40" s="3" t="s">
        <v>659</v>
      </c>
      <c r="E40" s="3" t="s">
        <v>614</v>
      </c>
      <c r="F40" s="3">
        <v>8</v>
      </c>
      <c r="G40" s="3" t="s">
        <v>655</v>
      </c>
      <c r="H40" s="3">
        <v>1</v>
      </c>
    </row>
    <row r="41" spans="1:8" x14ac:dyDescent="0.3">
      <c r="A41" s="4">
        <v>37661</v>
      </c>
      <c r="B41" s="3">
        <v>2003</v>
      </c>
      <c r="C41" s="3">
        <v>2</v>
      </c>
      <c r="D41" s="3" t="s">
        <v>659</v>
      </c>
      <c r="E41" s="3" t="s">
        <v>614</v>
      </c>
      <c r="F41" s="3">
        <v>9</v>
      </c>
      <c r="G41" s="3" t="s">
        <v>656</v>
      </c>
      <c r="H41" s="3">
        <v>1</v>
      </c>
    </row>
    <row r="42" spans="1:8" x14ac:dyDescent="0.3">
      <c r="A42" s="4">
        <v>37662</v>
      </c>
      <c r="B42" s="3">
        <v>2003</v>
      </c>
      <c r="C42" s="3">
        <v>2</v>
      </c>
      <c r="D42" s="3" t="s">
        <v>659</v>
      </c>
      <c r="E42" s="3" t="s">
        <v>614</v>
      </c>
      <c r="F42" s="3">
        <v>10</v>
      </c>
      <c r="G42" s="3" t="s">
        <v>657</v>
      </c>
      <c r="H42" s="3">
        <v>0</v>
      </c>
    </row>
    <row r="43" spans="1:8" x14ac:dyDescent="0.3">
      <c r="A43" s="4">
        <v>37663</v>
      </c>
      <c r="B43" s="3">
        <v>2003</v>
      </c>
      <c r="C43" s="3">
        <v>2</v>
      </c>
      <c r="D43" s="3" t="s">
        <v>659</v>
      </c>
      <c r="E43" s="3" t="s">
        <v>614</v>
      </c>
      <c r="F43" s="3">
        <v>11</v>
      </c>
      <c r="G43" s="3" t="s">
        <v>658</v>
      </c>
      <c r="H43" s="3">
        <v>0</v>
      </c>
    </row>
    <row r="44" spans="1:8" x14ac:dyDescent="0.3">
      <c r="A44" s="4">
        <v>37664</v>
      </c>
      <c r="B44" s="3">
        <v>2003</v>
      </c>
      <c r="C44" s="3">
        <v>2</v>
      </c>
      <c r="D44" s="3" t="s">
        <v>659</v>
      </c>
      <c r="E44" s="3" t="s">
        <v>614</v>
      </c>
      <c r="F44" s="3">
        <v>12</v>
      </c>
      <c r="G44" s="3" t="s">
        <v>652</v>
      </c>
      <c r="H44" s="3">
        <v>0</v>
      </c>
    </row>
    <row r="45" spans="1:8" x14ac:dyDescent="0.3">
      <c r="A45" s="4">
        <v>37665</v>
      </c>
      <c r="B45" s="3">
        <v>2003</v>
      </c>
      <c r="C45" s="3">
        <v>2</v>
      </c>
      <c r="D45" s="3" t="s">
        <v>659</v>
      </c>
      <c r="E45" s="3" t="s">
        <v>614</v>
      </c>
      <c r="F45" s="3">
        <v>13</v>
      </c>
      <c r="G45" s="3" t="s">
        <v>653</v>
      </c>
      <c r="H45" s="3">
        <v>0</v>
      </c>
    </row>
    <row r="46" spans="1:8" x14ac:dyDescent="0.3">
      <c r="A46" s="4">
        <v>37666</v>
      </c>
      <c r="B46" s="3">
        <v>2003</v>
      </c>
      <c r="C46" s="3">
        <v>2</v>
      </c>
      <c r="D46" s="3" t="s">
        <v>659</v>
      </c>
      <c r="E46" s="3" t="s">
        <v>614</v>
      </c>
      <c r="F46" s="3">
        <v>14</v>
      </c>
      <c r="G46" s="3" t="s">
        <v>654</v>
      </c>
      <c r="H46" s="3">
        <v>0</v>
      </c>
    </row>
    <row r="47" spans="1:8" x14ac:dyDescent="0.3">
      <c r="A47" s="4">
        <v>37667</v>
      </c>
      <c r="B47" s="3">
        <v>2003</v>
      </c>
      <c r="C47" s="3">
        <v>2</v>
      </c>
      <c r="D47" s="3" t="s">
        <v>659</v>
      </c>
      <c r="E47" s="3" t="s">
        <v>614</v>
      </c>
      <c r="F47" s="3">
        <v>15</v>
      </c>
      <c r="G47" s="3" t="s">
        <v>655</v>
      </c>
      <c r="H47" s="3">
        <v>1</v>
      </c>
    </row>
    <row r="48" spans="1:8" x14ac:dyDescent="0.3">
      <c r="A48" s="4">
        <v>37668</v>
      </c>
      <c r="B48" s="3">
        <v>2003</v>
      </c>
      <c r="C48" s="3">
        <v>2</v>
      </c>
      <c r="D48" s="3" t="s">
        <v>659</v>
      </c>
      <c r="E48" s="3" t="s">
        <v>614</v>
      </c>
      <c r="F48" s="3">
        <v>16</v>
      </c>
      <c r="G48" s="3" t="s">
        <v>656</v>
      </c>
      <c r="H48" s="3">
        <v>1</v>
      </c>
    </row>
    <row r="49" spans="1:8" x14ac:dyDescent="0.3">
      <c r="A49" s="4">
        <v>37669</v>
      </c>
      <c r="B49" s="3">
        <v>2003</v>
      </c>
      <c r="C49" s="3">
        <v>2</v>
      </c>
      <c r="D49" s="3" t="s">
        <v>659</v>
      </c>
      <c r="E49" s="3" t="s">
        <v>614</v>
      </c>
      <c r="F49" s="3">
        <v>17</v>
      </c>
      <c r="G49" s="3" t="s">
        <v>657</v>
      </c>
      <c r="H49" s="3">
        <v>0</v>
      </c>
    </row>
    <row r="50" spans="1:8" x14ac:dyDescent="0.3">
      <c r="A50" s="4">
        <v>37670</v>
      </c>
      <c r="B50" s="3">
        <v>2003</v>
      </c>
      <c r="C50" s="3">
        <v>2</v>
      </c>
      <c r="D50" s="3" t="s">
        <v>659</v>
      </c>
      <c r="E50" s="3" t="s">
        <v>614</v>
      </c>
      <c r="F50" s="3">
        <v>18</v>
      </c>
      <c r="G50" s="3" t="s">
        <v>658</v>
      </c>
      <c r="H50" s="3">
        <v>0</v>
      </c>
    </row>
    <row r="51" spans="1:8" x14ac:dyDescent="0.3">
      <c r="A51" s="4">
        <v>37671</v>
      </c>
      <c r="B51" s="3">
        <v>2003</v>
      </c>
      <c r="C51" s="3">
        <v>2</v>
      </c>
      <c r="D51" s="3" t="s">
        <v>659</v>
      </c>
      <c r="E51" s="3" t="s">
        <v>614</v>
      </c>
      <c r="F51" s="3">
        <v>19</v>
      </c>
      <c r="G51" s="3" t="s">
        <v>652</v>
      </c>
      <c r="H51" s="3">
        <v>0</v>
      </c>
    </row>
    <row r="52" spans="1:8" x14ac:dyDescent="0.3">
      <c r="A52" s="4">
        <v>37672</v>
      </c>
      <c r="B52" s="3">
        <v>2003</v>
      </c>
      <c r="C52" s="3">
        <v>2</v>
      </c>
      <c r="D52" s="3" t="s">
        <v>659</v>
      </c>
      <c r="E52" s="3" t="s">
        <v>614</v>
      </c>
      <c r="F52" s="3">
        <v>20</v>
      </c>
      <c r="G52" s="3" t="s">
        <v>653</v>
      </c>
      <c r="H52" s="3">
        <v>0</v>
      </c>
    </row>
    <row r="53" spans="1:8" x14ac:dyDescent="0.3">
      <c r="A53" s="4">
        <v>37673</v>
      </c>
      <c r="B53" s="3">
        <v>2003</v>
      </c>
      <c r="C53" s="3">
        <v>2</v>
      </c>
      <c r="D53" s="3" t="s">
        <v>659</v>
      </c>
      <c r="E53" s="3" t="s">
        <v>614</v>
      </c>
      <c r="F53" s="3">
        <v>21</v>
      </c>
      <c r="G53" s="3" t="s">
        <v>654</v>
      </c>
      <c r="H53" s="3">
        <v>0</v>
      </c>
    </row>
    <row r="54" spans="1:8" x14ac:dyDescent="0.3">
      <c r="A54" s="4">
        <v>37674</v>
      </c>
      <c r="B54" s="3">
        <v>2003</v>
      </c>
      <c r="C54" s="3">
        <v>2</v>
      </c>
      <c r="D54" s="3" t="s">
        <v>659</v>
      </c>
      <c r="E54" s="3" t="s">
        <v>614</v>
      </c>
      <c r="F54" s="3">
        <v>22</v>
      </c>
      <c r="G54" s="3" t="s">
        <v>655</v>
      </c>
      <c r="H54" s="3">
        <v>1</v>
      </c>
    </row>
    <row r="55" spans="1:8" x14ac:dyDescent="0.3">
      <c r="A55" s="4">
        <v>37675</v>
      </c>
      <c r="B55" s="3">
        <v>2003</v>
      </c>
      <c r="C55" s="3">
        <v>2</v>
      </c>
      <c r="D55" s="3" t="s">
        <v>659</v>
      </c>
      <c r="E55" s="3" t="s">
        <v>614</v>
      </c>
      <c r="F55" s="3">
        <v>23</v>
      </c>
      <c r="G55" s="3" t="s">
        <v>656</v>
      </c>
      <c r="H55" s="3">
        <v>1</v>
      </c>
    </row>
    <row r="56" spans="1:8" x14ac:dyDescent="0.3">
      <c r="A56" s="4">
        <v>37676</v>
      </c>
      <c r="B56" s="3">
        <v>2003</v>
      </c>
      <c r="C56" s="3">
        <v>2</v>
      </c>
      <c r="D56" s="3" t="s">
        <v>659</v>
      </c>
      <c r="E56" s="3" t="s">
        <v>614</v>
      </c>
      <c r="F56" s="3">
        <v>24</v>
      </c>
      <c r="G56" s="3" t="s">
        <v>657</v>
      </c>
      <c r="H56" s="3">
        <v>0</v>
      </c>
    </row>
    <row r="57" spans="1:8" x14ac:dyDescent="0.3">
      <c r="A57" s="4">
        <v>37677</v>
      </c>
      <c r="B57" s="3">
        <v>2003</v>
      </c>
      <c r="C57" s="3">
        <v>2</v>
      </c>
      <c r="D57" s="3" t="s">
        <v>659</v>
      </c>
      <c r="E57" s="3" t="s">
        <v>614</v>
      </c>
      <c r="F57" s="3">
        <v>25</v>
      </c>
      <c r="G57" s="3" t="s">
        <v>658</v>
      </c>
      <c r="H57" s="3">
        <v>0</v>
      </c>
    </row>
    <row r="58" spans="1:8" x14ac:dyDescent="0.3">
      <c r="A58" s="4">
        <v>37678</v>
      </c>
      <c r="B58" s="3">
        <v>2003</v>
      </c>
      <c r="C58" s="3">
        <v>2</v>
      </c>
      <c r="D58" s="3" t="s">
        <v>659</v>
      </c>
      <c r="E58" s="3" t="s">
        <v>614</v>
      </c>
      <c r="F58" s="3">
        <v>26</v>
      </c>
      <c r="G58" s="3" t="s">
        <v>652</v>
      </c>
      <c r="H58" s="3">
        <v>0</v>
      </c>
    </row>
    <row r="59" spans="1:8" x14ac:dyDescent="0.3">
      <c r="A59" s="4">
        <v>37679</v>
      </c>
      <c r="B59" s="3">
        <v>2003</v>
      </c>
      <c r="C59" s="3">
        <v>2</v>
      </c>
      <c r="D59" s="3" t="s">
        <v>659</v>
      </c>
      <c r="E59" s="3" t="s">
        <v>614</v>
      </c>
      <c r="F59" s="3">
        <v>27</v>
      </c>
      <c r="G59" s="3" t="s">
        <v>653</v>
      </c>
      <c r="H59" s="3">
        <v>0</v>
      </c>
    </row>
    <row r="60" spans="1:8" x14ac:dyDescent="0.3">
      <c r="A60" s="4">
        <v>37680</v>
      </c>
      <c r="B60" s="3">
        <v>2003</v>
      </c>
      <c r="C60" s="3">
        <v>2</v>
      </c>
      <c r="D60" s="3" t="s">
        <v>659</v>
      </c>
      <c r="E60" s="3" t="s">
        <v>614</v>
      </c>
      <c r="F60" s="3">
        <v>28</v>
      </c>
      <c r="G60" s="3" t="s">
        <v>654</v>
      </c>
      <c r="H60" s="3">
        <v>0</v>
      </c>
    </row>
    <row r="61" spans="1:8" x14ac:dyDescent="0.3">
      <c r="A61" s="4">
        <v>37681</v>
      </c>
      <c r="B61" s="3">
        <v>2003</v>
      </c>
      <c r="C61" s="3">
        <v>3</v>
      </c>
      <c r="D61" s="3" t="s">
        <v>660</v>
      </c>
      <c r="E61" s="3" t="s">
        <v>614</v>
      </c>
      <c r="F61" s="3">
        <v>1</v>
      </c>
      <c r="G61" s="3" t="s">
        <v>655</v>
      </c>
      <c r="H61" s="3">
        <v>1</v>
      </c>
    </row>
    <row r="62" spans="1:8" x14ac:dyDescent="0.3">
      <c r="A62" s="4">
        <v>37682</v>
      </c>
      <c r="B62" s="3">
        <v>2003</v>
      </c>
      <c r="C62" s="3">
        <v>3</v>
      </c>
      <c r="D62" s="3" t="s">
        <v>660</v>
      </c>
      <c r="E62" s="3" t="s">
        <v>614</v>
      </c>
      <c r="F62" s="3">
        <v>2</v>
      </c>
      <c r="G62" s="3" t="s">
        <v>656</v>
      </c>
      <c r="H62" s="3">
        <v>1</v>
      </c>
    </row>
    <row r="63" spans="1:8" x14ac:dyDescent="0.3">
      <c r="A63" s="4">
        <v>37683</v>
      </c>
      <c r="B63" s="3">
        <v>2003</v>
      </c>
      <c r="C63" s="3">
        <v>3</v>
      </c>
      <c r="D63" s="3" t="s">
        <v>660</v>
      </c>
      <c r="E63" s="3" t="s">
        <v>614</v>
      </c>
      <c r="F63" s="3">
        <v>3</v>
      </c>
      <c r="G63" s="3" t="s">
        <v>657</v>
      </c>
      <c r="H63" s="3">
        <v>0</v>
      </c>
    </row>
    <row r="64" spans="1:8" x14ac:dyDescent="0.3">
      <c r="A64" s="4">
        <v>37684</v>
      </c>
      <c r="B64" s="3">
        <v>2003</v>
      </c>
      <c r="C64" s="3">
        <v>3</v>
      </c>
      <c r="D64" s="3" t="s">
        <v>660</v>
      </c>
      <c r="E64" s="3" t="s">
        <v>614</v>
      </c>
      <c r="F64" s="3">
        <v>4</v>
      </c>
      <c r="G64" s="3" t="s">
        <v>658</v>
      </c>
      <c r="H64" s="3">
        <v>0</v>
      </c>
    </row>
    <row r="65" spans="1:8" x14ac:dyDescent="0.3">
      <c r="A65" s="4">
        <v>37685</v>
      </c>
      <c r="B65" s="3">
        <v>2003</v>
      </c>
      <c r="C65" s="3">
        <v>3</v>
      </c>
      <c r="D65" s="3" t="s">
        <v>660</v>
      </c>
      <c r="E65" s="3" t="s">
        <v>614</v>
      </c>
      <c r="F65" s="3">
        <v>5</v>
      </c>
      <c r="G65" s="3" t="s">
        <v>652</v>
      </c>
      <c r="H65" s="3">
        <v>0</v>
      </c>
    </row>
    <row r="66" spans="1:8" x14ac:dyDescent="0.3">
      <c r="A66" s="4">
        <v>37686</v>
      </c>
      <c r="B66" s="3">
        <v>2003</v>
      </c>
      <c r="C66" s="3">
        <v>3</v>
      </c>
      <c r="D66" s="3" t="s">
        <v>660</v>
      </c>
      <c r="E66" s="3" t="s">
        <v>614</v>
      </c>
      <c r="F66" s="3">
        <v>6</v>
      </c>
      <c r="G66" s="3" t="s">
        <v>653</v>
      </c>
      <c r="H66" s="3">
        <v>0</v>
      </c>
    </row>
    <row r="67" spans="1:8" x14ac:dyDescent="0.3">
      <c r="A67" s="4">
        <v>37687</v>
      </c>
      <c r="B67" s="3">
        <v>2003</v>
      </c>
      <c r="C67" s="3">
        <v>3</v>
      </c>
      <c r="D67" s="3" t="s">
        <v>660</v>
      </c>
      <c r="E67" s="3" t="s">
        <v>614</v>
      </c>
      <c r="F67" s="3">
        <v>7</v>
      </c>
      <c r="G67" s="3" t="s">
        <v>654</v>
      </c>
      <c r="H67" s="3">
        <v>0</v>
      </c>
    </row>
    <row r="68" spans="1:8" x14ac:dyDescent="0.3">
      <c r="A68" s="4">
        <v>37688</v>
      </c>
      <c r="B68" s="3">
        <v>2003</v>
      </c>
      <c r="C68" s="3">
        <v>3</v>
      </c>
      <c r="D68" s="3" t="s">
        <v>660</v>
      </c>
      <c r="E68" s="3" t="s">
        <v>614</v>
      </c>
      <c r="F68" s="3">
        <v>8</v>
      </c>
      <c r="G68" s="3" t="s">
        <v>655</v>
      </c>
      <c r="H68" s="3">
        <v>1</v>
      </c>
    </row>
    <row r="69" spans="1:8" x14ac:dyDescent="0.3">
      <c r="A69" s="4">
        <v>37689</v>
      </c>
      <c r="B69" s="3">
        <v>2003</v>
      </c>
      <c r="C69" s="3">
        <v>3</v>
      </c>
      <c r="D69" s="3" t="s">
        <v>660</v>
      </c>
      <c r="E69" s="3" t="s">
        <v>614</v>
      </c>
      <c r="F69" s="3">
        <v>9</v>
      </c>
      <c r="G69" s="3" t="s">
        <v>656</v>
      </c>
      <c r="H69" s="3">
        <v>1</v>
      </c>
    </row>
    <row r="70" spans="1:8" x14ac:dyDescent="0.3">
      <c r="A70" s="4">
        <v>37690</v>
      </c>
      <c r="B70" s="3">
        <v>2003</v>
      </c>
      <c r="C70" s="3">
        <v>3</v>
      </c>
      <c r="D70" s="3" t="s">
        <v>660</v>
      </c>
      <c r="E70" s="3" t="s">
        <v>614</v>
      </c>
      <c r="F70" s="3">
        <v>10</v>
      </c>
      <c r="G70" s="3" t="s">
        <v>657</v>
      </c>
      <c r="H70" s="3">
        <v>0</v>
      </c>
    </row>
    <row r="71" spans="1:8" x14ac:dyDescent="0.3">
      <c r="A71" s="4">
        <v>37691</v>
      </c>
      <c r="B71" s="3">
        <v>2003</v>
      </c>
      <c r="C71" s="3">
        <v>3</v>
      </c>
      <c r="D71" s="3" t="s">
        <v>660</v>
      </c>
      <c r="E71" s="3" t="s">
        <v>614</v>
      </c>
      <c r="F71" s="3">
        <v>11</v>
      </c>
      <c r="G71" s="3" t="s">
        <v>658</v>
      </c>
      <c r="H71" s="3">
        <v>0</v>
      </c>
    </row>
    <row r="72" spans="1:8" x14ac:dyDescent="0.3">
      <c r="A72" s="4">
        <v>37692</v>
      </c>
      <c r="B72" s="3">
        <v>2003</v>
      </c>
      <c r="C72" s="3">
        <v>3</v>
      </c>
      <c r="D72" s="3" t="s">
        <v>660</v>
      </c>
      <c r="E72" s="3" t="s">
        <v>614</v>
      </c>
      <c r="F72" s="3">
        <v>12</v>
      </c>
      <c r="G72" s="3" t="s">
        <v>652</v>
      </c>
      <c r="H72" s="3">
        <v>0</v>
      </c>
    </row>
    <row r="73" spans="1:8" x14ac:dyDescent="0.3">
      <c r="A73" s="4">
        <v>37693</v>
      </c>
      <c r="B73" s="3">
        <v>2003</v>
      </c>
      <c r="C73" s="3">
        <v>3</v>
      </c>
      <c r="D73" s="3" t="s">
        <v>660</v>
      </c>
      <c r="E73" s="3" t="s">
        <v>614</v>
      </c>
      <c r="F73" s="3">
        <v>13</v>
      </c>
      <c r="G73" s="3" t="s">
        <v>653</v>
      </c>
      <c r="H73" s="3">
        <v>0</v>
      </c>
    </row>
    <row r="74" spans="1:8" x14ac:dyDescent="0.3">
      <c r="A74" s="4">
        <v>37694</v>
      </c>
      <c r="B74" s="3">
        <v>2003</v>
      </c>
      <c r="C74" s="3">
        <v>3</v>
      </c>
      <c r="D74" s="3" t="s">
        <v>660</v>
      </c>
      <c r="E74" s="3" t="s">
        <v>614</v>
      </c>
      <c r="F74" s="3">
        <v>14</v>
      </c>
      <c r="G74" s="3" t="s">
        <v>654</v>
      </c>
      <c r="H74" s="3">
        <v>0</v>
      </c>
    </row>
    <row r="75" spans="1:8" x14ac:dyDescent="0.3">
      <c r="A75" s="4">
        <v>37695</v>
      </c>
      <c r="B75" s="3">
        <v>2003</v>
      </c>
      <c r="C75" s="3">
        <v>3</v>
      </c>
      <c r="D75" s="3" t="s">
        <v>660</v>
      </c>
      <c r="E75" s="3" t="s">
        <v>614</v>
      </c>
      <c r="F75" s="3">
        <v>15</v>
      </c>
      <c r="G75" s="3" t="s">
        <v>655</v>
      </c>
      <c r="H75" s="3">
        <v>1</v>
      </c>
    </row>
    <row r="76" spans="1:8" x14ac:dyDescent="0.3">
      <c r="A76" s="4">
        <v>37696</v>
      </c>
      <c r="B76" s="3">
        <v>2003</v>
      </c>
      <c r="C76" s="3">
        <v>3</v>
      </c>
      <c r="D76" s="3" t="s">
        <v>660</v>
      </c>
      <c r="E76" s="3" t="s">
        <v>614</v>
      </c>
      <c r="F76" s="3">
        <v>16</v>
      </c>
      <c r="G76" s="3" t="s">
        <v>656</v>
      </c>
      <c r="H76" s="3">
        <v>1</v>
      </c>
    </row>
    <row r="77" spans="1:8" x14ac:dyDescent="0.3">
      <c r="A77" s="4">
        <v>37697</v>
      </c>
      <c r="B77" s="3">
        <v>2003</v>
      </c>
      <c r="C77" s="3">
        <v>3</v>
      </c>
      <c r="D77" s="3" t="s">
        <v>660</v>
      </c>
      <c r="E77" s="3" t="s">
        <v>614</v>
      </c>
      <c r="F77" s="3">
        <v>17</v>
      </c>
      <c r="G77" s="3" t="s">
        <v>657</v>
      </c>
      <c r="H77" s="3">
        <v>0</v>
      </c>
    </row>
    <row r="78" spans="1:8" x14ac:dyDescent="0.3">
      <c r="A78" s="4">
        <v>37698</v>
      </c>
      <c r="B78" s="3">
        <v>2003</v>
      </c>
      <c r="C78" s="3">
        <v>3</v>
      </c>
      <c r="D78" s="3" t="s">
        <v>660</v>
      </c>
      <c r="E78" s="3" t="s">
        <v>614</v>
      </c>
      <c r="F78" s="3">
        <v>18</v>
      </c>
      <c r="G78" s="3" t="s">
        <v>658</v>
      </c>
      <c r="H78" s="3">
        <v>0</v>
      </c>
    </row>
    <row r="79" spans="1:8" x14ac:dyDescent="0.3">
      <c r="A79" s="4">
        <v>37699</v>
      </c>
      <c r="B79" s="3">
        <v>2003</v>
      </c>
      <c r="C79" s="3">
        <v>3</v>
      </c>
      <c r="D79" s="3" t="s">
        <v>660</v>
      </c>
      <c r="E79" s="3" t="s">
        <v>614</v>
      </c>
      <c r="F79" s="3">
        <v>19</v>
      </c>
      <c r="G79" s="3" t="s">
        <v>652</v>
      </c>
      <c r="H79" s="3">
        <v>0</v>
      </c>
    </row>
    <row r="80" spans="1:8" x14ac:dyDescent="0.3">
      <c r="A80" s="4">
        <v>37700</v>
      </c>
      <c r="B80" s="3">
        <v>2003</v>
      </c>
      <c r="C80" s="3">
        <v>3</v>
      </c>
      <c r="D80" s="3" t="s">
        <v>660</v>
      </c>
      <c r="E80" s="3" t="s">
        <v>614</v>
      </c>
      <c r="F80" s="3">
        <v>20</v>
      </c>
      <c r="G80" s="3" t="s">
        <v>653</v>
      </c>
      <c r="H80" s="3">
        <v>0</v>
      </c>
    </row>
    <row r="81" spans="1:8" x14ac:dyDescent="0.3">
      <c r="A81" s="4">
        <v>37701</v>
      </c>
      <c r="B81" s="3">
        <v>2003</v>
      </c>
      <c r="C81" s="3">
        <v>3</v>
      </c>
      <c r="D81" s="3" t="s">
        <v>660</v>
      </c>
      <c r="E81" s="3" t="s">
        <v>614</v>
      </c>
      <c r="F81" s="3">
        <v>21</v>
      </c>
      <c r="G81" s="3" t="s">
        <v>654</v>
      </c>
      <c r="H81" s="3">
        <v>0</v>
      </c>
    </row>
    <row r="82" spans="1:8" x14ac:dyDescent="0.3">
      <c r="A82" s="4">
        <v>37702</v>
      </c>
      <c r="B82" s="3">
        <v>2003</v>
      </c>
      <c r="C82" s="3">
        <v>3</v>
      </c>
      <c r="D82" s="3" t="s">
        <v>660</v>
      </c>
      <c r="E82" s="3" t="s">
        <v>614</v>
      </c>
      <c r="F82" s="3">
        <v>22</v>
      </c>
      <c r="G82" s="3" t="s">
        <v>655</v>
      </c>
      <c r="H82" s="3">
        <v>1</v>
      </c>
    </row>
    <row r="83" spans="1:8" x14ac:dyDescent="0.3">
      <c r="A83" s="4">
        <v>37703</v>
      </c>
      <c r="B83" s="3">
        <v>2003</v>
      </c>
      <c r="C83" s="3">
        <v>3</v>
      </c>
      <c r="D83" s="3" t="s">
        <v>660</v>
      </c>
      <c r="E83" s="3" t="s">
        <v>614</v>
      </c>
      <c r="F83" s="3">
        <v>23</v>
      </c>
      <c r="G83" s="3" t="s">
        <v>656</v>
      </c>
      <c r="H83" s="3">
        <v>1</v>
      </c>
    </row>
    <row r="84" spans="1:8" x14ac:dyDescent="0.3">
      <c r="A84" s="4">
        <v>37704</v>
      </c>
      <c r="B84" s="3">
        <v>2003</v>
      </c>
      <c r="C84" s="3">
        <v>3</v>
      </c>
      <c r="D84" s="3" t="s">
        <v>660</v>
      </c>
      <c r="E84" s="3" t="s">
        <v>614</v>
      </c>
      <c r="F84" s="3">
        <v>24</v>
      </c>
      <c r="G84" s="3" t="s">
        <v>657</v>
      </c>
      <c r="H84" s="3">
        <v>0</v>
      </c>
    </row>
    <row r="85" spans="1:8" x14ac:dyDescent="0.3">
      <c r="A85" s="4">
        <v>37705</v>
      </c>
      <c r="B85" s="3">
        <v>2003</v>
      </c>
      <c r="C85" s="3">
        <v>3</v>
      </c>
      <c r="D85" s="3" t="s">
        <v>660</v>
      </c>
      <c r="E85" s="3" t="s">
        <v>614</v>
      </c>
      <c r="F85" s="3">
        <v>25</v>
      </c>
      <c r="G85" s="3" t="s">
        <v>658</v>
      </c>
      <c r="H85" s="3">
        <v>0</v>
      </c>
    </row>
    <row r="86" spans="1:8" x14ac:dyDescent="0.3">
      <c r="A86" s="4">
        <v>37706</v>
      </c>
      <c r="B86" s="3">
        <v>2003</v>
      </c>
      <c r="C86" s="3">
        <v>3</v>
      </c>
      <c r="D86" s="3" t="s">
        <v>660</v>
      </c>
      <c r="E86" s="3" t="s">
        <v>614</v>
      </c>
      <c r="F86" s="3">
        <v>26</v>
      </c>
      <c r="G86" s="3" t="s">
        <v>652</v>
      </c>
      <c r="H86" s="3">
        <v>0</v>
      </c>
    </row>
    <row r="87" spans="1:8" x14ac:dyDescent="0.3">
      <c r="A87" s="4">
        <v>37707</v>
      </c>
      <c r="B87" s="3">
        <v>2003</v>
      </c>
      <c r="C87" s="3">
        <v>3</v>
      </c>
      <c r="D87" s="3" t="s">
        <v>660</v>
      </c>
      <c r="E87" s="3" t="s">
        <v>614</v>
      </c>
      <c r="F87" s="3">
        <v>27</v>
      </c>
      <c r="G87" s="3" t="s">
        <v>653</v>
      </c>
      <c r="H87" s="3">
        <v>0</v>
      </c>
    </row>
    <row r="88" spans="1:8" x14ac:dyDescent="0.3">
      <c r="A88" s="4">
        <v>37708</v>
      </c>
      <c r="B88" s="3">
        <v>2003</v>
      </c>
      <c r="C88" s="3">
        <v>3</v>
      </c>
      <c r="D88" s="3" t="s">
        <v>660</v>
      </c>
      <c r="E88" s="3" t="s">
        <v>614</v>
      </c>
      <c r="F88" s="3">
        <v>28</v>
      </c>
      <c r="G88" s="3" t="s">
        <v>654</v>
      </c>
      <c r="H88" s="3">
        <v>0</v>
      </c>
    </row>
    <row r="89" spans="1:8" x14ac:dyDescent="0.3">
      <c r="A89" s="4">
        <v>37709</v>
      </c>
      <c r="B89" s="3">
        <v>2003</v>
      </c>
      <c r="C89" s="3">
        <v>3</v>
      </c>
      <c r="D89" s="3" t="s">
        <v>660</v>
      </c>
      <c r="E89" s="3" t="s">
        <v>614</v>
      </c>
      <c r="F89" s="3">
        <v>29</v>
      </c>
      <c r="G89" s="3" t="s">
        <v>655</v>
      </c>
      <c r="H89" s="3">
        <v>1</v>
      </c>
    </row>
    <row r="90" spans="1:8" x14ac:dyDescent="0.3">
      <c r="A90" s="4">
        <v>37710</v>
      </c>
      <c r="B90" s="3">
        <v>2003</v>
      </c>
      <c r="C90" s="3">
        <v>3</v>
      </c>
      <c r="D90" s="3" t="s">
        <v>660</v>
      </c>
      <c r="E90" s="3" t="s">
        <v>614</v>
      </c>
      <c r="F90" s="3">
        <v>30</v>
      </c>
      <c r="G90" s="3" t="s">
        <v>656</v>
      </c>
      <c r="H90" s="3">
        <v>1</v>
      </c>
    </row>
    <row r="91" spans="1:8" x14ac:dyDescent="0.3">
      <c r="A91" s="4">
        <v>37711</v>
      </c>
      <c r="B91" s="3">
        <v>2003</v>
      </c>
      <c r="C91" s="3">
        <v>3</v>
      </c>
      <c r="D91" s="3" t="s">
        <v>660</v>
      </c>
      <c r="E91" s="3" t="s">
        <v>614</v>
      </c>
      <c r="F91" s="3">
        <v>31</v>
      </c>
      <c r="G91" s="3" t="s">
        <v>657</v>
      </c>
      <c r="H91" s="3">
        <v>0</v>
      </c>
    </row>
    <row r="92" spans="1:8" x14ac:dyDescent="0.3">
      <c r="A92" s="4">
        <v>37712</v>
      </c>
      <c r="B92" s="3">
        <v>2003</v>
      </c>
      <c r="C92" s="3">
        <v>4</v>
      </c>
      <c r="D92" s="3" t="s">
        <v>661</v>
      </c>
      <c r="E92" s="3" t="s">
        <v>615</v>
      </c>
      <c r="F92" s="3">
        <v>1</v>
      </c>
      <c r="G92" s="3" t="s">
        <v>658</v>
      </c>
      <c r="H92" s="3">
        <v>0</v>
      </c>
    </row>
    <row r="93" spans="1:8" x14ac:dyDescent="0.3">
      <c r="A93" s="4">
        <v>37713</v>
      </c>
      <c r="B93" s="3">
        <v>2003</v>
      </c>
      <c r="C93" s="3">
        <v>4</v>
      </c>
      <c r="D93" s="3" t="s">
        <v>661</v>
      </c>
      <c r="E93" s="3" t="s">
        <v>615</v>
      </c>
      <c r="F93" s="3">
        <v>2</v>
      </c>
      <c r="G93" s="3" t="s">
        <v>652</v>
      </c>
      <c r="H93" s="3">
        <v>0</v>
      </c>
    </row>
    <row r="94" spans="1:8" x14ac:dyDescent="0.3">
      <c r="A94" s="4">
        <v>37714</v>
      </c>
      <c r="B94" s="3">
        <v>2003</v>
      </c>
      <c r="C94" s="3">
        <v>4</v>
      </c>
      <c r="D94" s="3" t="s">
        <v>661</v>
      </c>
      <c r="E94" s="3" t="s">
        <v>615</v>
      </c>
      <c r="F94" s="3">
        <v>3</v>
      </c>
      <c r="G94" s="3" t="s">
        <v>653</v>
      </c>
      <c r="H94" s="3">
        <v>0</v>
      </c>
    </row>
    <row r="95" spans="1:8" x14ac:dyDescent="0.3">
      <c r="A95" s="4">
        <v>37715</v>
      </c>
      <c r="B95" s="3">
        <v>2003</v>
      </c>
      <c r="C95" s="3">
        <v>4</v>
      </c>
      <c r="D95" s="3" t="s">
        <v>661</v>
      </c>
      <c r="E95" s="3" t="s">
        <v>615</v>
      </c>
      <c r="F95" s="3">
        <v>4</v>
      </c>
      <c r="G95" s="3" t="s">
        <v>654</v>
      </c>
      <c r="H95" s="3">
        <v>0</v>
      </c>
    </row>
    <row r="96" spans="1:8" x14ac:dyDescent="0.3">
      <c r="A96" s="4">
        <v>37716</v>
      </c>
      <c r="B96" s="3">
        <v>2003</v>
      </c>
      <c r="C96" s="3">
        <v>4</v>
      </c>
      <c r="D96" s="3" t="s">
        <v>661</v>
      </c>
      <c r="E96" s="3" t="s">
        <v>615</v>
      </c>
      <c r="F96" s="3">
        <v>5</v>
      </c>
      <c r="G96" s="3" t="s">
        <v>655</v>
      </c>
      <c r="H96" s="3">
        <v>1</v>
      </c>
    </row>
    <row r="97" spans="1:8" x14ac:dyDescent="0.3">
      <c r="A97" s="4">
        <v>37717</v>
      </c>
      <c r="B97" s="3">
        <v>2003</v>
      </c>
      <c r="C97" s="3">
        <v>4</v>
      </c>
      <c r="D97" s="3" t="s">
        <v>661</v>
      </c>
      <c r="E97" s="3" t="s">
        <v>615</v>
      </c>
      <c r="F97" s="3">
        <v>6</v>
      </c>
      <c r="G97" s="3" t="s">
        <v>656</v>
      </c>
      <c r="H97" s="3">
        <v>1</v>
      </c>
    </row>
    <row r="98" spans="1:8" x14ac:dyDescent="0.3">
      <c r="A98" s="4">
        <v>37718</v>
      </c>
      <c r="B98" s="3">
        <v>2003</v>
      </c>
      <c r="C98" s="3">
        <v>4</v>
      </c>
      <c r="D98" s="3" t="s">
        <v>661</v>
      </c>
      <c r="E98" s="3" t="s">
        <v>615</v>
      </c>
      <c r="F98" s="3">
        <v>7</v>
      </c>
      <c r="G98" s="3" t="s">
        <v>657</v>
      </c>
      <c r="H98" s="3">
        <v>0</v>
      </c>
    </row>
    <row r="99" spans="1:8" x14ac:dyDescent="0.3">
      <c r="A99" s="4">
        <v>37719</v>
      </c>
      <c r="B99" s="3">
        <v>2003</v>
      </c>
      <c r="C99" s="3">
        <v>4</v>
      </c>
      <c r="D99" s="3" t="s">
        <v>661</v>
      </c>
      <c r="E99" s="3" t="s">
        <v>615</v>
      </c>
      <c r="F99" s="3">
        <v>8</v>
      </c>
      <c r="G99" s="3" t="s">
        <v>658</v>
      </c>
      <c r="H99" s="3">
        <v>0</v>
      </c>
    </row>
    <row r="100" spans="1:8" x14ac:dyDescent="0.3">
      <c r="A100" s="4">
        <v>37720</v>
      </c>
      <c r="B100" s="3">
        <v>2003</v>
      </c>
      <c r="C100" s="3">
        <v>4</v>
      </c>
      <c r="D100" s="3" t="s">
        <v>661</v>
      </c>
      <c r="E100" s="3" t="s">
        <v>615</v>
      </c>
      <c r="F100" s="3">
        <v>9</v>
      </c>
      <c r="G100" s="3" t="s">
        <v>652</v>
      </c>
      <c r="H100" s="3">
        <v>0</v>
      </c>
    </row>
    <row r="101" spans="1:8" x14ac:dyDescent="0.3">
      <c r="A101" s="4">
        <v>37721</v>
      </c>
      <c r="B101" s="3">
        <v>2003</v>
      </c>
      <c r="C101" s="3">
        <v>4</v>
      </c>
      <c r="D101" s="3" t="s">
        <v>661</v>
      </c>
      <c r="E101" s="3" t="s">
        <v>615</v>
      </c>
      <c r="F101" s="3">
        <v>10</v>
      </c>
      <c r="G101" s="3" t="s">
        <v>653</v>
      </c>
      <c r="H101" s="3">
        <v>0</v>
      </c>
    </row>
    <row r="102" spans="1:8" x14ac:dyDescent="0.3">
      <c r="A102" s="4">
        <v>37722</v>
      </c>
      <c r="B102" s="3">
        <v>2003</v>
      </c>
      <c r="C102" s="3">
        <v>4</v>
      </c>
      <c r="D102" s="3" t="s">
        <v>661</v>
      </c>
      <c r="E102" s="3" t="s">
        <v>615</v>
      </c>
      <c r="F102" s="3">
        <v>11</v>
      </c>
      <c r="G102" s="3" t="s">
        <v>654</v>
      </c>
      <c r="H102" s="3">
        <v>0</v>
      </c>
    </row>
    <row r="103" spans="1:8" x14ac:dyDescent="0.3">
      <c r="A103" s="4">
        <v>37723</v>
      </c>
      <c r="B103" s="3">
        <v>2003</v>
      </c>
      <c r="C103" s="3">
        <v>4</v>
      </c>
      <c r="D103" s="3" t="s">
        <v>661</v>
      </c>
      <c r="E103" s="3" t="s">
        <v>615</v>
      </c>
      <c r="F103" s="3">
        <v>12</v>
      </c>
      <c r="G103" s="3" t="s">
        <v>655</v>
      </c>
      <c r="H103" s="3">
        <v>1</v>
      </c>
    </row>
    <row r="104" spans="1:8" x14ac:dyDescent="0.3">
      <c r="A104" s="4">
        <v>37724</v>
      </c>
      <c r="B104" s="3">
        <v>2003</v>
      </c>
      <c r="C104" s="3">
        <v>4</v>
      </c>
      <c r="D104" s="3" t="s">
        <v>661</v>
      </c>
      <c r="E104" s="3" t="s">
        <v>615</v>
      </c>
      <c r="F104" s="3">
        <v>13</v>
      </c>
      <c r="G104" s="3" t="s">
        <v>656</v>
      </c>
      <c r="H104" s="3">
        <v>1</v>
      </c>
    </row>
    <row r="105" spans="1:8" x14ac:dyDescent="0.3">
      <c r="A105" s="4">
        <v>37725</v>
      </c>
      <c r="B105" s="3">
        <v>2003</v>
      </c>
      <c r="C105" s="3">
        <v>4</v>
      </c>
      <c r="D105" s="3" t="s">
        <v>661</v>
      </c>
      <c r="E105" s="3" t="s">
        <v>615</v>
      </c>
      <c r="F105" s="3">
        <v>14</v>
      </c>
      <c r="G105" s="3" t="s">
        <v>657</v>
      </c>
      <c r="H105" s="3">
        <v>0</v>
      </c>
    </row>
    <row r="106" spans="1:8" x14ac:dyDescent="0.3">
      <c r="A106" s="4">
        <v>37726</v>
      </c>
      <c r="B106" s="3">
        <v>2003</v>
      </c>
      <c r="C106" s="3">
        <v>4</v>
      </c>
      <c r="D106" s="3" t="s">
        <v>661</v>
      </c>
      <c r="E106" s="3" t="s">
        <v>615</v>
      </c>
      <c r="F106" s="3">
        <v>15</v>
      </c>
      <c r="G106" s="3" t="s">
        <v>658</v>
      </c>
      <c r="H106" s="3">
        <v>0</v>
      </c>
    </row>
    <row r="107" spans="1:8" x14ac:dyDescent="0.3">
      <c r="A107" s="4">
        <v>37727</v>
      </c>
      <c r="B107" s="3">
        <v>2003</v>
      </c>
      <c r="C107" s="3">
        <v>4</v>
      </c>
      <c r="D107" s="3" t="s">
        <v>661</v>
      </c>
      <c r="E107" s="3" t="s">
        <v>615</v>
      </c>
      <c r="F107" s="3">
        <v>16</v>
      </c>
      <c r="G107" s="3" t="s">
        <v>652</v>
      </c>
      <c r="H107" s="3">
        <v>0</v>
      </c>
    </row>
    <row r="108" spans="1:8" x14ac:dyDescent="0.3">
      <c r="A108" s="4">
        <v>37728</v>
      </c>
      <c r="B108" s="3">
        <v>2003</v>
      </c>
      <c r="C108" s="3">
        <v>4</v>
      </c>
      <c r="D108" s="3" t="s">
        <v>661</v>
      </c>
      <c r="E108" s="3" t="s">
        <v>615</v>
      </c>
      <c r="F108" s="3">
        <v>17</v>
      </c>
      <c r="G108" s="3" t="s">
        <v>653</v>
      </c>
      <c r="H108" s="3">
        <v>0</v>
      </c>
    </row>
    <row r="109" spans="1:8" x14ac:dyDescent="0.3">
      <c r="A109" s="4">
        <v>37729</v>
      </c>
      <c r="B109" s="3">
        <v>2003</v>
      </c>
      <c r="C109" s="3">
        <v>4</v>
      </c>
      <c r="D109" s="3" t="s">
        <v>661</v>
      </c>
      <c r="E109" s="3" t="s">
        <v>615</v>
      </c>
      <c r="F109" s="3">
        <v>18</v>
      </c>
      <c r="G109" s="3" t="s">
        <v>654</v>
      </c>
      <c r="H109" s="3">
        <v>0</v>
      </c>
    </row>
    <row r="110" spans="1:8" x14ac:dyDescent="0.3">
      <c r="A110" s="4">
        <v>37730</v>
      </c>
      <c r="B110" s="3">
        <v>2003</v>
      </c>
      <c r="C110" s="3">
        <v>4</v>
      </c>
      <c r="D110" s="3" t="s">
        <v>661</v>
      </c>
      <c r="E110" s="3" t="s">
        <v>615</v>
      </c>
      <c r="F110" s="3">
        <v>19</v>
      </c>
      <c r="G110" s="3" t="s">
        <v>655</v>
      </c>
      <c r="H110" s="3">
        <v>1</v>
      </c>
    </row>
    <row r="111" spans="1:8" x14ac:dyDescent="0.3">
      <c r="A111" s="4">
        <v>37731</v>
      </c>
      <c r="B111" s="3">
        <v>2003</v>
      </c>
      <c r="C111" s="3">
        <v>4</v>
      </c>
      <c r="D111" s="3" t="s">
        <v>661</v>
      </c>
      <c r="E111" s="3" t="s">
        <v>615</v>
      </c>
      <c r="F111" s="3">
        <v>20</v>
      </c>
      <c r="G111" s="3" t="s">
        <v>656</v>
      </c>
      <c r="H111" s="3">
        <v>1</v>
      </c>
    </row>
    <row r="112" spans="1:8" x14ac:dyDescent="0.3">
      <c r="A112" s="4">
        <v>37732</v>
      </c>
      <c r="B112" s="3">
        <v>2003</v>
      </c>
      <c r="C112" s="3">
        <v>4</v>
      </c>
      <c r="D112" s="3" t="s">
        <v>661</v>
      </c>
      <c r="E112" s="3" t="s">
        <v>615</v>
      </c>
      <c r="F112" s="3">
        <v>21</v>
      </c>
      <c r="G112" s="3" t="s">
        <v>657</v>
      </c>
      <c r="H112" s="3">
        <v>0</v>
      </c>
    </row>
    <row r="113" spans="1:8" x14ac:dyDescent="0.3">
      <c r="A113" s="4">
        <v>37733</v>
      </c>
      <c r="B113" s="3">
        <v>2003</v>
      </c>
      <c r="C113" s="3">
        <v>4</v>
      </c>
      <c r="D113" s="3" t="s">
        <v>661</v>
      </c>
      <c r="E113" s="3" t="s">
        <v>615</v>
      </c>
      <c r="F113" s="3">
        <v>22</v>
      </c>
      <c r="G113" s="3" t="s">
        <v>658</v>
      </c>
      <c r="H113" s="3">
        <v>0</v>
      </c>
    </row>
    <row r="114" spans="1:8" x14ac:dyDescent="0.3">
      <c r="A114" s="4">
        <v>37734</v>
      </c>
      <c r="B114" s="3">
        <v>2003</v>
      </c>
      <c r="C114" s="3">
        <v>4</v>
      </c>
      <c r="D114" s="3" t="s">
        <v>661</v>
      </c>
      <c r="E114" s="3" t="s">
        <v>615</v>
      </c>
      <c r="F114" s="3">
        <v>23</v>
      </c>
      <c r="G114" s="3" t="s">
        <v>652</v>
      </c>
      <c r="H114" s="3">
        <v>0</v>
      </c>
    </row>
    <row r="115" spans="1:8" x14ac:dyDescent="0.3">
      <c r="A115" s="4">
        <v>37735</v>
      </c>
      <c r="B115" s="3">
        <v>2003</v>
      </c>
      <c r="C115" s="3">
        <v>4</v>
      </c>
      <c r="D115" s="3" t="s">
        <v>661</v>
      </c>
      <c r="E115" s="3" t="s">
        <v>615</v>
      </c>
      <c r="F115" s="3">
        <v>24</v>
      </c>
      <c r="G115" s="3" t="s">
        <v>653</v>
      </c>
      <c r="H115" s="3">
        <v>0</v>
      </c>
    </row>
    <row r="116" spans="1:8" x14ac:dyDescent="0.3">
      <c r="A116" s="4">
        <v>37736</v>
      </c>
      <c r="B116" s="3">
        <v>2003</v>
      </c>
      <c r="C116" s="3">
        <v>4</v>
      </c>
      <c r="D116" s="3" t="s">
        <v>661</v>
      </c>
      <c r="E116" s="3" t="s">
        <v>615</v>
      </c>
      <c r="F116" s="3">
        <v>25</v>
      </c>
      <c r="G116" s="3" t="s">
        <v>654</v>
      </c>
      <c r="H116" s="3">
        <v>0</v>
      </c>
    </row>
    <row r="117" spans="1:8" x14ac:dyDescent="0.3">
      <c r="A117" s="4">
        <v>37737</v>
      </c>
      <c r="B117" s="3">
        <v>2003</v>
      </c>
      <c r="C117" s="3">
        <v>4</v>
      </c>
      <c r="D117" s="3" t="s">
        <v>661</v>
      </c>
      <c r="E117" s="3" t="s">
        <v>615</v>
      </c>
      <c r="F117" s="3">
        <v>26</v>
      </c>
      <c r="G117" s="3" t="s">
        <v>655</v>
      </c>
      <c r="H117" s="3">
        <v>1</v>
      </c>
    </row>
    <row r="118" spans="1:8" x14ac:dyDescent="0.3">
      <c r="A118" s="4">
        <v>37738</v>
      </c>
      <c r="B118" s="3">
        <v>2003</v>
      </c>
      <c r="C118" s="3">
        <v>4</v>
      </c>
      <c r="D118" s="3" t="s">
        <v>661</v>
      </c>
      <c r="E118" s="3" t="s">
        <v>615</v>
      </c>
      <c r="F118" s="3">
        <v>27</v>
      </c>
      <c r="G118" s="3" t="s">
        <v>656</v>
      </c>
      <c r="H118" s="3">
        <v>1</v>
      </c>
    </row>
    <row r="119" spans="1:8" x14ac:dyDescent="0.3">
      <c r="A119" s="4">
        <v>37739</v>
      </c>
      <c r="B119" s="3">
        <v>2003</v>
      </c>
      <c r="C119" s="3">
        <v>4</v>
      </c>
      <c r="D119" s="3" t="s">
        <v>661</v>
      </c>
      <c r="E119" s="3" t="s">
        <v>615</v>
      </c>
      <c r="F119" s="3">
        <v>28</v>
      </c>
      <c r="G119" s="3" t="s">
        <v>657</v>
      </c>
      <c r="H119" s="3">
        <v>0</v>
      </c>
    </row>
    <row r="120" spans="1:8" x14ac:dyDescent="0.3">
      <c r="A120" s="4">
        <v>37740</v>
      </c>
      <c r="B120" s="3">
        <v>2003</v>
      </c>
      <c r="C120" s="3">
        <v>4</v>
      </c>
      <c r="D120" s="3" t="s">
        <v>661</v>
      </c>
      <c r="E120" s="3" t="s">
        <v>615</v>
      </c>
      <c r="F120" s="3">
        <v>29</v>
      </c>
      <c r="G120" s="3" t="s">
        <v>658</v>
      </c>
      <c r="H120" s="3">
        <v>0</v>
      </c>
    </row>
    <row r="121" spans="1:8" x14ac:dyDescent="0.3">
      <c r="A121" s="4">
        <v>37741</v>
      </c>
      <c r="B121" s="3">
        <v>2003</v>
      </c>
      <c r="C121" s="3">
        <v>4</v>
      </c>
      <c r="D121" s="3" t="s">
        <v>661</v>
      </c>
      <c r="E121" s="3" t="s">
        <v>615</v>
      </c>
      <c r="F121" s="3">
        <v>30</v>
      </c>
      <c r="G121" s="3" t="s">
        <v>652</v>
      </c>
      <c r="H121" s="3">
        <v>0</v>
      </c>
    </row>
    <row r="122" spans="1:8" x14ac:dyDescent="0.3">
      <c r="A122" s="4">
        <v>37742</v>
      </c>
      <c r="B122" s="3">
        <v>2003</v>
      </c>
      <c r="C122" s="3">
        <v>5</v>
      </c>
      <c r="D122" s="3" t="s">
        <v>662</v>
      </c>
      <c r="E122" s="3" t="s">
        <v>615</v>
      </c>
      <c r="F122" s="3">
        <v>1</v>
      </c>
      <c r="G122" s="3" t="s">
        <v>653</v>
      </c>
      <c r="H122" s="3">
        <v>0</v>
      </c>
    </row>
    <row r="123" spans="1:8" x14ac:dyDescent="0.3">
      <c r="A123" s="4">
        <v>37743</v>
      </c>
      <c r="B123" s="3">
        <v>2003</v>
      </c>
      <c r="C123" s="3">
        <v>5</v>
      </c>
      <c r="D123" s="3" t="s">
        <v>662</v>
      </c>
      <c r="E123" s="3" t="s">
        <v>615</v>
      </c>
      <c r="F123" s="3">
        <v>2</v>
      </c>
      <c r="G123" s="3" t="s">
        <v>654</v>
      </c>
      <c r="H123" s="3">
        <v>0</v>
      </c>
    </row>
    <row r="124" spans="1:8" x14ac:dyDescent="0.3">
      <c r="A124" s="4">
        <v>37744</v>
      </c>
      <c r="B124" s="3">
        <v>2003</v>
      </c>
      <c r="C124" s="3">
        <v>5</v>
      </c>
      <c r="D124" s="3" t="s">
        <v>662</v>
      </c>
      <c r="E124" s="3" t="s">
        <v>615</v>
      </c>
      <c r="F124" s="3">
        <v>3</v>
      </c>
      <c r="G124" s="3" t="s">
        <v>655</v>
      </c>
      <c r="H124" s="3">
        <v>1</v>
      </c>
    </row>
    <row r="125" spans="1:8" x14ac:dyDescent="0.3">
      <c r="A125" s="4">
        <v>37745</v>
      </c>
      <c r="B125" s="3">
        <v>2003</v>
      </c>
      <c r="C125" s="3">
        <v>5</v>
      </c>
      <c r="D125" s="3" t="s">
        <v>662</v>
      </c>
      <c r="E125" s="3" t="s">
        <v>615</v>
      </c>
      <c r="F125" s="3">
        <v>4</v>
      </c>
      <c r="G125" s="3" t="s">
        <v>656</v>
      </c>
      <c r="H125" s="3">
        <v>1</v>
      </c>
    </row>
    <row r="126" spans="1:8" x14ac:dyDescent="0.3">
      <c r="A126" s="4">
        <v>37746</v>
      </c>
      <c r="B126" s="3">
        <v>2003</v>
      </c>
      <c r="C126" s="3">
        <v>5</v>
      </c>
      <c r="D126" s="3" t="s">
        <v>662</v>
      </c>
      <c r="E126" s="3" t="s">
        <v>615</v>
      </c>
      <c r="F126" s="3">
        <v>5</v>
      </c>
      <c r="G126" s="3" t="s">
        <v>657</v>
      </c>
      <c r="H126" s="3">
        <v>0</v>
      </c>
    </row>
    <row r="127" spans="1:8" x14ac:dyDescent="0.3">
      <c r="A127" s="4">
        <v>37747</v>
      </c>
      <c r="B127" s="3">
        <v>2003</v>
      </c>
      <c r="C127" s="3">
        <v>5</v>
      </c>
      <c r="D127" s="3" t="s">
        <v>662</v>
      </c>
      <c r="E127" s="3" t="s">
        <v>615</v>
      </c>
      <c r="F127" s="3">
        <v>6</v>
      </c>
      <c r="G127" s="3" t="s">
        <v>658</v>
      </c>
      <c r="H127" s="3">
        <v>0</v>
      </c>
    </row>
    <row r="128" spans="1:8" x14ac:dyDescent="0.3">
      <c r="A128" s="4">
        <v>37748</v>
      </c>
      <c r="B128" s="3">
        <v>2003</v>
      </c>
      <c r="C128" s="3">
        <v>5</v>
      </c>
      <c r="D128" s="3" t="s">
        <v>662</v>
      </c>
      <c r="E128" s="3" t="s">
        <v>615</v>
      </c>
      <c r="F128" s="3">
        <v>7</v>
      </c>
      <c r="G128" s="3" t="s">
        <v>652</v>
      </c>
      <c r="H128" s="3">
        <v>0</v>
      </c>
    </row>
    <row r="129" spans="1:8" x14ac:dyDescent="0.3">
      <c r="A129" s="4">
        <v>37749</v>
      </c>
      <c r="B129" s="3">
        <v>2003</v>
      </c>
      <c r="C129" s="3">
        <v>5</v>
      </c>
      <c r="D129" s="3" t="s">
        <v>662</v>
      </c>
      <c r="E129" s="3" t="s">
        <v>615</v>
      </c>
      <c r="F129" s="3">
        <v>8</v>
      </c>
      <c r="G129" s="3" t="s">
        <v>653</v>
      </c>
      <c r="H129" s="3">
        <v>0</v>
      </c>
    </row>
    <row r="130" spans="1:8" x14ac:dyDescent="0.3">
      <c r="A130" s="4">
        <v>37750</v>
      </c>
      <c r="B130" s="3">
        <v>2003</v>
      </c>
      <c r="C130" s="3">
        <v>5</v>
      </c>
      <c r="D130" s="3" t="s">
        <v>662</v>
      </c>
      <c r="E130" s="3" t="s">
        <v>615</v>
      </c>
      <c r="F130" s="3">
        <v>9</v>
      </c>
      <c r="G130" s="3" t="s">
        <v>654</v>
      </c>
      <c r="H130" s="3">
        <v>0</v>
      </c>
    </row>
    <row r="131" spans="1:8" x14ac:dyDescent="0.3">
      <c r="A131" s="4">
        <v>37751</v>
      </c>
      <c r="B131" s="3">
        <v>2003</v>
      </c>
      <c r="C131" s="3">
        <v>5</v>
      </c>
      <c r="D131" s="3" t="s">
        <v>662</v>
      </c>
      <c r="E131" s="3" t="s">
        <v>615</v>
      </c>
      <c r="F131" s="3">
        <v>10</v>
      </c>
      <c r="G131" s="3" t="s">
        <v>655</v>
      </c>
      <c r="H131" s="3">
        <v>1</v>
      </c>
    </row>
    <row r="132" spans="1:8" x14ac:dyDescent="0.3">
      <c r="A132" s="4">
        <v>37752</v>
      </c>
      <c r="B132" s="3">
        <v>2003</v>
      </c>
      <c r="C132" s="3">
        <v>5</v>
      </c>
      <c r="D132" s="3" t="s">
        <v>662</v>
      </c>
      <c r="E132" s="3" t="s">
        <v>615</v>
      </c>
      <c r="F132" s="3">
        <v>11</v>
      </c>
      <c r="G132" s="3" t="s">
        <v>656</v>
      </c>
      <c r="H132" s="3">
        <v>1</v>
      </c>
    </row>
    <row r="133" spans="1:8" x14ac:dyDescent="0.3">
      <c r="A133" s="4">
        <v>37753</v>
      </c>
      <c r="B133" s="3">
        <v>2003</v>
      </c>
      <c r="C133" s="3">
        <v>5</v>
      </c>
      <c r="D133" s="3" t="s">
        <v>662</v>
      </c>
      <c r="E133" s="3" t="s">
        <v>615</v>
      </c>
      <c r="F133" s="3">
        <v>12</v>
      </c>
      <c r="G133" s="3" t="s">
        <v>657</v>
      </c>
      <c r="H133" s="3">
        <v>0</v>
      </c>
    </row>
    <row r="134" spans="1:8" x14ac:dyDescent="0.3">
      <c r="A134" s="4">
        <v>37754</v>
      </c>
      <c r="B134" s="3">
        <v>2003</v>
      </c>
      <c r="C134" s="3">
        <v>5</v>
      </c>
      <c r="D134" s="3" t="s">
        <v>662</v>
      </c>
      <c r="E134" s="3" t="s">
        <v>615</v>
      </c>
      <c r="F134" s="3">
        <v>13</v>
      </c>
      <c r="G134" s="3" t="s">
        <v>658</v>
      </c>
      <c r="H134" s="3">
        <v>0</v>
      </c>
    </row>
    <row r="135" spans="1:8" x14ac:dyDescent="0.3">
      <c r="A135" s="4">
        <v>37755</v>
      </c>
      <c r="B135" s="3">
        <v>2003</v>
      </c>
      <c r="C135" s="3">
        <v>5</v>
      </c>
      <c r="D135" s="3" t="s">
        <v>662</v>
      </c>
      <c r="E135" s="3" t="s">
        <v>615</v>
      </c>
      <c r="F135" s="3">
        <v>14</v>
      </c>
      <c r="G135" s="3" t="s">
        <v>652</v>
      </c>
      <c r="H135" s="3">
        <v>0</v>
      </c>
    </row>
    <row r="136" spans="1:8" x14ac:dyDescent="0.3">
      <c r="A136" s="4">
        <v>37756</v>
      </c>
      <c r="B136" s="3">
        <v>2003</v>
      </c>
      <c r="C136" s="3">
        <v>5</v>
      </c>
      <c r="D136" s="3" t="s">
        <v>662</v>
      </c>
      <c r="E136" s="3" t="s">
        <v>615</v>
      </c>
      <c r="F136" s="3">
        <v>15</v>
      </c>
      <c r="G136" s="3" t="s">
        <v>653</v>
      </c>
      <c r="H136" s="3">
        <v>0</v>
      </c>
    </row>
    <row r="137" spans="1:8" x14ac:dyDescent="0.3">
      <c r="A137" s="4">
        <v>37757</v>
      </c>
      <c r="B137" s="3">
        <v>2003</v>
      </c>
      <c r="C137" s="3">
        <v>5</v>
      </c>
      <c r="D137" s="3" t="s">
        <v>662</v>
      </c>
      <c r="E137" s="3" t="s">
        <v>615</v>
      </c>
      <c r="F137" s="3">
        <v>16</v>
      </c>
      <c r="G137" s="3" t="s">
        <v>654</v>
      </c>
      <c r="H137" s="3">
        <v>0</v>
      </c>
    </row>
    <row r="138" spans="1:8" x14ac:dyDescent="0.3">
      <c r="A138" s="4">
        <v>37758</v>
      </c>
      <c r="B138" s="3">
        <v>2003</v>
      </c>
      <c r="C138" s="3">
        <v>5</v>
      </c>
      <c r="D138" s="3" t="s">
        <v>662</v>
      </c>
      <c r="E138" s="3" t="s">
        <v>615</v>
      </c>
      <c r="F138" s="3">
        <v>17</v>
      </c>
      <c r="G138" s="3" t="s">
        <v>655</v>
      </c>
      <c r="H138" s="3">
        <v>1</v>
      </c>
    </row>
    <row r="139" spans="1:8" x14ac:dyDescent="0.3">
      <c r="A139" s="4">
        <v>37759</v>
      </c>
      <c r="B139" s="3">
        <v>2003</v>
      </c>
      <c r="C139" s="3">
        <v>5</v>
      </c>
      <c r="D139" s="3" t="s">
        <v>662</v>
      </c>
      <c r="E139" s="3" t="s">
        <v>615</v>
      </c>
      <c r="F139" s="3">
        <v>18</v>
      </c>
      <c r="G139" s="3" t="s">
        <v>656</v>
      </c>
      <c r="H139" s="3">
        <v>1</v>
      </c>
    </row>
    <row r="140" spans="1:8" x14ac:dyDescent="0.3">
      <c r="A140" s="4">
        <v>37760</v>
      </c>
      <c r="B140" s="3">
        <v>2003</v>
      </c>
      <c r="C140" s="3">
        <v>5</v>
      </c>
      <c r="D140" s="3" t="s">
        <v>662</v>
      </c>
      <c r="E140" s="3" t="s">
        <v>615</v>
      </c>
      <c r="F140" s="3">
        <v>19</v>
      </c>
      <c r="G140" s="3" t="s">
        <v>657</v>
      </c>
      <c r="H140" s="3">
        <v>0</v>
      </c>
    </row>
    <row r="141" spans="1:8" x14ac:dyDescent="0.3">
      <c r="A141" s="4">
        <v>37761</v>
      </c>
      <c r="B141" s="3">
        <v>2003</v>
      </c>
      <c r="C141" s="3">
        <v>5</v>
      </c>
      <c r="D141" s="3" t="s">
        <v>662</v>
      </c>
      <c r="E141" s="3" t="s">
        <v>615</v>
      </c>
      <c r="F141" s="3">
        <v>20</v>
      </c>
      <c r="G141" s="3" t="s">
        <v>658</v>
      </c>
      <c r="H141" s="3">
        <v>0</v>
      </c>
    </row>
    <row r="142" spans="1:8" x14ac:dyDescent="0.3">
      <c r="A142" s="4">
        <v>37762</v>
      </c>
      <c r="B142" s="3">
        <v>2003</v>
      </c>
      <c r="C142" s="3">
        <v>5</v>
      </c>
      <c r="D142" s="3" t="s">
        <v>662</v>
      </c>
      <c r="E142" s="3" t="s">
        <v>615</v>
      </c>
      <c r="F142" s="3">
        <v>21</v>
      </c>
      <c r="G142" s="3" t="s">
        <v>652</v>
      </c>
      <c r="H142" s="3">
        <v>0</v>
      </c>
    </row>
    <row r="143" spans="1:8" x14ac:dyDescent="0.3">
      <c r="A143" s="4">
        <v>37763</v>
      </c>
      <c r="B143" s="3">
        <v>2003</v>
      </c>
      <c r="C143" s="3">
        <v>5</v>
      </c>
      <c r="D143" s="3" t="s">
        <v>662</v>
      </c>
      <c r="E143" s="3" t="s">
        <v>615</v>
      </c>
      <c r="F143" s="3">
        <v>22</v>
      </c>
      <c r="G143" s="3" t="s">
        <v>653</v>
      </c>
      <c r="H143" s="3">
        <v>0</v>
      </c>
    </row>
    <row r="144" spans="1:8" x14ac:dyDescent="0.3">
      <c r="A144" s="4">
        <v>37764</v>
      </c>
      <c r="B144" s="3">
        <v>2003</v>
      </c>
      <c r="C144" s="3">
        <v>5</v>
      </c>
      <c r="D144" s="3" t="s">
        <v>662</v>
      </c>
      <c r="E144" s="3" t="s">
        <v>615</v>
      </c>
      <c r="F144" s="3">
        <v>23</v>
      </c>
      <c r="G144" s="3" t="s">
        <v>654</v>
      </c>
      <c r="H144" s="3">
        <v>0</v>
      </c>
    </row>
    <row r="145" spans="1:8" x14ac:dyDescent="0.3">
      <c r="A145" s="4">
        <v>37765</v>
      </c>
      <c r="B145" s="3">
        <v>2003</v>
      </c>
      <c r="C145" s="3">
        <v>5</v>
      </c>
      <c r="D145" s="3" t="s">
        <v>662</v>
      </c>
      <c r="E145" s="3" t="s">
        <v>615</v>
      </c>
      <c r="F145" s="3">
        <v>24</v>
      </c>
      <c r="G145" s="3" t="s">
        <v>655</v>
      </c>
      <c r="H145" s="3">
        <v>1</v>
      </c>
    </row>
    <row r="146" spans="1:8" x14ac:dyDescent="0.3">
      <c r="A146" s="4">
        <v>37766</v>
      </c>
      <c r="B146" s="3">
        <v>2003</v>
      </c>
      <c r="C146" s="3">
        <v>5</v>
      </c>
      <c r="D146" s="3" t="s">
        <v>662</v>
      </c>
      <c r="E146" s="3" t="s">
        <v>615</v>
      </c>
      <c r="F146" s="3">
        <v>25</v>
      </c>
      <c r="G146" s="3" t="s">
        <v>656</v>
      </c>
      <c r="H146" s="3">
        <v>1</v>
      </c>
    </row>
    <row r="147" spans="1:8" x14ac:dyDescent="0.3">
      <c r="A147" s="4">
        <v>37767</v>
      </c>
      <c r="B147" s="3">
        <v>2003</v>
      </c>
      <c r="C147" s="3">
        <v>5</v>
      </c>
      <c r="D147" s="3" t="s">
        <v>662</v>
      </c>
      <c r="E147" s="3" t="s">
        <v>615</v>
      </c>
      <c r="F147" s="3">
        <v>26</v>
      </c>
      <c r="G147" s="3" t="s">
        <v>657</v>
      </c>
      <c r="H147" s="3">
        <v>0</v>
      </c>
    </row>
    <row r="148" spans="1:8" x14ac:dyDescent="0.3">
      <c r="A148" s="4">
        <v>37768</v>
      </c>
      <c r="B148" s="3">
        <v>2003</v>
      </c>
      <c r="C148" s="3">
        <v>5</v>
      </c>
      <c r="D148" s="3" t="s">
        <v>662</v>
      </c>
      <c r="E148" s="3" t="s">
        <v>615</v>
      </c>
      <c r="F148" s="3">
        <v>27</v>
      </c>
      <c r="G148" s="3" t="s">
        <v>658</v>
      </c>
      <c r="H148" s="3">
        <v>0</v>
      </c>
    </row>
    <row r="149" spans="1:8" x14ac:dyDescent="0.3">
      <c r="A149" s="4">
        <v>37769</v>
      </c>
      <c r="B149" s="3">
        <v>2003</v>
      </c>
      <c r="C149" s="3">
        <v>5</v>
      </c>
      <c r="D149" s="3" t="s">
        <v>662</v>
      </c>
      <c r="E149" s="3" t="s">
        <v>615</v>
      </c>
      <c r="F149" s="3">
        <v>28</v>
      </c>
      <c r="G149" s="3" t="s">
        <v>652</v>
      </c>
      <c r="H149" s="3">
        <v>0</v>
      </c>
    </row>
    <row r="150" spans="1:8" x14ac:dyDescent="0.3">
      <c r="A150" s="4">
        <v>37770</v>
      </c>
      <c r="B150" s="3">
        <v>2003</v>
      </c>
      <c r="C150" s="3">
        <v>5</v>
      </c>
      <c r="D150" s="3" t="s">
        <v>662</v>
      </c>
      <c r="E150" s="3" t="s">
        <v>615</v>
      </c>
      <c r="F150" s="3">
        <v>29</v>
      </c>
      <c r="G150" s="3" t="s">
        <v>653</v>
      </c>
      <c r="H150" s="3">
        <v>0</v>
      </c>
    </row>
    <row r="151" spans="1:8" x14ac:dyDescent="0.3">
      <c r="A151" s="4">
        <v>37771</v>
      </c>
      <c r="B151" s="3">
        <v>2003</v>
      </c>
      <c r="C151" s="3">
        <v>5</v>
      </c>
      <c r="D151" s="3" t="s">
        <v>662</v>
      </c>
      <c r="E151" s="3" t="s">
        <v>615</v>
      </c>
      <c r="F151" s="3">
        <v>30</v>
      </c>
      <c r="G151" s="3" t="s">
        <v>654</v>
      </c>
      <c r="H151" s="3">
        <v>0</v>
      </c>
    </row>
    <row r="152" spans="1:8" x14ac:dyDescent="0.3">
      <c r="A152" s="4">
        <v>37772</v>
      </c>
      <c r="B152" s="3">
        <v>2003</v>
      </c>
      <c r="C152" s="3">
        <v>5</v>
      </c>
      <c r="D152" s="3" t="s">
        <v>662</v>
      </c>
      <c r="E152" s="3" t="s">
        <v>615</v>
      </c>
      <c r="F152" s="3">
        <v>31</v>
      </c>
      <c r="G152" s="3" t="s">
        <v>655</v>
      </c>
      <c r="H152" s="3">
        <v>1</v>
      </c>
    </row>
    <row r="153" spans="1:8" x14ac:dyDescent="0.3">
      <c r="A153" s="4">
        <v>37773</v>
      </c>
      <c r="B153" s="3">
        <v>2003</v>
      </c>
      <c r="C153" s="3">
        <v>6</v>
      </c>
      <c r="D153" s="3" t="s">
        <v>663</v>
      </c>
      <c r="E153" s="3" t="s">
        <v>615</v>
      </c>
      <c r="F153" s="3">
        <v>1</v>
      </c>
      <c r="G153" s="3" t="s">
        <v>656</v>
      </c>
      <c r="H153" s="3">
        <v>1</v>
      </c>
    </row>
    <row r="154" spans="1:8" x14ac:dyDescent="0.3">
      <c r="A154" s="4">
        <v>37774</v>
      </c>
      <c r="B154" s="3">
        <v>2003</v>
      </c>
      <c r="C154" s="3">
        <v>6</v>
      </c>
      <c r="D154" s="3" t="s">
        <v>663</v>
      </c>
      <c r="E154" s="3" t="s">
        <v>615</v>
      </c>
      <c r="F154" s="3">
        <v>2</v>
      </c>
      <c r="G154" s="3" t="s">
        <v>657</v>
      </c>
      <c r="H154" s="3">
        <v>0</v>
      </c>
    </row>
    <row r="155" spans="1:8" x14ac:dyDescent="0.3">
      <c r="A155" s="4">
        <v>37775</v>
      </c>
      <c r="B155" s="3">
        <v>2003</v>
      </c>
      <c r="C155" s="3">
        <v>6</v>
      </c>
      <c r="D155" s="3" t="s">
        <v>663</v>
      </c>
      <c r="E155" s="3" t="s">
        <v>615</v>
      </c>
      <c r="F155" s="3">
        <v>3</v>
      </c>
      <c r="G155" s="3" t="s">
        <v>658</v>
      </c>
      <c r="H155" s="3">
        <v>0</v>
      </c>
    </row>
    <row r="156" spans="1:8" x14ac:dyDescent="0.3">
      <c r="A156" s="4">
        <v>37776</v>
      </c>
      <c r="B156" s="3">
        <v>2003</v>
      </c>
      <c r="C156" s="3">
        <v>6</v>
      </c>
      <c r="D156" s="3" t="s">
        <v>663</v>
      </c>
      <c r="E156" s="3" t="s">
        <v>615</v>
      </c>
      <c r="F156" s="3">
        <v>4</v>
      </c>
      <c r="G156" s="3" t="s">
        <v>652</v>
      </c>
      <c r="H156" s="3">
        <v>0</v>
      </c>
    </row>
    <row r="157" spans="1:8" x14ac:dyDescent="0.3">
      <c r="A157" s="4">
        <v>37777</v>
      </c>
      <c r="B157" s="3">
        <v>2003</v>
      </c>
      <c r="C157" s="3">
        <v>6</v>
      </c>
      <c r="D157" s="3" t="s">
        <v>663</v>
      </c>
      <c r="E157" s="3" t="s">
        <v>615</v>
      </c>
      <c r="F157" s="3">
        <v>5</v>
      </c>
      <c r="G157" s="3" t="s">
        <v>653</v>
      </c>
      <c r="H157" s="3">
        <v>0</v>
      </c>
    </row>
    <row r="158" spans="1:8" x14ac:dyDescent="0.3">
      <c r="A158" s="4">
        <v>37778</v>
      </c>
      <c r="B158" s="3">
        <v>2003</v>
      </c>
      <c r="C158" s="3">
        <v>6</v>
      </c>
      <c r="D158" s="3" t="s">
        <v>663</v>
      </c>
      <c r="E158" s="3" t="s">
        <v>615</v>
      </c>
      <c r="F158" s="3">
        <v>6</v>
      </c>
      <c r="G158" s="3" t="s">
        <v>654</v>
      </c>
      <c r="H158" s="3">
        <v>0</v>
      </c>
    </row>
    <row r="159" spans="1:8" x14ac:dyDescent="0.3">
      <c r="A159" s="4">
        <v>37779</v>
      </c>
      <c r="B159" s="3">
        <v>2003</v>
      </c>
      <c r="C159" s="3">
        <v>6</v>
      </c>
      <c r="D159" s="3" t="s">
        <v>663</v>
      </c>
      <c r="E159" s="3" t="s">
        <v>615</v>
      </c>
      <c r="F159" s="3">
        <v>7</v>
      </c>
      <c r="G159" s="3" t="s">
        <v>655</v>
      </c>
      <c r="H159" s="3">
        <v>1</v>
      </c>
    </row>
    <row r="160" spans="1:8" x14ac:dyDescent="0.3">
      <c r="A160" s="4">
        <v>37780</v>
      </c>
      <c r="B160" s="3">
        <v>2003</v>
      </c>
      <c r="C160" s="3">
        <v>6</v>
      </c>
      <c r="D160" s="3" t="s">
        <v>663</v>
      </c>
      <c r="E160" s="3" t="s">
        <v>615</v>
      </c>
      <c r="F160" s="3">
        <v>8</v>
      </c>
      <c r="G160" s="3" t="s">
        <v>656</v>
      </c>
      <c r="H160" s="3">
        <v>1</v>
      </c>
    </row>
    <row r="161" spans="1:8" x14ac:dyDescent="0.3">
      <c r="A161" s="4">
        <v>37781</v>
      </c>
      <c r="B161" s="3">
        <v>2003</v>
      </c>
      <c r="C161" s="3">
        <v>6</v>
      </c>
      <c r="D161" s="3" t="s">
        <v>663</v>
      </c>
      <c r="E161" s="3" t="s">
        <v>615</v>
      </c>
      <c r="F161" s="3">
        <v>9</v>
      </c>
      <c r="G161" s="3" t="s">
        <v>657</v>
      </c>
      <c r="H161" s="3">
        <v>0</v>
      </c>
    </row>
    <row r="162" spans="1:8" x14ac:dyDescent="0.3">
      <c r="A162" s="4">
        <v>37782</v>
      </c>
      <c r="B162" s="3">
        <v>2003</v>
      </c>
      <c r="C162" s="3">
        <v>6</v>
      </c>
      <c r="D162" s="3" t="s">
        <v>663</v>
      </c>
      <c r="E162" s="3" t="s">
        <v>615</v>
      </c>
      <c r="F162" s="3">
        <v>10</v>
      </c>
      <c r="G162" s="3" t="s">
        <v>658</v>
      </c>
      <c r="H162" s="3">
        <v>0</v>
      </c>
    </row>
    <row r="163" spans="1:8" x14ac:dyDescent="0.3">
      <c r="A163" s="4">
        <v>37783</v>
      </c>
      <c r="B163" s="3">
        <v>2003</v>
      </c>
      <c r="C163" s="3">
        <v>6</v>
      </c>
      <c r="D163" s="3" t="s">
        <v>663</v>
      </c>
      <c r="E163" s="3" t="s">
        <v>615</v>
      </c>
      <c r="F163" s="3">
        <v>11</v>
      </c>
      <c r="G163" s="3" t="s">
        <v>652</v>
      </c>
      <c r="H163" s="3">
        <v>0</v>
      </c>
    </row>
    <row r="164" spans="1:8" x14ac:dyDescent="0.3">
      <c r="A164" s="4">
        <v>37784</v>
      </c>
      <c r="B164" s="3">
        <v>2003</v>
      </c>
      <c r="C164" s="3">
        <v>6</v>
      </c>
      <c r="D164" s="3" t="s">
        <v>663</v>
      </c>
      <c r="E164" s="3" t="s">
        <v>615</v>
      </c>
      <c r="F164" s="3">
        <v>12</v>
      </c>
      <c r="G164" s="3" t="s">
        <v>653</v>
      </c>
      <c r="H164" s="3">
        <v>0</v>
      </c>
    </row>
    <row r="165" spans="1:8" x14ac:dyDescent="0.3">
      <c r="A165" s="4">
        <v>37785</v>
      </c>
      <c r="B165" s="3">
        <v>2003</v>
      </c>
      <c r="C165" s="3">
        <v>6</v>
      </c>
      <c r="D165" s="3" t="s">
        <v>663</v>
      </c>
      <c r="E165" s="3" t="s">
        <v>615</v>
      </c>
      <c r="F165" s="3">
        <v>13</v>
      </c>
      <c r="G165" s="3" t="s">
        <v>654</v>
      </c>
      <c r="H165" s="3">
        <v>0</v>
      </c>
    </row>
    <row r="166" spans="1:8" x14ac:dyDescent="0.3">
      <c r="A166" s="4">
        <v>37786</v>
      </c>
      <c r="B166" s="3">
        <v>2003</v>
      </c>
      <c r="C166" s="3">
        <v>6</v>
      </c>
      <c r="D166" s="3" t="s">
        <v>663</v>
      </c>
      <c r="E166" s="3" t="s">
        <v>615</v>
      </c>
      <c r="F166" s="3">
        <v>14</v>
      </c>
      <c r="G166" s="3" t="s">
        <v>655</v>
      </c>
      <c r="H166" s="3">
        <v>1</v>
      </c>
    </row>
    <row r="167" spans="1:8" x14ac:dyDescent="0.3">
      <c r="A167" s="4">
        <v>37787</v>
      </c>
      <c r="B167" s="3">
        <v>2003</v>
      </c>
      <c r="C167" s="3">
        <v>6</v>
      </c>
      <c r="D167" s="3" t="s">
        <v>663</v>
      </c>
      <c r="E167" s="3" t="s">
        <v>615</v>
      </c>
      <c r="F167" s="3">
        <v>15</v>
      </c>
      <c r="G167" s="3" t="s">
        <v>656</v>
      </c>
      <c r="H167" s="3">
        <v>1</v>
      </c>
    </row>
    <row r="168" spans="1:8" x14ac:dyDescent="0.3">
      <c r="A168" s="4">
        <v>37788</v>
      </c>
      <c r="B168" s="3">
        <v>2003</v>
      </c>
      <c r="C168" s="3">
        <v>6</v>
      </c>
      <c r="D168" s="3" t="s">
        <v>663</v>
      </c>
      <c r="E168" s="3" t="s">
        <v>615</v>
      </c>
      <c r="F168" s="3">
        <v>16</v>
      </c>
      <c r="G168" s="3" t="s">
        <v>657</v>
      </c>
      <c r="H168" s="3">
        <v>0</v>
      </c>
    </row>
    <row r="169" spans="1:8" x14ac:dyDescent="0.3">
      <c r="A169" s="4">
        <v>37789</v>
      </c>
      <c r="B169" s="3">
        <v>2003</v>
      </c>
      <c r="C169" s="3">
        <v>6</v>
      </c>
      <c r="D169" s="3" t="s">
        <v>663</v>
      </c>
      <c r="E169" s="3" t="s">
        <v>615</v>
      </c>
      <c r="F169" s="3">
        <v>17</v>
      </c>
      <c r="G169" s="3" t="s">
        <v>658</v>
      </c>
      <c r="H169" s="3">
        <v>0</v>
      </c>
    </row>
    <row r="170" spans="1:8" x14ac:dyDescent="0.3">
      <c r="A170" s="4">
        <v>37790</v>
      </c>
      <c r="B170" s="3">
        <v>2003</v>
      </c>
      <c r="C170" s="3">
        <v>6</v>
      </c>
      <c r="D170" s="3" t="s">
        <v>663</v>
      </c>
      <c r="E170" s="3" t="s">
        <v>615</v>
      </c>
      <c r="F170" s="3">
        <v>18</v>
      </c>
      <c r="G170" s="3" t="s">
        <v>652</v>
      </c>
      <c r="H170" s="3">
        <v>0</v>
      </c>
    </row>
    <row r="171" spans="1:8" x14ac:dyDescent="0.3">
      <c r="A171" s="4">
        <v>37791</v>
      </c>
      <c r="B171" s="3">
        <v>2003</v>
      </c>
      <c r="C171" s="3">
        <v>6</v>
      </c>
      <c r="D171" s="3" t="s">
        <v>663</v>
      </c>
      <c r="E171" s="3" t="s">
        <v>615</v>
      </c>
      <c r="F171" s="3">
        <v>19</v>
      </c>
      <c r="G171" s="3" t="s">
        <v>653</v>
      </c>
      <c r="H171" s="3">
        <v>0</v>
      </c>
    </row>
    <row r="172" spans="1:8" x14ac:dyDescent="0.3">
      <c r="A172" s="4">
        <v>37792</v>
      </c>
      <c r="B172" s="3">
        <v>2003</v>
      </c>
      <c r="C172" s="3">
        <v>6</v>
      </c>
      <c r="D172" s="3" t="s">
        <v>663</v>
      </c>
      <c r="E172" s="3" t="s">
        <v>615</v>
      </c>
      <c r="F172" s="3">
        <v>20</v>
      </c>
      <c r="G172" s="3" t="s">
        <v>654</v>
      </c>
      <c r="H172" s="3">
        <v>0</v>
      </c>
    </row>
    <row r="173" spans="1:8" x14ac:dyDescent="0.3">
      <c r="A173" s="4">
        <v>37793</v>
      </c>
      <c r="B173" s="3">
        <v>2003</v>
      </c>
      <c r="C173" s="3">
        <v>6</v>
      </c>
      <c r="D173" s="3" t="s">
        <v>663</v>
      </c>
      <c r="E173" s="3" t="s">
        <v>615</v>
      </c>
      <c r="F173" s="3">
        <v>21</v>
      </c>
      <c r="G173" s="3" t="s">
        <v>655</v>
      </c>
      <c r="H173" s="3">
        <v>1</v>
      </c>
    </row>
    <row r="174" spans="1:8" x14ac:dyDescent="0.3">
      <c r="A174" s="4">
        <v>37794</v>
      </c>
      <c r="B174" s="3">
        <v>2003</v>
      </c>
      <c r="C174" s="3">
        <v>6</v>
      </c>
      <c r="D174" s="3" t="s">
        <v>663</v>
      </c>
      <c r="E174" s="3" t="s">
        <v>615</v>
      </c>
      <c r="F174" s="3">
        <v>22</v>
      </c>
      <c r="G174" s="3" t="s">
        <v>656</v>
      </c>
      <c r="H174" s="3">
        <v>1</v>
      </c>
    </row>
    <row r="175" spans="1:8" x14ac:dyDescent="0.3">
      <c r="A175" s="4">
        <v>37795</v>
      </c>
      <c r="B175" s="3">
        <v>2003</v>
      </c>
      <c r="C175" s="3">
        <v>6</v>
      </c>
      <c r="D175" s="3" t="s">
        <v>663</v>
      </c>
      <c r="E175" s="3" t="s">
        <v>615</v>
      </c>
      <c r="F175" s="3">
        <v>23</v>
      </c>
      <c r="G175" s="3" t="s">
        <v>657</v>
      </c>
      <c r="H175" s="3">
        <v>0</v>
      </c>
    </row>
    <row r="176" spans="1:8" x14ac:dyDescent="0.3">
      <c r="A176" s="4">
        <v>37796</v>
      </c>
      <c r="B176" s="3">
        <v>2003</v>
      </c>
      <c r="C176" s="3">
        <v>6</v>
      </c>
      <c r="D176" s="3" t="s">
        <v>663</v>
      </c>
      <c r="E176" s="3" t="s">
        <v>615</v>
      </c>
      <c r="F176" s="3">
        <v>24</v>
      </c>
      <c r="G176" s="3" t="s">
        <v>658</v>
      </c>
      <c r="H176" s="3">
        <v>0</v>
      </c>
    </row>
    <row r="177" spans="1:8" x14ac:dyDescent="0.3">
      <c r="A177" s="4">
        <v>37797</v>
      </c>
      <c r="B177" s="3">
        <v>2003</v>
      </c>
      <c r="C177" s="3">
        <v>6</v>
      </c>
      <c r="D177" s="3" t="s">
        <v>663</v>
      </c>
      <c r="E177" s="3" t="s">
        <v>615</v>
      </c>
      <c r="F177" s="3">
        <v>25</v>
      </c>
      <c r="G177" s="3" t="s">
        <v>652</v>
      </c>
      <c r="H177" s="3">
        <v>0</v>
      </c>
    </row>
    <row r="178" spans="1:8" x14ac:dyDescent="0.3">
      <c r="A178" s="4">
        <v>37798</v>
      </c>
      <c r="B178" s="3">
        <v>2003</v>
      </c>
      <c r="C178" s="3">
        <v>6</v>
      </c>
      <c r="D178" s="3" t="s">
        <v>663</v>
      </c>
      <c r="E178" s="3" t="s">
        <v>615</v>
      </c>
      <c r="F178" s="3">
        <v>26</v>
      </c>
      <c r="G178" s="3" t="s">
        <v>653</v>
      </c>
      <c r="H178" s="3">
        <v>0</v>
      </c>
    </row>
    <row r="179" spans="1:8" x14ac:dyDescent="0.3">
      <c r="A179" s="4">
        <v>37799</v>
      </c>
      <c r="B179" s="3">
        <v>2003</v>
      </c>
      <c r="C179" s="3">
        <v>6</v>
      </c>
      <c r="D179" s="3" t="s">
        <v>663</v>
      </c>
      <c r="E179" s="3" t="s">
        <v>615</v>
      </c>
      <c r="F179" s="3">
        <v>27</v>
      </c>
      <c r="G179" s="3" t="s">
        <v>654</v>
      </c>
      <c r="H179" s="3">
        <v>0</v>
      </c>
    </row>
    <row r="180" spans="1:8" x14ac:dyDescent="0.3">
      <c r="A180" s="4">
        <v>37800</v>
      </c>
      <c r="B180" s="3">
        <v>2003</v>
      </c>
      <c r="C180" s="3">
        <v>6</v>
      </c>
      <c r="D180" s="3" t="s">
        <v>663</v>
      </c>
      <c r="E180" s="3" t="s">
        <v>615</v>
      </c>
      <c r="F180" s="3">
        <v>28</v>
      </c>
      <c r="G180" s="3" t="s">
        <v>655</v>
      </c>
      <c r="H180" s="3">
        <v>1</v>
      </c>
    </row>
    <row r="181" spans="1:8" x14ac:dyDescent="0.3">
      <c r="A181" s="4">
        <v>37801</v>
      </c>
      <c r="B181" s="3">
        <v>2003</v>
      </c>
      <c r="C181" s="3">
        <v>6</v>
      </c>
      <c r="D181" s="3" t="s">
        <v>663</v>
      </c>
      <c r="E181" s="3" t="s">
        <v>615</v>
      </c>
      <c r="F181" s="3">
        <v>29</v>
      </c>
      <c r="G181" s="3" t="s">
        <v>656</v>
      </c>
      <c r="H181" s="3">
        <v>1</v>
      </c>
    </row>
    <row r="182" spans="1:8" x14ac:dyDescent="0.3">
      <c r="A182" s="4">
        <v>37802</v>
      </c>
      <c r="B182" s="3">
        <v>2003</v>
      </c>
      <c r="C182" s="3">
        <v>6</v>
      </c>
      <c r="D182" s="3" t="s">
        <v>663</v>
      </c>
      <c r="E182" s="3" t="s">
        <v>615</v>
      </c>
      <c r="F182" s="3">
        <v>30</v>
      </c>
      <c r="G182" s="3" t="s">
        <v>657</v>
      </c>
      <c r="H182" s="3">
        <v>0</v>
      </c>
    </row>
    <row r="183" spans="1:8" x14ac:dyDescent="0.3">
      <c r="A183" s="4">
        <v>37803</v>
      </c>
      <c r="B183" s="3">
        <v>2003</v>
      </c>
      <c r="C183" s="3">
        <v>7</v>
      </c>
      <c r="D183" s="3" t="s">
        <v>664</v>
      </c>
      <c r="E183" s="3" t="s">
        <v>616</v>
      </c>
      <c r="F183" s="3">
        <v>1</v>
      </c>
      <c r="G183" s="3" t="s">
        <v>658</v>
      </c>
      <c r="H183" s="3">
        <v>0</v>
      </c>
    </row>
    <row r="184" spans="1:8" x14ac:dyDescent="0.3">
      <c r="A184" s="4">
        <v>37804</v>
      </c>
      <c r="B184" s="3">
        <v>2003</v>
      </c>
      <c r="C184" s="3">
        <v>7</v>
      </c>
      <c r="D184" s="3" t="s">
        <v>664</v>
      </c>
      <c r="E184" s="3" t="s">
        <v>616</v>
      </c>
      <c r="F184" s="3">
        <v>2</v>
      </c>
      <c r="G184" s="3" t="s">
        <v>652</v>
      </c>
      <c r="H184" s="3">
        <v>0</v>
      </c>
    </row>
    <row r="185" spans="1:8" x14ac:dyDescent="0.3">
      <c r="A185" s="4">
        <v>37805</v>
      </c>
      <c r="B185" s="3">
        <v>2003</v>
      </c>
      <c r="C185" s="3">
        <v>7</v>
      </c>
      <c r="D185" s="3" t="s">
        <v>664</v>
      </c>
      <c r="E185" s="3" t="s">
        <v>616</v>
      </c>
      <c r="F185" s="3">
        <v>3</v>
      </c>
      <c r="G185" s="3" t="s">
        <v>653</v>
      </c>
      <c r="H185" s="3">
        <v>0</v>
      </c>
    </row>
    <row r="186" spans="1:8" x14ac:dyDescent="0.3">
      <c r="A186" s="4">
        <v>37806</v>
      </c>
      <c r="B186" s="3">
        <v>2003</v>
      </c>
      <c r="C186" s="3">
        <v>7</v>
      </c>
      <c r="D186" s="3" t="s">
        <v>664</v>
      </c>
      <c r="E186" s="3" t="s">
        <v>616</v>
      </c>
      <c r="F186" s="3">
        <v>4</v>
      </c>
      <c r="G186" s="3" t="s">
        <v>654</v>
      </c>
      <c r="H186" s="3">
        <v>0</v>
      </c>
    </row>
    <row r="187" spans="1:8" x14ac:dyDescent="0.3">
      <c r="A187" s="4">
        <v>37807</v>
      </c>
      <c r="B187" s="3">
        <v>2003</v>
      </c>
      <c r="C187" s="3">
        <v>7</v>
      </c>
      <c r="D187" s="3" t="s">
        <v>664</v>
      </c>
      <c r="E187" s="3" t="s">
        <v>616</v>
      </c>
      <c r="F187" s="3">
        <v>5</v>
      </c>
      <c r="G187" s="3" t="s">
        <v>655</v>
      </c>
      <c r="H187" s="3">
        <v>1</v>
      </c>
    </row>
    <row r="188" spans="1:8" x14ac:dyDescent="0.3">
      <c r="A188" s="4">
        <v>37808</v>
      </c>
      <c r="B188" s="3">
        <v>2003</v>
      </c>
      <c r="C188" s="3">
        <v>7</v>
      </c>
      <c r="D188" s="3" t="s">
        <v>664</v>
      </c>
      <c r="E188" s="3" t="s">
        <v>616</v>
      </c>
      <c r="F188" s="3">
        <v>6</v>
      </c>
      <c r="G188" s="3" t="s">
        <v>656</v>
      </c>
      <c r="H188" s="3">
        <v>1</v>
      </c>
    </row>
    <row r="189" spans="1:8" x14ac:dyDescent="0.3">
      <c r="A189" s="4">
        <v>37809</v>
      </c>
      <c r="B189" s="3">
        <v>2003</v>
      </c>
      <c r="C189" s="3">
        <v>7</v>
      </c>
      <c r="D189" s="3" t="s">
        <v>664</v>
      </c>
      <c r="E189" s="3" t="s">
        <v>616</v>
      </c>
      <c r="F189" s="3">
        <v>7</v>
      </c>
      <c r="G189" s="3" t="s">
        <v>657</v>
      </c>
      <c r="H189" s="3">
        <v>0</v>
      </c>
    </row>
    <row r="190" spans="1:8" x14ac:dyDescent="0.3">
      <c r="A190" s="4">
        <v>37810</v>
      </c>
      <c r="B190" s="3">
        <v>2003</v>
      </c>
      <c r="C190" s="3">
        <v>7</v>
      </c>
      <c r="D190" s="3" t="s">
        <v>664</v>
      </c>
      <c r="E190" s="3" t="s">
        <v>616</v>
      </c>
      <c r="F190" s="3">
        <v>8</v>
      </c>
      <c r="G190" s="3" t="s">
        <v>658</v>
      </c>
      <c r="H190" s="3">
        <v>0</v>
      </c>
    </row>
    <row r="191" spans="1:8" x14ac:dyDescent="0.3">
      <c r="A191" s="4">
        <v>37811</v>
      </c>
      <c r="B191" s="3">
        <v>2003</v>
      </c>
      <c r="C191" s="3">
        <v>7</v>
      </c>
      <c r="D191" s="3" t="s">
        <v>664</v>
      </c>
      <c r="E191" s="3" t="s">
        <v>616</v>
      </c>
      <c r="F191" s="3">
        <v>9</v>
      </c>
      <c r="G191" s="3" t="s">
        <v>652</v>
      </c>
      <c r="H191" s="3">
        <v>0</v>
      </c>
    </row>
    <row r="192" spans="1:8" x14ac:dyDescent="0.3">
      <c r="A192" s="4">
        <v>37812</v>
      </c>
      <c r="B192" s="3">
        <v>2003</v>
      </c>
      <c r="C192" s="3">
        <v>7</v>
      </c>
      <c r="D192" s="3" t="s">
        <v>664</v>
      </c>
      <c r="E192" s="3" t="s">
        <v>616</v>
      </c>
      <c r="F192" s="3">
        <v>10</v>
      </c>
      <c r="G192" s="3" t="s">
        <v>653</v>
      </c>
      <c r="H192" s="3">
        <v>0</v>
      </c>
    </row>
    <row r="193" spans="1:8" x14ac:dyDescent="0.3">
      <c r="A193" s="4">
        <v>37813</v>
      </c>
      <c r="B193" s="3">
        <v>2003</v>
      </c>
      <c r="C193" s="3">
        <v>7</v>
      </c>
      <c r="D193" s="3" t="s">
        <v>664</v>
      </c>
      <c r="E193" s="3" t="s">
        <v>616</v>
      </c>
      <c r="F193" s="3">
        <v>11</v>
      </c>
      <c r="G193" s="3" t="s">
        <v>654</v>
      </c>
      <c r="H193" s="3">
        <v>0</v>
      </c>
    </row>
    <row r="194" spans="1:8" x14ac:dyDescent="0.3">
      <c r="A194" s="4">
        <v>37814</v>
      </c>
      <c r="B194" s="3">
        <v>2003</v>
      </c>
      <c r="C194" s="3">
        <v>7</v>
      </c>
      <c r="D194" s="3" t="s">
        <v>664</v>
      </c>
      <c r="E194" s="3" t="s">
        <v>616</v>
      </c>
      <c r="F194" s="3">
        <v>12</v>
      </c>
      <c r="G194" s="3" t="s">
        <v>655</v>
      </c>
      <c r="H194" s="3">
        <v>1</v>
      </c>
    </row>
    <row r="195" spans="1:8" x14ac:dyDescent="0.3">
      <c r="A195" s="4">
        <v>37815</v>
      </c>
      <c r="B195" s="3">
        <v>2003</v>
      </c>
      <c r="C195" s="3">
        <v>7</v>
      </c>
      <c r="D195" s="3" t="s">
        <v>664</v>
      </c>
      <c r="E195" s="3" t="s">
        <v>616</v>
      </c>
      <c r="F195" s="3">
        <v>13</v>
      </c>
      <c r="G195" s="3" t="s">
        <v>656</v>
      </c>
      <c r="H195" s="3">
        <v>1</v>
      </c>
    </row>
    <row r="196" spans="1:8" x14ac:dyDescent="0.3">
      <c r="A196" s="4">
        <v>37816</v>
      </c>
      <c r="B196" s="3">
        <v>2003</v>
      </c>
      <c r="C196" s="3">
        <v>7</v>
      </c>
      <c r="D196" s="3" t="s">
        <v>664</v>
      </c>
      <c r="E196" s="3" t="s">
        <v>616</v>
      </c>
      <c r="F196" s="3">
        <v>14</v>
      </c>
      <c r="G196" s="3" t="s">
        <v>657</v>
      </c>
      <c r="H196" s="3">
        <v>0</v>
      </c>
    </row>
    <row r="197" spans="1:8" x14ac:dyDescent="0.3">
      <c r="A197" s="4">
        <v>37817</v>
      </c>
      <c r="B197" s="3">
        <v>2003</v>
      </c>
      <c r="C197" s="3">
        <v>7</v>
      </c>
      <c r="D197" s="3" t="s">
        <v>664</v>
      </c>
      <c r="E197" s="3" t="s">
        <v>616</v>
      </c>
      <c r="F197" s="3">
        <v>15</v>
      </c>
      <c r="G197" s="3" t="s">
        <v>658</v>
      </c>
      <c r="H197" s="3">
        <v>0</v>
      </c>
    </row>
    <row r="198" spans="1:8" x14ac:dyDescent="0.3">
      <c r="A198" s="4">
        <v>37818</v>
      </c>
      <c r="B198" s="3">
        <v>2003</v>
      </c>
      <c r="C198" s="3">
        <v>7</v>
      </c>
      <c r="D198" s="3" t="s">
        <v>664</v>
      </c>
      <c r="E198" s="3" t="s">
        <v>616</v>
      </c>
      <c r="F198" s="3">
        <v>16</v>
      </c>
      <c r="G198" s="3" t="s">
        <v>652</v>
      </c>
      <c r="H198" s="3">
        <v>0</v>
      </c>
    </row>
    <row r="199" spans="1:8" x14ac:dyDescent="0.3">
      <c r="A199" s="4">
        <v>37819</v>
      </c>
      <c r="B199" s="3">
        <v>2003</v>
      </c>
      <c r="C199" s="3">
        <v>7</v>
      </c>
      <c r="D199" s="3" t="s">
        <v>664</v>
      </c>
      <c r="E199" s="3" t="s">
        <v>616</v>
      </c>
      <c r="F199" s="3">
        <v>17</v>
      </c>
      <c r="G199" s="3" t="s">
        <v>653</v>
      </c>
      <c r="H199" s="3">
        <v>0</v>
      </c>
    </row>
    <row r="200" spans="1:8" x14ac:dyDescent="0.3">
      <c r="A200" s="4">
        <v>37820</v>
      </c>
      <c r="B200" s="3">
        <v>2003</v>
      </c>
      <c r="C200" s="3">
        <v>7</v>
      </c>
      <c r="D200" s="3" t="s">
        <v>664</v>
      </c>
      <c r="E200" s="3" t="s">
        <v>616</v>
      </c>
      <c r="F200" s="3">
        <v>18</v>
      </c>
      <c r="G200" s="3" t="s">
        <v>654</v>
      </c>
      <c r="H200" s="3">
        <v>0</v>
      </c>
    </row>
    <row r="201" spans="1:8" x14ac:dyDescent="0.3">
      <c r="A201" s="4">
        <v>37821</v>
      </c>
      <c r="B201" s="3">
        <v>2003</v>
      </c>
      <c r="C201" s="3">
        <v>7</v>
      </c>
      <c r="D201" s="3" t="s">
        <v>664</v>
      </c>
      <c r="E201" s="3" t="s">
        <v>616</v>
      </c>
      <c r="F201" s="3">
        <v>19</v>
      </c>
      <c r="G201" s="3" t="s">
        <v>655</v>
      </c>
      <c r="H201" s="3">
        <v>1</v>
      </c>
    </row>
    <row r="202" spans="1:8" x14ac:dyDescent="0.3">
      <c r="A202" s="4">
        <v>37822</v>
      </c>
      <c r="B202" s="3">
        <v>2003</v>
      </c>
      <c r="C202" s="3">
        <v>7</v>
      </c>
      <c r="D202" s="3" t="s">
        <v>664</v>
      </c>
      <c r="E202" s="3" t="s">
        <v>616</v>
      </c>
      <c r="F202" s="3">
        <v>20</v>
      </c>
      <c r="G202" s="3" t="s">
        <v>656</v>
      </c>
      <c r="H202" s="3">
        <v>1</v>
      </c>
    </row>
    <row r="203" spans="1:8" x14ac:dyDescent="0.3">
      <c r="A203" s="4">
        <v>37823</v>
      </c>
      <c r="B203" s="3">
        <v>2003</v>
      </c>
      <c r="C203" s="3">
        <v>7</v>
      </c>
      <c r="D203" s="3" t="s">
        <v>664</v>
      </c>
      <c r="E203" s="3" t="s">
        <v>616</v>
      </c>
      <c r="F203" s="3">
        <v>21</v>
      </c>
      <c r="G203" s="3" t="s">
        <v>657</v>
      </c>
      <c r="H203" s="3">
        <v>0</v>
      </c>
    </row>
    <row r="204" spans="1:8" x14ac:dyDescent="0.3">
      <c r="A204" s="4">
        <v>37824</v>
      </c>
      <c r="B204" s="3">
        <v>2003</v>
      </c>
      <c r="C204" s="3">
        <v>7</v>
      </c>
      <c r="D204" s="3" t="s">
        <v>664</v>
      </c>
      <c r="E204" s="3" t="s">
        <v>616</v>
      </c>
      <c r="F204" s="3">
        <v>22</v>
      </c>
      <c r="G204" s="3" t="s">
        <v>658</v>
      </c>
      <c r="H204" s="3">
        <v>0</v>
      </c>
    </row>
    <row r="205" spans="1:8" x14ac:dyDescent="0.3">
      <c r="A205" s="4">
        <v>37825</v>
      </c>
      <c r="B205" s="3">
        <v>2003</v>
      </c>
      <c r="C205" s="3">
        <v>7</v>
      </c>
      <c r="D205" s="3" t="s">
        <v>664</v>
      </c>
      <c r="E205" s="3" t="s">
        <v>616</v>
      </c>
      <c r="F205" s="3">
        <v>23</v>
      </c>
      <c r="G205" s="3" t="s">
        <v>652</v>
      </c>
      <c r="H205" s="3">
        <v>0</v>
      </c>
    </row>
    <row r="206" spans="1:8" x14ac:dyDescent="0.3">
      <c r="A206" s="4">
        <v>37826</v>
      </c>
      <c r="B206" s="3">
        <v>2003</v>
      </c>
      <c r="C206" s="3">
        <v>7</v>
      </c>
      <c r="D206" s="3" t="s">
        <v>664</v>
      </c>
      <c r="E206" s="3" t="s">
        <v>616</v>
      </c>
      <c r="F206" s="3">
        <v>24</v>
      </c>
      <c r="G206" s="3" t="s">
        <v>653</v>
      </c>
      <c r="H206" s="3">
        <v>0</v>
      </c>
    </row>
    <row r="207" spans="1:8" x14ac:dyDescent="0.3">
      <c r="A207" s="4">
        <v>37827</v>
      </c>
      <c r="B207" s="3">
        <v>2003</v>
      </c>
      <c r="C207" s="3">
        <v>7</v>
      </c>
      <c r="D207" s="3" t="s">
        <v>664</v>
      </c>
      <c r="E207" s="3" t="s">
        <v>616</v>
      </c>
      <c r="F207" s="3">
        <v>25</v>
      </c>
      <c r="G207" s="3" t="s">
        <v>654</v>
      </c>
      <c r="H207" s="3">
        <v>0</v>
      </c>
    </row>
    <row r="208" spans="1:8" x14ac:dyDescent="0.3">
      <c r="A208" s="4">
        <v>37828</v>
      </c>
      <c r="B208" s="3">
        <v>2003</v>
      </c>
      <c r="C208" s="3">
        <v>7</v>
      </c>
      <c r="D208" s="3" t="s">
        <v>664</v>
      </c>
      <c r="E208" s="3" t="s">
        <v>616</v>
      </c>
      <c r="F208" s="3">
        <v>26</v>
      </c>
      <c r="G208" s="3" t="s">
        <v>655</v>
      </c>
      <c r="H208" s="3">
        <v>1</v>
      </c>
    </row>
    <row r="209" spans="1:8" x14ac:dyDescent="0.3">
      <c r="A209" s="4">
        <v>37829</v>
      </c>
      <c r="B209" s="3">
        <v>2003</v>
      </c>
      <c r="C209" s="3">
        <v>7</v>
      </c>
      <c r="D209" s="3" t="s">
        <v>664</v>
      </c>
      <c r="E209" s="3" t="s">
        <v>616</v>
      </c>
      <c r="F209" s="3">
        <v>27</v>
      </c>
      <c r="G209" s="3" t="s">
        <v>656</v>
      </c>
      <c r="H209" s="3">
        <v>1</v>
      </c>
    </row>
    <row r="210" spans="1:8" x14ac:dyDescent="0.3">
      <c r="A210" s="4">
        <v>37830</v>
      </c>
      <c r="B210" s="3">
        <v>2003</v>
      </c>
      <c r="C210" s="3">
        <v>7</v>
      </c>
      <c r="D210" s="3" t="s">
        <v>664</v>
      </c>
      <c r="E210" s="3" t="s">
        <v>616</v>
      </c>
      <c r="F210" s="3">
        <v>28</v>
      </c>
      <c r="G210" s="3" t="s">
        <v>657</v>
      </c>
      <c r="H210" s="3">
        <v>0</v>
      </c>
    </row>
    <row r="211" spans="1:8" x14ac:dyDescent="0.3">
      <c r="A211" s="4">
        <v>37831</v>
      </c>
      <c r="B211" s="3">
        <v>2003</v>
      </c>
      <c r="C211" s="3">
        <v>7</v>
      </c>
      <c r="D211" s="3" t="s">
        <v>664</v>
      </c>
      <c r="E211" s="3" t="s">
        <v>616</v>
      </c>
      <c r="F211" s="3">
        <v>29</v>
      </c>
      <c r="G211" s="3" t="s">
        <v>658</v>
      </c>
      <c r="H211" s="3">
        <v>0</v>
      </c>
    </row>
    <row r="212" spans="1:8" x14ac:dyDescent="0.3">
      <c r="A212" s="4">
        <v>37832</v>
      </c>
      <c r="B212" s="3">
        <v>2003</v>
      </c>
      <c r="C212" s="3">
        <v>7</v>
      </c>
      <c r="D212" s="3" t="s">
        <v>664</v>
      </c>
      <c r="E212" s="3" t="s">
        <v>616</v>
      </c>
      <c r="F212" s="3">
        <v>30</v>
      </c>
      <c r="G212" s="3" t="s">
        <v>652</v>
      </c>
      <c r="H212" s="3">
        <v>0</v>
      </c>
    </row>
    <row r="213" spans="1:8" x14ac:dyDescent="0.3">
      <c r="A213" s="4">
        <v>37833</v>
      </c>
      <c r="B213" s="3">
        <v>2003</v>
      </c>
      <c r="C213" s="3">
        <v>7</v>
      </c>
      <c r="D213" s="3" t="s">
        <v>664</v>
      </c>
      <c r="E213" s="3" t="s">
        <v>616</v>
      </c>
      <c r="F213" s="3">
        <v>31</v>
      </c>
      <c r="G213" s="3" t="s">
        <v>653</v>
      </c>
      <c r="H213" s="3">
        <v>0</v>
      </c>
    </row>
    <row r="214" spans="1:8" x14ac:dyDescent="0.3">
      <c r="A214" s="4">
        <v>37834</v>
      </c>
      <c r="B214" s="3">
        <v>2003</v>
      </c>
      <c r="C214" s="3">
        <v>8</v>
      </c>
      <c r="D214" s="3" t="s">
        <v>665</v>
      </c>
      <c r="E214" s="3" t="s">
        <v>616</v>
      </c>
      <c r="F214" s="3">
        <v>1</v>
      </c>
      <c r="G214" s="3" t="s">
        <v>654</v>
      </c>
      <c r="H214" s="3">
        <v>0</v>
      </c>
    </row>
    <row r="215" spans="1:8" x14ac:dyDescent="0.3">
      <c r="A215" s="4">
        <v>37835</v>
      </c>
      <c r="B215" s="3">
        <v>2003</v>
      </c>
      <c r="C215" s="3">
        <v>8</v>
      </c>
      <c r="D215" s="3" t="s">
        <v>665</v>
      </c>
      <c r="E215" s="3" t="s">
        <v>616</v>
      </c>
      <c r="F215" s="3">
        <v>2</v>
      </c>
      <c r="G215" s="3" t="s">
        <v>655</v>
      </c>
      <c r="H215" s="3">
        <v>1</v>
      </c>
    </row>
    <row r="216" spans="1:8" x14ac:dyDescent="0.3">
      <c r="A216" s="4">
        <v>37836</v>
      </c>
      <c r="B216" s="3">
        <v>2003</v>
      </c>
      <c r="C216" s="3">
        <v>8</v>
      </c>
      <c r="D216" s="3" t="s">
        <v>665</v>
      </c>
      <c r="E216" s="3" t="s">
        <v>616</v>
      </c>
      <c r="F216" s="3">
        <v>3</v>
      </c>
      <c r="G216" s="3" t="s">
        <v>656</v>
      </c>
      <c r="H216" s="3">
        <v>1</v>
      </c>
    </row>
    <row r="217" spans="1:8" x14ac:dyDescent="0.3">
      <c r="A217" s="4">
        <v>37837</v>
      </c>
      <c r="B217" s="3">
        <v>2003</v>
      </c>
      <c r="C217" s="3">
        <v>8</v>
      </c>
      <c r="D217" s="3" t="s">
        <v>665</v>
      </c>
      <c r="E217" s="3" t="s">
        <v>616</v>
      </c>
      <c r="F217" s="3">
        <v>4</v>
      </c>
      <c r="G217" s="3" t="s">
        <v>657</v>
      </c>
      <c r="H217" s="3">
        <v>0</v>
      </c>
    </row>
    <row r="218" spans="1:8" x14ac:dyDescent="0.3">
      <c r="A218" s="4">
        <v>37838</v>
      </c>
      <c r="B218" s="3">
        <v>2003</v>
      </c>
      <c r="C218" s="3">
        <v>8</v>
      </c>
      <c r="D218" s="3" t="s">
        <v>665</v>
      </c>
      <c r="E218" s="3" t="s">
        <v>616</v>
      </c>
      <c r="F218" s="3">
        <v>5</v>
      </c>
      <c r="G218" s="3" t="s">
        <v>658</v>
      </c>
      <c r="H218" s="3">
        <v>0</v>
      </c>
    </row>
    <row r="219" spans="1:8" x14ac:dyDescent="0.3">
      <c r="A219" s="4">
        <v>37839</v>
      </c>
      <c r="B219" s="3">
        <v>2003</v>
      </c>
      <c r="C219" s="3">
        <v>8</v>
      </c>
      <c r="D219" s="3" t="s">
        <v>665</v>
      </c>
      <c r="E219" s="3" t="s">
        <v>616</v>
      </c>
      <c r="F219" s="3">
        <v>6</v>
      </c>
      <c r="G219" s="3" t="s">
        <v>652</v>
      </c>
      <c r="H219" s="3">
        <v>0</v>
      </c>
    </row>
    <row r="220" spans="1:8" x14ac:dyDescent="0.3">
      <c r="A220" s="4">
        <v>37840</v>
      </c>
      <c r="B220" s="3">
        <v>2003</v>
      </c>
      <c r="C220" s="3">
        <v>8</v>
      </c>
      <c r="D220" s="3" t="s">
        <v>665</v>
      </c>
      <c r="E220" s="3" t="s">
        <v>616</v>
      </c>
      <c r="F220" s="3">
        <v>7</v>
      </c>
      <c r="G220" s="3" t="s">
        <v>653</v>
      </c>
      <c r="H220" s="3">
        <v>0</v>
      </c>
    </row>
    <row r="221" spans="1:8" x14ac:dyDescent="0.3">
      <c r="A221" s="4">
        <v>37841</v>
      </c>
      <c r="B221" s="3">
        <v>2003</v>
      </c>
      <c r="C221" s="3">
        <v>8</v>
      </c>
      <c r="D221" s="3" t="s">
        <v>665</v>
      </c>
      <c r="E221" s="3" t="s">
        <v>616</v>
      </c>
      <c r="F221" s="3">
        <v>8</v>
      </c>
      <c r="G221" s="3" t="s">
        <v>654</v>
      </c>
      <c r="H221" s="3">
        <v>0</v>
      </c>
    </row>
    <row r="222" spans="1:8" x14ac:dyDescent="0.3">
      <c r="A222" s="4">
        <v>37842</v>
      </c>
      <c r="B222" s="3">
        <v>2003</v>
      </c>
      <c r="C222" s="3">
        <v>8</v>
      </c>
      <c r="D222" s="3" t="s">
        <v>665</v>
      </c>
      <c r="E222" s="3" t="s">
        <v>616</v>
      </c>
      <c r="F222" s="3">
        <v>9</v>
      </c>
      <c r="G222" s="3" t="s">
        <v>655</v>
      </c>
      <c r="H222" s="3">
        <v>1</v>
      </c>
    </row>
    <row r="223" spans="1:8" x14ac:dyDescent="0.3">
      <c r="A223" s="4">
        <v>37843</v>
      </c>
      <c r="B223" s="3">
        <v>2003</v>
      </c>
      <c r="C223" s="3">
        <v>8</v>
      </c>
      <c r="D223" s="3" t="s">
        <v>665</v>
      </c>
      <c r="E223" s="3" t="s">
        <v>616</v>
      </c>
      <c r="F223" s="3">
        <v>10</v>
      </c>
      <c r="G223" s="3" t="s">
        <v>656</v>
      </c>
      <c r="H223" s="3">
        <v>1</v>
      </c>
    </row>
    <row r="224" spans="1:8" x14ac:dyDescent="0.3">
      <c r="A224" s="4">
        <v>37844</v>
      </c>
      <c r="B224" s="3">
        <v>2003</v>
      </c>
      <c r="C224" s="3">
        <v>8</v>
      </c>
      <c r="D224" s="3" t="s">
        <v>665</v>
      </c>
      <c r="E224" s="3" t="s">
        <v>616</v>
      </c>
      <c r="F224" s="3">
        <v>11</v>
      </c>
      <c r="G224" s="3" t="s">
        <v>657</v>
      </c>
      <c r="H224" s="3">
        <v>0</v>
      </c>
    </row>
    <row r="225" spans="1:8" x14ac:dyDescent="0.3">
      <c r="A225" s="4">
        <v>37845</v>
      </c>
      <c r="B225" s="3">
        <v>2003</v>
      </c>
      <c r="C225" s="3">
        <v>8</v>
      </c>
      <c r="D225" s="3" t="s">
        <v>665</v>
      </c>
      <c r="E225" s="3" t="s">
        <v>616</v>
      </c>
      <c r="F225" s="3">
        <v>12</v>
      </c>
      <c r="G225" s="3" t="s">
        <v>658</v>
      </c>
      <c r="H225" s="3">
        <v>0</v>
      </c>
    </row>
    <row r="226" spans="1:8" x14ac:dyDescent="0.3">
      <c r="A226" s="4">
        <v>37846</v>
      </c>
      <c r="B226" s="3">
        <v>2003</v>
      </c>
      <c r="C226" s="3">
        <v>8</v>
      </c>
      <c r="D226" s="3" t="s">
        <v>665</v>
      </c>
      <c r="E226" s="3" t="s">
        <v>616</v>
      </c>
      <c r="F226" s="3">
        <v>13</v>
      </c>
      <c r="G226" s="3" t="s">
        <v>652</v>
      </c>
      <c r="H226" s="3">
        <v>0</v>
      </c>
    </row>
    <row r="227" spans="1:8" x14ac:dyDescent="0.3">
      <c r="A227" s="4">
        <v>37847</v>
      </c>
      <c r="B227" s="3">
        <v>2003</v>
      </c>
      <c r="C227" s="3">
        <v>8</v>
      </c>
      <c r="D227" s="3" t="s">
        <v>665</v>
      </c>
      <c r="E227" s="3" t="s">
        <v>616</v>
      </c>
      <c r="F227" s="3">
        <v>14</v>
      </c>
      <c r="G227" s="3" t="s">
        <v>653</v>
      </c>
      <c r="H227" s="3">
        <v>0</v>
      </c>
    </row>
    <row r="228" spans="1:8" x14ac:dyDescent="0.3">
      <c r="A228" s="4">
        <v>37848</v>
      </c>
      <c r="B228" s="3">
        <v>2003</v>
      </c>
      <c r="C228" s="3">
        <v>8</v>
      </c>
      <c r="D228" s="3" t="s">
        <v>665</v>
      </c>
      <c r="E228" s="3" t="s">
        <v>616</v>
      </c>
      <c r="F228" s="3">
        <v>15</v>
      </c>
      <c r="G228" s="3" t="s">
        <v>654</v>
      </c>
      <c r="H228" s="3">
        <v>0</v>
      </c>
    </row>
    <row r="229" spans="1:8" x14ac:dyDescent="0.3">
      <c r="A229" s="4">
        <v>37849</v>
      </c>
      <c r="B229" s="3">
        <v>2003</v>
      </c>
      <c r="C229" s="3">
        <v>8</v>
      </c>
      <c r="D229" s="3" t="s">
        <v>665</v>
      </c>
      <c r="E229" s="3" t="s">
        <v>616</v>
      </c>
      <c r="F229" s="3">
        <v>16</v>
      </c>
      <c r="G229" s="3" t="s">
        <v>655</v>
      </c>
      <c r="H229" s="3">
        <v>1</v>
      </c>
    </row>
    <row r="230" spans="1:8" x14ac:dyDescent="0.3">
      <c r="A230" s="4">
        <v>37850</v>
      </c>
      <c r="B230" s="3">
        <v>2003</v>
      </c>
      <c r="C230" s="3">
        <v>8</v>
      </c>
      <c r="D230" s="3" t="s">
        <v>665</v>
      </c>
      <c r="E230" s="3" t="s">
        <v>616</v>
      </c>
      <c r="F230" s="3">
        <v>17</v>
      </c>
      <c r="G230" s="3" t="s">
        <v>656</v>
      </c>
      <c r="H230" s="3">
        <v>1</v>
      </c>
    </row>
    <row r="231" spans="1:8" x14ac:dyDescent="0.3">
      <c r="A231" s="4">
        <v>37851</v>
      </c>
      <c r="B231" s="3">
        <v>2003</v>
      </c>
      <c r="C231" s="3">
        <v>8</v>
      </c>
      <c r="D231" s="3" t="s">
        <v>665</v>
      </c>
      <c r="E231" s="3" t="s">
        <v>616</v>
      </c>
      <c r="F231" s="3">
        <v>18</v>
      </c>
      <c r="G231" s="3" t="s">
        <v>657</v>
      </c>
      <c r="H231" s="3">
        <v>0</v>
      </c>
    </row>
    <row r="232" spans="1:8" x14ac:dyDescent="0.3">
      <c r="A232" s="4">
        <v>37852</v>
      </c>
      <c r="B232" s="3">
        <v>2003</v>
      </c>
      <c r="C232" s="3">
        <v>8</v>
      </c>
      <c r="D232" s="3" t="s">
        <v>665</v>
      </c>
      <c r="E232" s="3" t="s">
        <v>616</v>
      </c>
      <c r="F232" s="3">
        <v>19</v>
      </c>
      <c r="G232" s="3" t="s">
        <v>658</v>
      </c>
      <c r="H232" s="3">
        <v>0</v>
      </c>
    </row>
    <row r="233" spans="1:8" x14ac:dyDescent="0.3">
      <c r="A233" s="4">
        <v>37853</v>
      </c>
      <c r="B233" s="3">
        <v>2003</v>
      </c>
      <c r="C233" s="3">
        <v>8</v>
      </c>
      <c r="D233" s="3" t="s">
        <v>665</v>
      </c>
      <c r="E233" s="3" t="s">
        <v>616</v>
      </c>
      <c r="F233" s="3">
        <v>20</v>
      </c>
      <c r="G233" s="3" t="s">
        <v>652</v>
      </c>
      <c r="H233" s="3">
        <v>0</v>
      </c>
    </row>
    <row r="234" spans="1:8" x14ac:dyDescent="0.3">
      <c r="A234" s="4">
        <v>37854</v>
      </c>
      <c r="B234" s="3">
        <v>2003</v>
      </c>
      <c r="C234" s="3">
        <v>8</v>
      </c>
      <c r="D234" s="3" t="s">
        <v>665</v>
      </c>
      <c r="E234" s="3" t="s">
        <v>616</v>
      </c>
      <c r="F234" s="3">
        <v>21</v>
      </c>
      <c r="G234" s="3" t="s">
        <v>653</v>
      </c>
      <c r="H234" s="3">
        <v>0</v>
      </c>
    </row>
    <row r="235" spans="1:8" x14ac:dyDescent="0.3">
      <c r="A235" s="4">
        <v>37855</v>
      </c>
      <c r="B235" s="3">
        <v>2003</v>
      </c>
      <c r="C235" s="3">
        <v>8</v>
      </c>
      <c r="D235" s="3" t="s">
        <v>665</v>
      </c>
      <c r="E235" s="3" t="s">
        <v>616</v>
      </c>
      <c r="F235" s="3">
        <v>22</v>
      </c>
      <c r="G235" s="3" t="s">
        <v>654</v>
      </c>
      <c r="H235" s="3">
        <v>0</v>
      </c>
    </row>
    <row r="236" spans="1:8" x14ac:dyDescent="0.3">
      <c r="A236" s="4">
        <v>37856</v>
      </c>
      <c r="B236" s="3">
        <v>2003</v>
      </c>
      <c r="C236" s="3">
        <v>8</v>
      </c>
      <c r="D236" s="3" t="s">
        <v>665</v>
      </c>
      <c r="E236" s="3" t="s">
        <v>616</v>
      </c>
      <c r="F236" s="3">
        <v>23</v>
      </c>
      <c r="G236" s="3" t="s">
        <v>655</v>
      </c>
      <c r="H236" s="3">
        <v>1</v>
      </c>
    </row>
    <row r="237" spans="1:8" x14ac:dyDescent="0.3">
      <c r="A237" s="4">
        <v>37857</v>
      </c>
      <c r="B237" s="3">
        <v>2003</v>
      </c>
      <c r="C237" s="3">
        <v>8</v>
      </c>
      <c r="D237" s="3" t="s">
        <v>665</v>
      </c>
      <c r="E237" s="3" t="s">
        <v>616</v>
      </c>
      <c r="F237" s="3">
        <v>24</v>
      </c>
      <c r="G237" s="3" t="s">
        <v>656</v>
      </c>
      <c r="H237" s="3">
        <v>1</v>
      </c>
    </row>
    <row r="238" spans="1:8" x14ac:dyDescent="0.3">
      <c r="A238" s="4">
        <v>37858</v>
      </c>
      <c r="B238" s="3">
        <v>2003</v>
      </c>
      <c r="C238" s="3">
        <v>8</v>
      </c>
      <c r="D238" s="3" t="s">
        <v>665</v>
      </c>
      <c r="E238" s="3" t="s">
        <v>616</v>
      </c>
      <c r="F238" s="3">
        <v>25</v>
      </c>
      <c r="G238" s="3" t="s">
        <v>657</v>
      </c>
      <c r="H238" s="3">
        <v>0</v>
      </c>
    </row>
    <row r="239" spans="1:8" x14ac:dyDescent="0.3">
      <c r="A239" s="4">
        <v>37859</v>
      </c>
      <c r="B239" s="3">
        <v>2003</v>
      </c>
      <c r="C239" s="3">
        <v>8</v>
      </c>
      <c r="D239" s="3" t="s">
        <v>665</v>
      </c>
      <c r="E239" s="3" t="s">
        <v>616</v>
      </c>
      <c r="F239" s="3">
        <v>26</v>
      </c>
      <c r="G239" s="3" t="s">
        <v>658</v>
      </c>
      <c r="H239" s="3">
        <v>0</v>
      </c>
    </row>
    <row r="240" spans="1:8" x14ac:dyDescent="0.3">
      <c r="A240" s="4">
        <v>37860</v>
      </c>
      <c r="B240" s="3">
        <v>2003</v>
      </c>
      <c r="C240" s="3">
        <v>8</v>
      </c>
      <c r="D240" s="3" t="s">
        <v>665</v>
      </c>
      <c r="E240" s="3" t="s">
        <v>616</v>
      </c>
      <c r="F240" s="3">
        <v>27</v>
      </c>
      <c r="G240" s="3" t="s">
        <v>652</v>
      </c>
      <c r="H240" s="3">
        <v>0</v>
      </c>
    </row>
    <row r="241" spans="1:8" x14ac:dyDescent="0.3">
      <c r="A241" s="4">
        <v>37861</v>
      </c>
      <c r="B241" s="3">
        <v>2003</v>
      </c>
      <c r="C241" s="3">
        <v>8</v>
      </c>
      <c r="D241" s="3" t="s">
        <v>665</v>
      </c>
      <c r="E241" s="3" t="s">
        <v>616</v>
      </c>
      <c r="F241" s="3">
        <v>28</v>
      </c>
      <c r="G241" s="3" t="s">
        <v>653</v>
      </c>
      <c r="H241" s="3">
        <v>0</v>
      </c>
    </row>
    <row r="242" spans="1:8" x14ac:dyDescent="0.3">
      <c r="A242" s="4">
        <v>37862</v>
      </c>
      <c r="B242" s="3">
        <v>2003</v>
      </c>
      <c r="C242" s="3">
        <v>8</v>
      </c>
      <c r="D242" s="3" t="s">
        <v>665</v>
      </c>
      <c r="E242" s="3" t="s">
        <v>616</v>
      </c>
      <c r="F242" s="3">
        <v>29</v>
      </c>
      <c r="G242" s="3" t="s">
        <v>654</v>
      </c>
      <c r="H242" s="3">
        <v>0</v>
      </c>
    </row>
    <row r="243" spans="1:8" x14ac:dyDescent="0.3">
      <c r="A243" s="4">
        <v>37863</v>
      </c>
      <c r="B243" s="3">
        <v>2003</v>
      </c>
      <c r="C243" s="3">
        <v>8</v>
      </c>
      <c r="D243" s="3" t="s">
        <v>665</v>
      </c>
      <c r="E243" s="3" t="s">
        <v>616</v>
      </c>
      <c r="F243" s="3">
        <v>30</v>
      </c>
      <c r="G243" s="3" t="s">
        <v>655</v>
      </c>
      <c r="H243" s="3">
        <v>1</v>
      </c>
    </row>
    <row r="244" spans="1:8" x14ac:dyDescent="0.3">
      <c r="A244" s="4">
        <v>37864</v>
      </c>
      <c r="B244" s="3">
        <v>2003</v>
      </c>
      <c r="C244" s="3">
        <v>8</v>
      </c>
      <c r="D244" s="3" t="s">
        <v>665</v>
      </c>
      <c r="E244" s="3" t="s">
        <v>616</v>
      </c>
      <c r="F244" s="3">
        <v>31</v>
      </c>
      <c r="G244" s="3" t="s">
        <v>656</v>
      </c>
      <c r="H244" s="3">
        <v>1</v>
      </c>
    </row>
    <row r="245" spans="1:8" x14ac:dyDescent="0.3">
      <c r="A245" s="4">
        <v>37865</v>
      </c>
      <c r="B245" s="3">
        <v>2003</v>
      </c>
      <c r="C245" s="3">
        <v>9</v>
      </c>
      <c r="D245" s="3" t="s">
        <v>666</v>
      </c>
      <c r="E245" s="3" t="s">
        <v>616</v>
      </c>
      <c r="F245" s="3">
        <v>1</v>
      </c>
      <c r="G245" s="3" t="s">
        <v>657</v>
      </c>
      <c r="H245" s="3">
        <v>0</v>
      </c>
    </row>
    <row r="246" spans="1:8" x14ac:dyDescent="0.3">
      <c r="A246" s="4">
        <v>37866</v>
      </c>
      <c r="B246" s="3">
        <v>2003</v>
      </c>
      <c r="C246" s="3">
        <v>9</v>
      </c>
      <c r="D246" s="3" t="s">
        <v>666</v>
      </c>
      <c r="E246" s="3" t="s">
        <v>616</v>
      </c>
      <c r="F246" s="3">
        <v>2</v>
      </c>
      <c r="G246" s="3" t="s">
        <v>658</v>
      </c>
      <c r="H246" s="3">
        <v>0</v>
      </c>
    </row>
    <row r="247" spans="1:8" x14ac:dyDescent="0.3">
      <c r="A247" s="4">
        <v>37867</v>
      </c>
      <c r="B247" s="3">
        <v>2003</v>
      </c>
      <c r="C247" s="3">
        <v>9</v>
      </c>
      <c r="D247" s="3" t="s">
        <v>666</v>
      </c>
      <c r="E247" s="3" t="s">
        <v>616</v>
      </c>
      <c r="F247" s="3">
        <v>3</v>
      </c>
      <c r="G247" s="3" t="s">
        <v>652</v>
      </c>
      <c r="H247" s="3">
        <v>0</v>
      </c>
    </row>
    <row r="248" spans="1:8" x14ac:dyDescent="0.3">
      <c r="A248" s="4">
        <v>37868</v>
      </c>
      <c r="B248" s="3">
        <v>2003</v>
      </c>
      <c r="C248" s="3">
        <v>9</v>
      </c>
      <c r="D248" s="3" t="s">
        <v>666</v>
      </c>
      <c r="E248" s="3" t="s">
        <v>616</v>
      </c>
      <c r="F248" s="3">
        <v>4</v>
      </c>
      <c r="G248" s="3" t="s">
        <v>653</v>
      </c>
      <c r="H248" s="3">
        <v>0</v>
      </c>
    </row>
    <row r="249" spans="1:8" x14ac:dyDescent="0.3">
      <c r="A249" s="4">
        <v>37869</v>
      </c>
      <c r="B249" s="3">
        <v>2003</v>
      </c>
      <c r="C249" s="3">
        <v>9</v>
      </c>
      <c r="D249" s="3" t="s">
        <v>666</v>
      </c>
      <c r="E249" s="3" t="s">
        <v>616</v>
      </c>
      <c r="F249" s="3">
        <v>5</v>
      </c>
      <c r="G249" s="3" t="s">
        <v>654</v>
      </c>
      <c r="H249" s="3">
        <v>0</v>
      </c>
    </row>
    <row r="250" spans="1:8" x14ac:dyDescent="0.3">
      <c r="A250" s="4">
        <v>37870</v>
      </c>
      <c r="B250" s="3">
        <v>2003</v>
      </c>
      <c r="C250" s="3">
        <v>9</v>
      </c>
      <c r="D250" s="3" t="s">
        <v>666</v>
      </c>
      <c r="E250" s="3" t="s">
        <v>616</v>
      </c>
      <c r="F250" s="3">
        <v>6</v>
      </c>
      <c r="G250" s="3" t="s">
        <v>655</v>
      </c>
      <c r="H250" s="3">
        <v>1</v>
      </c>
    </row>
    <row r="251" spans="1:8" x14ac:dyDescent="0.3">
      <c r="A251" s="4">
        <v>37871</v>
      </c>
      <c r="B251" s="3">
        <v>2003</v>
      </c>
      <c r="C251" s="3">
        <v>9</v>
      </c>
      <c r="D251" s="3" t="s">
        <v>666</v>
      </c>
      <c r="E251" s="3" t="s">
        <v>616</v>
      </c>
      <c r="F251" s="3">
        <v>7</v>
      </c>
      <c r="G251" s="3" t="s">
        <v>656</v>
      </c>
      <c r="H251" s="3">
        <v>1</v>
      </c>
    </row>
    <row r="252" spans="1:8" x14ac:dyDescent="0.3">
      <c r="A252" s="4">
        <v>37872</v>
      </c>
      <c r="B252" s="3">
        <v>2003</v>
      </c>
      <c r="C252" s="3">
        <v>9</v>
      </c>
      <c r="D252" s="3" t="s">
        <v>666</v>
      </c>
      <c r="E252" s="3" t="s">
        <v>616</v>
      </c>
      <c r="F252" s="3">
        <v>8</v>
      </c>
      <c r="G252" s="3" t="s">
        <v>657</v>
      </c>
      <c r="H252" s="3">
        <v>0</v>
      </c>
    </row>
    <row r="253" spans="1:8" x14ac:dyDescent="0.3">
      <c r="A253" s="4">
        <v>37873</v>
      </c>
      <c r="B253" s="3">
        <v>2003</v>
      </c>
      <c r="C253" s="3">
        <v>9</v>
      </c>
      <c r="D253" s="3" t="s">
        <v>666</v>
      </c>
      <c r="E253" s="3" t="s">
        <v>616</v>
      </c>
      <c r="F253" s="3">
        <v>9</v>
      </c>
      <c r="G253" s="3" t="s">
        <v>658</v>
      </c>
      <c r="H253" s="3">
        <v>0</v>
      </c>
    </row>
    <row r="254" spans="1:8" x14ac:dyDescent="0.3">
      <c r="A254" s="4">
        <v>37874</v>
      </c>
      <c r="B254" s="3">
        <v>2003</v>
      </c>
      <c r="C254" s="3">
        <v>9</v>
      </c>
      <c r="D254" s="3" t="s">
        <v>666</v>
      </c>
      <c r="E254" s="3" t="s">
        <v>616</v>
      </c>
      <c r="F254" s="3">
        <v>10</v>
      </c>
      <c r="G254" s="3" t="s">
        <v>652</v>
      </c>
      <c r="H254" s="3">
        <v>0</v>
      </c>
    </row>
    <row r="255" spans="1:8" x14ac:dyDescent="0.3">
      <c r="A255" s="4">
        <v>37875</v>
      </c>
      <c r="B255" s="3">
        <v>2003</v>
      </c>
      <c r="C255" s="3">
        <v>9</v>
      </c>
      <c r="D255" s="3" t="s">
        <v>666</v>
      </c>
      <c r="E255" s="3" t="s">
        <v>616</v>
      </c>
      <c r="F255" s="3">
        <v>11</v>
      </c>
      <c r="G255" s="3" t="s">
        <v>653</v>
      </c>
      <c r="H255" s="3">
        <v>0</v>
      </c>
    </row>
    <row r="256" spans="1:8" x14ac:dyDescent="0.3">
      <c r="A256" s="4">
        <v>37876</v>
      </c>
      <c r="B256" s="3">
        <v>2003</v>
      </c>
      <c r="C256" s="3">
        <v>9</v>
      </c>
      <c r="D256" s="3" t="s">
        <v>666</v>
      </c>
      <c r="E256" s="3" t="s">
        <v>616</v>
      </c>
      <c r="F256" s="3">
        <v>12</v>
      </c>
      <c r="G256" s="3" t="s">
        <v>654</v>
      </c>
      <c r="H256" s="3">
        <v>0</v>
      </c>
    </row>
    <row r="257" spans="1:8" x14ac:dyDescent="0.3">
      <c r="A257" s="4">
        <v>37877</v>
      </c>
      <c r="B257" s="3">
        <v>2003</v>
      </c>
      <c r="C257" s="3">
        <v>9</v>
      </c>
      <c r="D257" s="3" t="s">
        <v>666</v>
      </c>
      <c r="E257" s="3" t="s">
        <v>616</v>
      </c>
      <c r="F257" s="3">
        <v>13</v>
      </c>
      <c r="G257" s="3" t="s">
        <v>655</v>
      </c>
      <c r="H257" s="3">
        <v>1</v>
      </c>
    </row>
    <row r="258" spans="1:8" x14ac:dyDescent="0.3">
      <c r="A258" s="4">
        <v>37878</v>
      </c>
      <c r="B258" s="3">
        <v>2003</v>
      </c>
      <c r="C258" s="3">
        <v>9</v>
      </c>
      <c r="D258" s="3" t="s">
        <v>666</v>
      </c>
      <c r="E258" s="3" t="s">
        <v>616</v>
      </c>
      <c r="F258" s="3">
        <v>14</v>
      </c>
      <c r="G258" s="3" t="s">
        <v>656</v>
      </c>
      <c r="H258" s="3">
        <v>1</v>
      </c>
    </row>
    <row r="259" spans="1:8" x14ac:dyDescent="0.3">
      <c r="A259" s="4">
        <v>37879</v>
      </c>
      <c r="B259" s="3">
        <v>2003</v>
      </c>
      <c r="C259" s="3">
        <v>9</v>
      </c>
      <c r="D259" s="3" t="s">
        <v>666</v>
      </c>
      <c r="E259" s="3" t="s">
        <v>616</v>
      </c>
      <c r="F259" s="3">
        <v>15</v>
      </c>
      <c r="G259" s="3" t="s">
        <v>657</v>
      </c>
      <c r="H259" s="3">
        <v>0</v>
      </c>
    </row>
    <row r="260" spans="1:8" x14ac:dyDescent="0.3">
      <c r="A260" s="4">
        <v>37880</v>
      </c>
      <c r="B260" s="3">
        <v>2003</v>
      </c>
      <c r="C260" s="3">
        <v>9</v>
      </c>
      <c r="D260" s="3" t="s">
        <v>666</v>
      </c>
      <c r="E260" s="3" t="s">
        <v>616</v>
      </c>
      <c r="F260" s="3">
        <v>16</v>
      </c>
      <c r="G260" s="3" t="s">
        <v>658</v>
      </c>
      <c r="H260" s="3">
        <v>0</v>
      </c>
    </row>
    <row r="261" spans="1:8" x14ac:dyDescent="0.3">
      <c r="A261" s="4">
        <v>37881</v>
      </c>
      <c r="B261" s="3">
        <v>2003</v>
      </c>
      <c r="C261" s="3">
        <v>9</v>
      </c>
      <c r="D261" s="3" t="s">
        <v>666</v>
      </c>
      <c r="E261" s="3" t="s">
        <v>616</v>
      </c>
      <c r="F261" s="3">
        <v>17</v>
      </c>
      <c r="G261" s="3" t="s">
        <v>652</v>
      </c>
      <c r="H261" s="3">
        <v>0</v>
      </c>
    </row>
    <row r="262" spans="1:8" x14ac:dyDescent="0.3">
      <c r="A262" s="4">
        <v>37882</v>
      </c>
      <c r="B262" s="3">
        <v>2003</v>
      </c>
      <c r="C262" s="3">
        <v>9</v>
      </c>
      <c r="D262" s="3" t="s">
        <v>666</v>
      </c>
      <c r="E262" s="3" t="s">
        <v>616</v>
      </c>
      <c r="F262" s="3">
        <v>18</v>
      </c>
      <c r="G262" s="3" t="s">
        <v>653</v>
      </c>
      <c r="H262" s="3">
        <v>0</v>
      </c>
    </row>
    <row r="263" spans="1:8" x14ac:dyDescent="0.3">
      <c r="A263" s="4">
        <v>37883</v>
      </c>
      <c r="B263" s="3">
        <v>2003</v>
      </c>
      <c r="C263" s="3">
        <v>9</v>
      </c>
      <c r="D263" s="3" t="s">
        <v>666</v>
      </c>
      <c r="E263" s="3" t="s">
        <v>616</v>
      </c>
      <c r="F263" s="3">
        <v>19</v>
      </c>
      <c r="G263" s="3" t="s">
        <v>654</v>
      </c>
      <c r="H263" s="3">
        <v>0</v>
      </c>
    </row>
    <row r="264" spans="1:8" x14ac:dyDescent="0.3">
      <c r="A264" s="4">
        <v>37884</v>
      </c>
      <c r="B264" s="3">
        <v>2003</v>
      </c>
      <c r="C264" s="3">
        <v>9</v>
      </c>
      <c r="D264" s="3" t="s">
        <v>666</v>
      </c>
      <c r="E264" s="3" t="s">
        <v>616</v>
      </c>
      <c r="F264" s="3">
        <v>20</v>
      </c>
      <c r="G264" s="3" t="s">
        <v>655</v>
      </c>
      <c r="H264" s="3">
        <v>1</v>
      </c>
    </row>
    <row r="265" spans="1:8" x14ac:dyDescent="0.3">
      <c r="A265" s="4">
        <v>37885</v>
      </c>
      <c r="B265" s="3">
        <v>2003</v>
      </c>
      <c r="C265" s="3">
        <v>9</v>
      </c>
      <c r="D265" s="3" t="s">
        <v>666</v>
      </c>
      <c r="E265" s="3" t="s">
        <v>616</v>
      </c>
      <c r="F265" s="3">
        <v>21</v>
      </c>
      <c r="G265" s="3" t="s">
        <v>656</v>
      </c>
      <c r="H265" s="3">
        <v>1</v>
      </c>
    </row>
    <row r="266" spans="1:8" x14ac:dyDescent="0.3">
      <c r="A266" s="4">
        <v>37886</v>
      </c>
      <c r="B266" s="3">
        <v>2003</v>
      </c>
      <c r="C266" s="3">
        <v>9</v>
      </c>
      <c r="D266" s="3" t="s">
        <v>666</v>
      </c>
      <c r="E266" s="3" t="s">
        <v>616</v>
      </c>
      <c r="F266" s="3">
        <v>22</v>
      </c>
      <c r="G266" s="3" t="s">
        <v>657</v>
      </c>
      <c r="H266" s="3">
        <v>0</v>
      </c>
    </row>
    <row r="267" spans="1:8" x14ac:dyDescent="0.3">
      <c r="A267" s="4">
        <v>37887</v>
      </c>
      <c r="B267" s="3">
        <v>2003</v>
      </c>
      <c r="C267" s="3">
        <v>9</v>
      </c>
      <c r="D267" s="3" t="s">
        <v>666</v>
      </c>
      <c r="E267" s="3" t="s">
        <v>616</v>
      </c>
      <c r="F267" s="3">
        <v>23</v>
      </c>
      <c r="G267" s="3" t="s">
        <v>658</v>
      </c>
      <c r="H267" s="3">
        <v>0</v>
      </c>
    </row>
    <row r="268" spans="1:8" x14ac:dyDescent="0.3">
      <c r="A268" s="4">
        <v>37888</v>
      </c>
      <c r="B268" s="3">
        <v>2003</v>
      </c>
      <c r="C268" s="3">
        <v>9</v>
      </c>
      <c r="D268" s="3" t="s">
        <v>666</v>
      </c>
      <c r="E268" s="3" t="s">
        <v>616</v>
      </c>
      <c r="F268" s="3">
        <v>24</v>
      </c>
      <c r="G268" s="3" t="s">
        <v>652</v>
      </c>
      <c r="H268" s="3">
        <v>0</v>
      </c>
    </row>
    <row r="269" spans="1:8" x14ac:dyDescent="0.3">
      <c r="A269" s="4">
        <v>37889</v>
      </c>
      <c r="B269" s="3">
        <v>2003</v>
      </c>
      <c r="C269" s="3">
        <v>9</v>
      </c>
      <c r="D269" s="3" t="s">
        <v>666</v>
      </c>
      <c r="E269" s="3" t="s">
        <v>616</v>
      </c>
      <c r="F269" s="3">
        <v>25</v>
      </c>
      <c r="G269" s="3" t="s">
        <v>653</v>
      </c>
      <c r="H269" s="3">
        <v>0</v>
      </c>
    </row>
    <row r="270" spans="1:8" x14ac:dyDescent="0.3">
      <c r="A270" s="4">
        <v>37890</v>
      </c>
      <c r="B270" s="3">
        <v>2003</v>
      </c>
      <c r="C270" s="3">
        <v>9</v>
      </c>
      <c r="D270" s="3" t="s">
        <v>666</v>
      </c>
      <c r="E270" s="3" t="s">
        <v>616</v>
      </c>
      <c r="F270" s="3">
        <v>26</v>
      </c>
      <c r="G270" s="3" t="s">
        <v>654</v>
      </c>
      <c r="H270" s="3">
        <v>0</v>
      </c>
    </row>
    <row r="271" spans="1:8" x14ac:dyDescent="0.3">
      <c r="A271" s="4">
        <v>37891</v>
      </c>
      <c r="B271" s="3">
        <v>2003</v>
      </c>
      <c r="C271" s="3">
        <v>9</v>
      </c>
      <c r="D271" s="3" t="s">
        <v>666</v>
      </c>
      <c r="E271" s="3" t="s">
        <v>616</v>
      </c>
      <c r="F271" s="3">
        <v>27</v>
      </c>
      <c r="G271" s="3" t="s">
        <v>655</v>
      </c>
      <c r="H271" s="3">
        <v>1</v>
      </c>
    </row>
    <row r="272" spans="1:8" x14ac:dyDescent="0.3">
      <c r="A272" s="4">
        <v>37892</v>
      </c>
      <c r="B272" s="3">
        <v>2003</v>
      </c>
      <c r="C272" s="3">
        <v>9</v>
      </c>
      <c r="D272" s="3" t="s">
        <v>666</v>
      </c>
      <c r="E272" s="3" t="s">
        <v>616</v>
      </c>
      <c r="F272" s="3">
        <v>28</v>
      </c>
      <c r="G272" s="3" t="s">
        <v>656</v>
      </c>
      <c r="H272" s="3">
        <v>1</v>
      </c>
    </row>
    <row r="273" spans="1:8" x14ac:dyDescent="0.3">
      <c r="A273" s="4">
        <v>37893</v>
      </c>
      <c r="B273" s="3">
        <v>2003</v>
      </c>
      <c r="C273" s="3">
        <v>9</v>
      </c>
      <c r="D273" s="3" t="s">
        <v>666</v>
      </c>
      <c r="E273" s="3" t="s">
        <v>616</v>
      </c>
      <c r="F273" s="3">
        <v>29</v>
      </c>
      <c r="G273" s="3" t="s">
        <v>657</v>
      </c>
      <c r="H273" s="3">
        <v>0</v>
      </c>
    </row>
    <row r="274" spans="1:8" x14ac:dyDescent="0.3">
      <c r="A274" s="4">
        <v>37894</v>
      </c>
      <c r="B274" s="3">
        <v>2003</v>
      </c>
      <c r="C274" s="3">
        <v>9</v>
      </c>
      <c r="D274" s="3" t="s">
        <v>666</v>
      </c>
      <c r="E274" s="3" t="s">
        <v>616</v>
      </c>
      <c r="F274" s="3">
        <v>30</v>
      </c>
      <c r="G274" s="3" t="s">
        <v>658</v>
      </c>
      <c r="H274" s="3">
        <v>0</v>
      </c>
    </row>
    <row r="275" spans="1:8" x14ac:dyDescent="0.3">
      <c r="A275" s="4">
        <v>37895</v>
      </c>
      <c r="B275" s="3">
        <v>2003</v>
      </c>
      <c r="C275" s="3">
        <v>10</v>
      </c>
      <c r="D275" s="3" t="s">
        <v>667</v>
      </c>
      <c r="E275" s="3" t="s">
        <v>617</v>
      </c>
      <c r="F275" s="3">
        <v>1</v>
      </c>
      <c r="G275" s="3" t="s">
        <v>652</v>
      </c>
      <c r="H275" s="3">
        <v>0</v>
      </c>
    </row>
    <row r="276" spans="1:8" x14ac:dyDescent="0.3">
      <c r="A276" s="4">
        <v>37896</v>
      </c>
      <c r="B276" s="3">
        <v>2003</v>
      </c>
      <c r="C276" s="3">
        <v>10</v>
      </c>
      <c r="D276" s="3" t="s">
        <v>667</v>
      </c>
      <c r="E276" s="3" t="s">
        <v>617</v>
      </c>
      <c r="F276" s="3">
        <v>2</v>
      </c>
      <c r="G276" s="3" t="s">
        <v>653</v>
      </c>
      <c r="H276" s="3">
        <v>0</v>
      </c>
    </row>
    <row r="277" spans="1:8" x14ac:dyDescent="0.3">
      <c r="A277" s="4">
        <v>37897</v>
      </c>
      <c r="B277" s="3">
        <v>2003</v>
      </c>
      <c r="C277" s="3">
        <v>10</v>
      </c>
      <c r="D277" s="3" t="s">
        <v>667</v>
      </c>
      <c r="E277" s="3" t="s">
        <v>617</v>
      </c>
      <c r="F277" s="3">
        <v>3</v>
      </c>
      <c r="G277" s="3" t="s">
        <v>654</v>
      </c>
      <c r="H277" s="3">
        <v>0</v>
      </c>
    </row>
    <row r="278" spans="1:8" x14ac:dyDescent="0.3">
      <c r="A278" s="4">
        <v>37898</v>
      </c>
      <c r="B278" s="3">
        <v>2003</v>
      </c>
      <c r="C278" s="3">
        <v>10</v>
      </c>
      <c r="D278" s="3" t="s">
        <v>667</v>
      </c>
      <c r="E278" s="3" t="s">
        <v>617</v>
      </c>
      <c r="F278" s="3">
        <v>4</v>
      </c>
      <c r="G278" s="3" t="s">
        <v>655</v>
      </c>
      <c r="H278" s="3">
        <v>1</v>
      </c>
    </row>
    <row r="279" spans="1:8" x14ac:dyDescent="0.3">
      <c r="A279" s="4">
        <v>37899</v>
      </c>
      <c r="B279" s="3">
        <v>2003</v>
      </c>
      <c r="C279" s="3">
        <v>10</v>
      </c>
      <c r="D279" s="3" t="s">
        <v>667</v>
      </c>
      <c r="E279" s="3" t="s">
        <v>617</v>
      </c>
      <c r="F279" s="3">
        <v>5</v>
      </c>
      <c r="G279" s="3" t="s">
        <v>656</v>
      </c>
      <c r="H279" s="3">
        <v>1</v>
      </c>
    </row>
    <row r="280" spans="1:8" x14ac:dyDescent="0.3">
      <c r="A280" s="4">
        <v>37900</v>
      </c>
      <c r="B280" s="3">
        <v>2003</v>
      </c>
      <c r="C280" s="3">
        <v>10</v>
      </c>
      <c r="D280" s="3" t="s">
        <v>667</v>
      </c>
      <c r="E280" s="3" t="s">
        <v>617</v>
      </c>
      <c r="F280" s="3">
        <v>6</v>
      </c>
      <c r="G280" s="3" t="s">
        <v>657</v>
      </c>
      <c r="H280" s="3">
        <v>0</v>
      </c>
    </row>
    <row r="281" spans="1:8" x14ac:dyDescent="0.3">
      <c r="A281" s="4">
        <v>37901</v>
      </c>
      <c r="B281" s="3">
        <v>2003</v>
      </c>
      <c r="C281" s="3">
        <v>10</v>
      </c>
      <c r="D281" s="3" t="s">
        <v>667</v>
      </c>
      <c r="E281" s="3" t="s">
        <v>617</v>
      </c>
      <c r="F281" s="3">
        <v>7</v>
      </c>
      <c r="G281" s="3" t="s">
        <v>658</v>
      </c>
      <c r="H281" s="3">
        <v>0</v>
      </c>
    </row>
    <row r="282" spans="1:8" x14ac:dyDescent="0.3">
      <c r="A282" s="4">
        <v>37902</v>
      </c>
      <c r="B282" s="3">
        <v>2003</v>
      </c>
      <c r="C282" s="3">
        <v>10</v>
      </c>
      <c r="D282" s="3" t="s">
        <v>667</v>
      </c>
      <c r="E282" s="3" t="s">
        <v>617</v>
      </c>
      <c r="F282" s="3">
        <v>8</v>
      </c>
      <c r="G282" s="3" t="s">
        <v>652</v>
      </c>
      <c r="H282" s="3">
        <v>0</v>
      </c>
    </row>
    <row r="283" spans="1:8" x14ac:dyDescent="0.3">
      <c r="A283" s="4">
        <v>37903</v>
      </c>
      <c r="B283" s="3">
        <v>2003</v>
      </c>
      <c r="C283" s="3">
        <v>10</v>
      </c>
      <c r="D283" s="3" t="s">
        <v>667</v>
      </c>
      <c r="E283" s="3" t="s">
        <v>617</v>
      </c>
      <c r="F283" s="3">
        <v>9</v>
      </c>
      <c r="G283" s="3" t="s">
        <v>653</v>
      </c>
      <c r="H283" s="3">
        <v>0</v>
      </c>
    </row>
    <row r="284" spans="1:8" x14ac:dyDescent="0.3">
      <c r="A284" s="4">
        <v>37904</v>
      </c>
      <c r="B284" s="3">
        <v>2003</v>
      </c>
      <c r="C284" s="3">
        <v>10</v>
      </c>
      <c r="D284" s="3" t="s">
        <v>667</v>
      </c>
      <c r="E284" s="3" t="s">
        <v>617</v>
      </c>
      <c r="F284" s="3">
        <v>10</v>
      </c>
      <c r="G284" s="3" t="s">
        <v>654</v>
      </c>
      <c r="H284" s="3">
        <v>0</v>
      </c>
    </row>
    <row r="285" spans="1:8" x14ac:dyDescent="0.3">
      <c r="A285" s="4">
        <v>37905</v>
      </c>
      <c r="B285" s="3">
        <v>2003</v>
      </c>
      <c r="C285" s="3">
        <v>10</v>
      </c>
      <c r="D285" s="3" t="s">
        <v>667</v>
      </c>
      <c r="E285" s="3" t="s">
        <v>617</v>
      </c>
      <c r="F285" s="3">
        <v>11</v>
      </c>
      <c r="G285" s="3" t="s">
        <v>655</v>
      </c>
      <c r="H285" s="3">
        <v>1</v>
      </c>
    </row>
    <row r="286" spans="1:8" x14ac:dyDescent="0.3">
      <c r="A286" s="4">
        <v>37906</v>
      </c>
      <c r="B286" s="3">
        <v>2003</v>
      </c>
      <c r="C286" s="3">
        <v>10</v>
      </c>
      <c r="D286" s="3" t="s">
        <v>667</v>
      </c>
      <c r="E286" s="3" t="s">
        <v>617</v>
      </c>
      <c r="F286" s="3">
        <v>12</v>
      </c>
      <c r="G286" s="3" t="s">
        <v>656</v>
      </c>
      <c r="H286" s="3">
        <v>1</v>
      </c>
    </row>
    <row r="287" spans="1:8" x14ac:dyDescent="0.3">
      <c r="A287" s="4">
        <v>37907</v>
      </c>
      <c r="B287" s="3">
        <v>2003</v>
      </c>
      <c r="C287" s="3">
        <v>10</v>
      </c>
      <c r="D287" s="3" t="s">
        <v>667</v>
      </c>
      <c r="E287" s="3" t="s">
        <v>617</v>
      </c>
      <c r="F287" s="3">
        <v>13</v>
      </c>
      <c r="G287" s="3" t="s">
        <v>657</v>
      </c>
      <c r="H287" s="3">
        <v>0</v>
      </c>
    </row>
    <row r="288" spans="1:8" x14ac:dyDescent="0.3">
      <c r="A288" s="4">
        <v>37908</v>
      </c>
      <c r="B288" s="3">
        <v>2003</v>
      </c>
      <c r="C288" s="3">
        <v>10</v>
      </c>
      <c r="D288" s="3" t="s">
        <v>667</v>
      </c>
      <c r="E288" s="3" t="s">
        <v>617</v>
      </c>
      <c r="F288" s="3">
        <v>14</v>
      </c>
      <c r="G288" s="3" t="s">
        <v>658</v>
      </c>
      <c r="H288" s="3">
        <v>0</v>
      </c>
    </row>
    <row r="289" spans="1:8" x14ac:dyDescent="0.3">
      <c r="A289" s="4">
        <v>37909</v>
      </c>
      <c r="B289" s="3">
        <v>2003</v>
      </c>
      <c r="C289" s="3">
        <v>10</v>
      </c>
      <c r="D289" s="3" t="s">
        <v>667</v>
      </c>
      <c r="E289" s="3" t="s">
        <v>617</v>
      </c>
      <c r="F289" s="3">
        <v>15</v>
      </c>
      <c r="G289" s="3" t="s">
        <v>652</v>
      </c>
      <c r="H289" s="3">
        <v>0</v>
      </c>
    </row>
    <row r="290" spans="1:8" x14ac:dyDescent="0.3">
      <c r="A290" s="4">
        <v>37910</v>
      </c>
      <c r="B290" s="3">
        <v>2003</v>
      </c>
      <c r="C290" s="3">
        <v>10</v>
      </c>
      <c r="D290" s="3" t="s">
        <v>667</v>
      </c>
      <c r="E290" s="3" t="s">
        <v>617</v>
      </c>
      <c r="F290" s="3">
        <v>16</v>
      </c>
      <c r="G290" s="3" t="s">
        <v>653</v>
      </c>
      <c r="H290" s="3">
        <v>0</v>
      </c>
    </row>
    <row r="291" spans="1:8" x14ac:dyDescent="0.3">
      <c r="A291" s="4">
        <v>37911</v>
      </c>
      <c r="B291" s="3">
        <v>2003</v>
      </c>
      <c r="C291" s="3">
        <v>10</v>
      </c>
      <c r="D291" s="3" t="s">
        <v>667</v>
      </c>
      <c r="E291" s="3" t="s">
        <v>617</v>
      </c>
      <c r="F291" s="3">
        <v>17</v>
      </c>
      <c r="G291" s="3" t="s">
        <v>654</v>
      </c>
      <c r="H291" s="3">
        <v>0</v>
      </c>
    </row>
    <row r="292" spans="1:8" x14ac:dyDescent="0.3">
      <c r="A292" s="4">
        <v>37912</v>
      </c>
      <c r="B292" s="3">
        <v>2003</v>
      </c>
      <c r="C292" s="3">
        <v>10</v>
      </c>
      <c r="D292" s="3" t="s">
        <v>667</v>
      </c>
      <c r="E292" s="3" t="s">
        <v>617</v>
      </c>
      <c r="F292" s="3">
        <v>18</v>
      </c>
      <c r="G292" s="3" t="s">
        <v>655</v>
      </c>
      <c r="H292" s="3">
        <v>1</v>
      </c>
    </row>
    <row r="293" spans="1:8" x14ac:dyDescent="0.3">
      <c r="A293" s="4">
        <v>37913</v>
      </c>
      <c r="B293" s="3">
        <v>2003</v>
      </c>
      <c r="C293" s="3">
        <v>10</v>
      </c>
      <c r="D293" s="3" t="s">
        <v>667</v>
      </c>
      <c r="E293" s="3" t="s">
        <v>617</v>
      </c>
      <c r="F293" s="3">
        <v>19</v>
      </c>
      <c r="G293" s="3" t="s">
        <v>656</v>
      </c>
      <c r="H293" s="3">
        <v>1</v>
      </c>
    </row>
    <row r="294" spans="1:8" x14ac:dyDescent="0.3">
      <c r="A294" s="4">
        <v>37914</v>
      </c>
      <c r="B294" s="3">
        <v>2003</v>
      </c>
      <c r="C294" s="3">
        <v>10</v>
      </c>
      <c r="D294" s="3" t="s">
        <v>667</v>
      </c>
      <c r="E294" s="3" t="s">
        <v>617</v>
      </c>
      <c r="F294" s="3">
        <v>20</v>
      </c>
      <c r="G294" s="3" t="s">
        <v>657</v>
      </c>
      <c r="H294" s="3">
        <v>0</v>
      </c>
    </row>
    <row r="295" spans="1:8" x14ac:dyDescent="0.3">
      <c r="A295" s="4">
        <v>37915</v>
      </c>
      <c r="B295" s="3">
        <v>2003</v>
      </c>
      <c r="C295" s="3">
        <v>10</v>
      </c>
      <c r="D295" s="3" t="s">
        <v>667</v>
      </c>
      <c r="E295" s="3" t="s">
        <v>617</v>
      </c>
      <c r="F295" s="3">
        <v>21</v>
      </c>
      <c r="G295" s="3" t="s">
        <v>658</v>
      </c>
      <c r="H295" s="3">
        <v>0</v>
      </c>
    </row>
    <row r="296" spans="1:8" x14ac:dyDescent="0.3">
      <c r="A296" s="4">
        <v>37916</v>
      </c>
      <c r="B296" s="3">
        <v>2003</v>
      </c>
      <c r="C296" s="3">
        <v>10</v>
      </c>
      <c r="D296" s="3" t="s">
        <v>667</v>
      </c>
      <c r="E296" s="3" t="s">
        <v>617</v>
      </c>
      <c r="F296" s="3">
        <v>22</v>
      </c>
      <c r="G296" s="3" t="s">
        <v>652</v>
      </c>
      <c r="H296" s="3">
        <v>0</v>
      </c>
    </row>
    <row r="297" spans="1:8" x14ac:dyDescent="0.3">
      <c r="A297" s="4">
        <v>37917</v>
      </c>
      <c r="B297" s="3">
        <v>2003</v>
      </c>
      <c r="C297" s="3">
        <v>10</v>
      </c>
      <c r="D297" s="3" t="s">
        <v>667</v>
      </c>
      <c r="E297" s="3" t="s">
        <v>617</v>
      </c>
      <c r="F297" s="3">
        <v>23</v>
      </c>
      <c r="G297" s="3" t="s">
        <v>653</v>
      </c>
      <c r="H297" s="3">
        <v>0</v>
      </c>
    </row>
    <row r="298" spans="1:8" x14ac:dyDescent="0.3">
      <c r="A298" s="4">
        <v>37918</v>
      </c>
      <c r="B298" s="3">
        <v>2003</v>
      </c>
      <c r="C298" s="3">
        <v>10</v>
      </c>
      <c r="D298" s="3" t="s">
        <v>667</v>
      </c>
      <c r="E298" s="3" t="s">
        <v>617</v>
      </c>
      <c r="F298" s="3">
        <v>24</v>
      </c>
      <c r="G298" s="3" t="s">
        <v>654</v>
      </c>
      <c r="H298" s="3">
        <v>0</v>
      </c>
    </row>
    <row r="299" spans="1:8" x14ac:dyDescent="0.3">
      <c r="A299" s="4">
        <v>37919</v>
      </c>
      <c r="B299" s="3">
        <v>2003</v>
      </c>
      <c r="C299" s="3">
        <v>10</v>
      </c>
      <c r="D299" s="3" t="s">
        <v>667</v>
      </c>
      <c r="E299" s="3" t="s">
        <v>617</v>
      </c>
      <c r="F299" s="3">
        <v>25</v>
      </c>
      <c r="G299" s="3" t="s">
        <v>655</v>
      </c>
      <c r="H299" s="3">
        <v>1</v>
      </c>
    </row>
    <row r="300" spans="1:8" x14ac:dyDescent="0.3">
      <c r="A300" s="4">
        <v>37920</v>
      </c>
      <c r="B300" s="3">
        <v>2003</v>
      </c>
      <c r="C300" s="3">
        <v>10</v>
      </c>
      <c r="D300" s="3" t="s">
        <v>667</v>
      </c>
      <c r="E300" s="3" t="s">
        <v>617</v>
      </c>
      <c r="F300" s="3">
        <v>26</v>
      </c>
      <c r="G300" s="3" t="s">
        <v>656</v>
      </c>
      <c r="H300" s="3">
        <v>1</v>
      </c>
    </row>
    <row r="301" spans="1:8" x14ac:dyDescent="0.3">
      <c r="A301" s="4">
        <v>37921</v>
      </c>
      <c r="B301" s="3">
        <v>2003</v>
      </c>
      <c r="C301" s="3">
        <v>10</v>
      </c>
      <c r="D301" s="3" t="s">
        <v>667</v>
      </c>
      <c r="E301" s="3" t="s">
        <v>617</v>
      </c>
      <c r="F301" s="3">
        <v>27</v>
      </c>
      <c r="G301" s="3" t="s">
        <v>657</v>
      </c>
      <c r="H301" s="3">
        <v>0</v>
      </c>
    </row>
    <row r="302" spans="1:8" x14ac:dyDescent="0.3">
      <c r="A302" s="4">
        <v>37922</v>
      </c>
      <c r="B302" s="3">
        <v>2003</v>
      </c>
      <c r="C302" s="3">
        <v>10</v>
      </c>
      <c r="D302" s="3" t="s">
        <v>667</v>
      </c>
      <c r="E302" s="3" t="s">
        <v>617</v>
      </c>
      <c r="F302" s="3">
        <v>28</v>
      </c>
      <c r="G302" s="3" t="s">
        <v>658</v>
      </c>
      <c r="H302" s="3">
        <v>0</v>
      </c>
    </row>
    <row r="303" spans="1:8" x14ac:dyDescent="0.3">
      <c r="A303" s="4">
        <v>37923</v>
      </c>
      <c r="B303" s="3">
        <v>2003</v>
      </c>
      <c r="C303" s="3">
        <v>10</v>
      </c>
      <c r="D303" s="3" t="s">
        <v>667</v>
      </c>
      <c r="E303" s="3" t="s">
        <v>617</v>
      </c>
      <c r="F303" s="3">
        <v>29</v>
      </c>
      <c r="G303" s="3" t="s">
        <v>652</v>
      </c>
      <c r="H303" s="3">
        <v>0</v>
      </c>
    </row>
    <row r="304" spans="1:8" x14ac:dyDescent="0.3">
      <c r="A304" s="4">
        <v>37924</v>
      </c>
      <c r="B304" s="3">
        <v>2003</v>
      </c>
      <c r="C304" s="3">
        <v>10</v>
      </c>
      <c r="D304" s="3" t="s">
        <v>667</v>
      </c>
      <c r="E304" s="3" t="s">
        <v>617</v>
      </c>
      <c r="F304" s="3">
        <v>30</v>
      </c>
      <c r="G304" s="3" t="s">
        <v>653</v>
      </c>
      <c r="H304" s="3">
        <v>0</v>
      </c>
    </row>
    <row r="305" spans="1:8" x14ac:dyDescent="0.3">
      <c r="A305" s="4">
        <v>37925</v>
      </c>
      <c r="B305" s="3">
        <v>2003</v>
      </c>
      <c r="C305" s="3">
        <v>10</v>
      </c>
      <c r="D305" s="3" t="s">
        <v>667</v>
      </c>
      <c r="E305" s="3" t="s">
        <v>617</v>
      </c>
      <c r="F305" s="3">
        <v>31</v>
      </c>
      <c r="G305" s="3" t="s">
        <v>654</v>
      </c>
      <c r="H305" s="3">
        <v>0</v>
      </c>
    </row>
    <row r="306" spans="1:8" x14ac:dyDescent="0.3">
      <c r="A306" s="4">
        <v>37926</v>
      </c>
      <c r="B306" s="3">
        <v>2003</v>
      </c>
      <c r="C306" s="3">
        <v>11</v>
      </c>
      <c r="D306" s="3" t="s">
        <v>668</v>
      </c>
      <c r="E306" s="3" t="s">
        <v>617</v>
      </c>
      <c r="F306" s="3">
        <v>1</v>
      </c>
      <c r="G306" s="3" t="s">
        <v>655</v>
      </c>
      <c r="H306" s="3">
        <v>1</v>
      </c>
    </row>
    <row r="307" spans="1:8" x14ac:dyDescent="0.3">
      <c r="A307" s="4">
        <v>37927</v>
      </c>
      <c r="B307" s="3">
        <v>2003</v>
      </c>
      <c r="C307" s="3">
        <v>11</v>
      </c>
      <c r="D307" s="3" t="s">
        <v>668</v>
      </c>
      <c r="E307" s="3" t="s">
        <v>617</v>
      </c>
      <c r="F307" s="3">
        <v>2</v>
      </c>
      <c r="G307" s="3" t="s">
        <v>656</v>
      </c>
      <c r="H307" s="3">
        <v>1</v>
      </c>
    </row>
    <row r="308" spans="1:8" x14ac:dyDescent="0.3">
      <c r="A308" s="4">
        <v>37928</v>
      </c>
      <c r="B308" s="3">
        <v>2003</v>
      </c>
      <c r="C308" s="3">
        <v>11</v>
      </c>
      <c r="D308" s="3" t="s">
        <v>668</v>
      </c>
      <c r="E308" s="3" t="s">
        <v>617</v>
      </c>
      <c r="F308" s="3">
        <v>3</v>
      </c>
      <c r="G308" s="3" t="s">
        <v>657</v>
      </c>
      <c r="H308" s="3">
        <v>0</v>
      </c>
    </row>
    <row r="309" spans="1:8" x14ac:dyDescent="0.3">
      <c r="A309" s="4">
        <v>37929</v>
      </c>
      <c r="B309" s="3">
        <v>2003</v>
      </c>
      <c r="C309" s="3">
        <v>11</v>
      </c>
      <c r="D309" s="3" t="s">
        <v>668</v>
      </c>
      <c r="E309" s="3" t="s">
        <v>617</v>
      </c>
      <c r="F309" s="3">
        <v>4</v>
      </c>
      <c r="G309" s="3" t="s">
        <v>658</v>
      </c>
      <c r="H309" s="3">
        <v>0</v>
      </c>
    </row>
    <row r="310" spans="1:8" x14ac:dyDescent="0.3">
      <c r="A310" s="4">
        <v>37930</v>
      </c>
      <c r="B310" s="3">
        <v>2003</v>
      </c>
      <c r="C310" s="3">
        <v>11</v>
      </c>
      <c r="D310" s="3" t="s">
        <v>668</v>
      </c>
      <c r="E310" s="3" t="s">
        <v>617</v>
      </c>
      <c r="F310" s="3">
        <v>5</v>
      </c>
      <c r="G310" s="3" t="s">
        <v>652</v>
      </c>
      <c r="H310" s="3">
        <v>0</v>
      </c>
    </row>
    <row r="311" spans="1:8" x14ac:dyDescent="0.3">
      <c r="A311" s="4">
        <v>37931</v>
      </c>
      <c r="B311" s="3">
        <v>2003</v>
      </c>
      <c r="C311" s="3">
        <v>11</v>
      </c>
      <c r="D311" s="3" t="s">
        <v>668</v>
      </c>
      <c r="E311" s="3" t="s">
        <v>617</v>
      </c>
      <c r="F311" s="3">
        <v>6</v>
      </c>
      <c r="G311" s="3" t="s">
        <v>653</v>
      </c>
      <c r="H311" s="3">
        <v>0</v>
      </c>
    </row>
    <row r="312" spans="1:8" x14ac:dyDescent="0.3">
      <c r="A312" s="4">
        <v>37932</v>
      </c>
      <c r="B312" s="3">
        <v>2003</v>
      </c>
      <c r="C312" s="3">
        <v>11</v>
      </c>
      <c r="D312" s="3" t="s">
        <v>668</v>
      </c>
      <c r="E312" s="3" t="s">
        <v>617</v>
      </c>
      <c r="F312" s="3">
        <v>7</v>
      </c>
      <c r="G312" s="3" t="s">
        <v>654</v>
      </c>
      <c r="H312" s="3">
        <v>0</v>
      </c>
    </row>
    <row r="313" spans="1:8" x14ac:dyDescent="0.3">
      <c r="A313" s="4">
        <v>37933</v>
      </c>
      <c r="B313" s="3">
        <v>2003</v>
      </c>
      <c r="C313" s="3">
        <v>11</v>
      </c>
      <c r="D313" s="3" t="s">
        <v>668</v>
      </c>
      <c r="E313" s="3" t="s">
        <v>617</v>
      </c>
      <c r="F313" s="3">
        <v>8</v>
      </c>
      <c r="G313" s="3" t="s">
        <v>655</v>
      </c>
      <c r="H313" s="3">
        <v>1</v>
      </c>
    </row>
    <row r="314" spans="1:8" x14ac:dyDescent="0.3">
      <c r="A314" s="4">
        <v>37934</v>
      </c>
      <c r="B314" s="3">
        <v>2003</v>
      </c>
      <c r="C314" s="3">
        <v>11</v>
      </c>
      <c r="D314" s="3" t="s">
        <v>668</v>
      </c>
      <c r="E314" s="3" t="s">
        <v>617</v>
      </c>
      <c r="F314" s="3">
        <v>9</v>
      </c>
      <c r="G314" s="3" t="s">
        <v>656</v>
      </c>
      <c r="H314" s="3">
        <v>1</v>
      </c>
    </row>
    <row r="315" spans="1:8" x14ac:dyDescent="0.3">
      <c r="A315" s="4">
        <v>37935</v>
      </c>
      <c r="B315" s="3">
        <v>2003</v>
      </c>
      <c r="C315" s="3">
        <v>11</v>
      </c>
      <c r="D315" s="3" t="s">
        <v>668</v>
      </c>
      <c r="E315" s="3" t="s">
        <v>617</v>
      </c>
      <c r="F315" s="3">
        <v>10</v>
      </c>
      <c r="G315" s="3" t="s">
        <v>657</v>
      </c>
      <c r="H315" s="3">
        <v>0</v>
      </c>
    </row>
    <row r="316" spans="1:8" x14ac:dyDescent="0.3">
      <c r="A316" s="4">
        <v>37936</v>
      </c>
      <c r="B316" s="3">
        <v>2003</v>
      </c>
      <c r="C316" s="3">
        <v>11</v>
      </c>
      <c r="D316" s="3" t="s">
        <v>668</v>
      </c>
      <c r="E316" s="3" t="s">
        <v>617</v>
      </c>
      <c r="F316" s="3">
        <v>11</v>
      </c>
      <c r="G316" s="3" t="s">
        <v>658</v>
      </c>
      <c r="H316" s="3">
        <v>0</v>
      </c>
    </row>
    <row r="317" spans="1:8" x14ac:dyDescent="0.3">
      <c r="A317" s="4">
        <v>37937</v>
      </c>
      <c r="B317" s="3">
        <v>2003</v>
      </c>
      <c r="C317" s="3">
        <v>11</v>
      </c>
      <c r="D317" s="3" t="s">
        <v>668</v>
      </c>
      <c r="E317" s="3" t="s">
        <v>617</v>
      </c>
      <c r="F317" s="3">
        <v>12</v>
      </c>
      <c r="G317" s="3" t="s">
        <v>652</v>
      </c>
      <c r="H317" s="3">
        <v>0</v>
      </c>
    </row>
    <row r="318" spans="1:8" x14ac:dyDescent="0.3">
      <c r="A318" s="4">
        <v>37938</v>
      </c>
      <c r="B318" s="3">
        <v>2003</v>
      </c>
      <c r="C318" s="3">
        <v>11</v>
      </c>
      <c r="D318" s="3" t="s">
        <v>668</v>
      </c>
      <c r="E318" s="3" t="s">
        <v>617</v>
      </c>
      <c r="F318" s="3">
        <v>13</v>
      </c>
      <c r="G318" s="3" t="s">
        <v>653</v>
      </c>
      <c r="H318" s="3">
        <v>0</v>
      </c>
    </row>
    <row r="319" spans="1:8" x14ac:dyDescent="0.3">
      <c r="A319" s="4">
        <v>37939</v>
      </c>
      <c r="B319" s="3">
        <v>2003</v>
      </c>
      <c r="C319" s="3">
        <v>11</v>
      </c>
      <c r="D319" s="3" t="s">
        <v>668</v>
      </c>
      <c r="E319" s="3" t="s">
        <v>617</v>
      </c>
      <c r="F319" s="3">
        <v>14</v>
      </c>
      <c r="G319" s="3" t="s">
        <v>654</v>
      </c>
      <c r="H319" s="3">
        <v>0</v>
      </c>
    </row>
    <row r="320" spans="1:8" x14ac:dyDescent="0.3">
      <c r="A320" s="4">
        <v>37940</v>
      </c>
      <c r="B320" s="3">
        <v>2003</v>
      </c>
      <c r="C320" s="3">
        <v>11</v>
      </c>
      <c r="D320" s="3" t="s">
        <v>668</v>
      </c>
      <c r="E320" s="3" t="s">
        <v>617</v>
      </c>
      <c r="F320" s="3">
        <v>15</v>
      </c>
      <c r="G320" s="3" t="s">
        <v>655</v>
      </c>
      <c r="H320" s="3">
        <v>1</v>
      </c>
    </row>
    <row r="321" spans="1:8" x14ac:dyDescent="0.3">
      <c r="A321" s="4">
        <v>37941</v>
      </c>
      <c r="B321" s="3">
        <v>2003</v>
      </c>
      <c r="C321" s="3">
        <v>11</v>
      </c>
      <c r="D321" s="3" t="s">
        <v>668</v>
      </c>
      <c r="E321" s="3" t="s">
        <v>617</v>
      </c>
      <c r="F321" s="3">
        <v>16</v>
      </c>
      <c r="G321" s="3" t="s">
        <v>656</v>
      </c>
      <c r="H321" s="3">
        <v>1</v>
      </c>
    </row>
    <row r="322" spans="1:8" x14ac:dyDescent="0.3">
      <c r="A322" s="4">
        <v>37942</v>
      </c>
      <c r="B322" s="3">
        <v>2003</v>
      </c>
      <c r="C322" s="3">
        <v>11</v>
      </c>
      <c r="D322" s="3" t="s">
        <v>668</v>
      </c>
      <c r="E322" s="3" t="s">
        <v>617</v>
      </c>
      <c r="F322" s="3">
        <v>17</v>
      </c>
      <c r="G322" s="3" t="s">
        <v>657</v>
      </c>
      <c r="H322" s="3">
        <v>0</v>
      </c>
    </row>
    <row r="323" spans="1:8" x14ac:dyDescent="0.3">
      <c r="A323" s="4">
        <v>37943</v>
      </c>
      <c r="B323" s="3">
        <v>2003</v>
      </c>
      <c r="C323" s="3">
        <v>11</v>
      </c>
      <c r="D323" s="3" t="s">
        <v>668</v>
      </c>
      <c r="E323" s="3" t="s">
        <v>617</v>
      </c>
      <c r="F323" s="3">
        <v>18</v>
      </c>
      <c r="G323" s="3" t="s">
        <v>658</v>
      </c>
      <c r="H323" s="3">
        <v>0</v>
      </c>
    </row>
    <row r="324" spans="1:8" x14ac:dyDescent="0.3">
      <c r="A324" s="4">
        <v>37944</v>
      </c>
      <c r="B324" s="3">
        <v>2003</v>
      </c>
      <c r="C324" s="3">
        <v>11</v>
      </c>
      <c r="D324" s="3" t="s">
        <v>668</v>
      </c>
      <c r="E324" s="3" t="s">
        <v>617</v>
      </c>
      <c r="F324" s="3">
        <v>19</v>
      </c>
      <c r="G324" s="3" t="s">
        <v>652</v>
      </c>
      <c r="H324" s="3">
        <v>0</v>
      </c>
    </row>
    <row r="325" spans="1:8" x14ac:dyDescent="0.3">
      <c r="A325" s="4">
        <v>37945</v>
      </c>
      <c r="B325" s="3">
        <v>2003</v>
      </c>
      <c r="C325" s="3">
        <v>11</v>
      </c>
      <c r="D325" s="3" t="s">
        <v>668</v>
      </c>
      <c r="E325" s="3" t="s">
        <v>617</v>
      </c>
      <c r="F325" s="3">
        <v>20</v>
      </c>
      <c r="G325" s="3" t="s">
        <v>653</v>
      </c>
      <c r="H325" s="3">
        <v>0</v>
      </c>
    </row>
    <row r="326" spans="1:8" x14ac:dyDescent="0.3">
      <c r="A326" s="4">
        <v>37946</v>
      </c>
      <c r="B326" s="3">
        <v>2003</v>
      </c>
      <c r="C326" s="3">
        <v>11</v>
      </c>
      <c r="D326" s="3" t="s">
        <v>668</v>
      </c>
      <c r="E326" s="3" t="s">
        <v>617</v>
      </c>
      <c r="F326" s="3">
        <v>21</v>
      </c>
      <c r="G326" s="3" t="s">
        <v>654</v>
      </c>
      <c r="H326" s="3">
        <v>0</v>
      </c>
    </row>
    <row r="327" spans="1:8" x14ac:dyDescent="0.3">
      <c r="A327" s="4">
        <v>37947</v>
      </c>
      <c r="B327" s="3">
        <v>2003</v>
      </c>
      <c r="C327" s="3">
        <v>11</v>
      </c>
      <c r="D327" s="3" t="s">
        <v>668</v>
      </c>
      <c r="E327" s="3" t="s">
        <v>617</v>
      </c>
      <c r="F327" s="3">
        <v>22</v>
      </c>
      <c r="G327" s="3" t="s">
        <v>655</v>
      </c>
      <c r="H327" s="3">
        <v>1</v>
      </c>
    </row>
    <row r="328" spans="1:8" x14ac:dyDescent="0.3">
      <c r="A328" s="4">
        <v>37948</v>
      </c>
      <c r="B328" s="3">
        <v>2003</v>
      </c>
      <c r="C328" s="3">
        <v>11</v>
      </c>
      <c r="D328" s="3" t="s">
        <v>668</v>
      </c>
      <c r="E328" s="3" t="s">
        <v>617</v>
      </c>
      <c r="F328" s="3">
        <v>23</v>
      </c>
      <c r="G328" s="3" t="s">
        <v>656</v>
      </c>
      <c r="H328" s="3">
        <v>1</v>
      </c>
    </row>
    <row r="329" spans="1:8" x14ac:dyDescent="0.3">
      <c r="A329" s="4">
        <v>37949</v>
      </c>
      <c r="B329" s="3">
        <v>2003</v>
      </c>
      <c r="C329" s="3">
        <v>11</v>
      </c>
      <c r="D329" s="3" t="s">
        <v>668</v>
      </c>
      <c r="E329" s="3" t="s">
        <v>617</v>
      </c>
      <c r="F329" s="3">
        <v>24</v>
      </c>
      <c r="G329" s="3" t="s">
        <v>657</v>
      </c>
      <c r="H329" s="3">
        <v>0</v>
      </c>
    </row>
    <row r="330" spans="1:8" x14ac:dyDescent="0.3">
      <c r="A330" s="4">
        <v>37950</v>
      </c>
      <c r="B330" s="3">
        <v>2003</v>
      </c>
      <c r="C330" s="3">
        <v>11</v>
      </c>
      <c r="D330" s="3" t="s">
        <v>668</v>
      </c>
      <c r="E330" s="3" t="s">
        <v>617</v>
      </c>
      <c r="F330" s="3">
        <v>25</v>
      </c>
      <c r="G330" s="3" t="s">
        <v>658</v>
      </c>
      <c r="H330" s="3">
        <v>0</v>
      </c>
    </row>
    <row r="331" spans="1:8" x14ac:dyDescent="0.3">
      <c r="A331" s="4">
        <v>37951</v>
      </c>
      <c r="B331" s="3">
        <v>2003</v>
      </c>
      <c r="C331" s="3">
        <v>11</v>
      </c>
      <c r="D331" s="3" t="s">
        <v>668</v>
      </c>
      <c r="E331" s="3" t="s">
        <v>617</v>
      </c>
      <c r="F331" s="3">
        <v>26</v>
      </c>
      <c r="G331" s="3" t="s">
        <v>652</v>
      </c>
      <c r="H331" s="3">
        <v>0</v>
      </c>
    </row>
    <row r="332" spans="1:8" x14ac:dyDescent="0.3">
      <c r="A332" s="4">
        <v>37952</v>
      </c>
      <c r="B332" s="3">
        <v>2003</v>
      </c>
      <c r="C332" s="3">
        <v>11</v>
      </c>
      <c r="D332" s="3" t="s">
        <v>668</v>
      </c>
      <c r="E332" s="3" t="s">
        <v>617</v>
      </c>
      <c r="F332" s="3">
        <v>27</v>
      </c>
      <c r="G332" s="3" t="s">
        <v>653</v>
      </c>
      <c r="H332" s="3">
        <v>0</v>
      </c>
    </row>
    <row r="333" spans="1:8" x14ac:dyDescent="0.3">
      <c r="A333" s="4">
        <v>37953</v>
      </c>
      <c r="B333" s="3">
        <v>2003</v>
      </c>
      <c r="C333" s="3">
        <v>11</v>
      </c>
      <c r="D333" s="3" t="s">
        <v>668</v>
      </c>
      <c r="E333" s="3" t="s">
        <v>617</v>
      </c>
      <c r="F333" s="3">
        <v>28</v>
      </c>
      <c r="G333" s="3" t="s">
        <v>654</v>
      </c>
      <c r="H333" s="3">
        <v>0</v>
      </c>
    </row>
    <row r="334" spans="1:8" x14ac:dyDescent="0.3">
      <c r="A334" s="4">
        <v>37954</v>
      </c>
      <c r="B334" s="3">
        <v>2003</v>
      </c>
      <c r="C334" s="3">
        <v>11</v>
      </c>
      <c r="D334" s="3" t="s">
        <v>668</v>
      </c>
      <c r="E334" s="3" t="s">
        <v>617</v>
      </c>
      <c r="F334" s="3">
        <v>29</v>
      </c>
      <c r="G334" s="3" t="s">
        <v>655</v>
      </c>
      <c r="H334" s="3">
        <v>1</v>
      </c>
    </row>
    <row r="335" spans="1:8" x14ac:dyDescent="0.3">
      <c r="A335" s="4">
        <v>37955</v>
      </c>
      <c r="B335" s="3">
        <v>2003</v>
      </c>
      <c r="C335" s="3">
        <v>11</v>
      </c>
      <c r="D335" s="3" t="s">
        <v>668</v>
      </c>
      <c r="E335" s="3" t="s">
        <v>617</v>
      </c>
      <c r="F335" s="3">
        <v>30</v>
      </c>
      <c r="G335" s="3" t="s">
        <v>656</v>
      </c>
      <c r="H335" s="3">
        <v>1</v>
      </c>
    </row>
    <row r="336" spans="1:8" x14ac:dyDescent="0.3">
      <c r="A336" s="4">
        <v>37956</v>
      </c>
      <c r="B336" s="3">
        <v>2003</v>
      </c>
      <c r="C336" s="3">
        <v>12</v>
      </c>
      <c r="D336" s="3" t="s">
        <v>669</v>
      </c>
      <c r="E336" s="3" t="s">
        <v>617</v>
      </c>
      <c r="F336" s="3">
        <v>1</v>
      </c>
      <c r="G336" s="3" t="s">
        <v>657</v>
      </c>
      <c r="H336" s="3">
        <v>0</v>
      </c>
    </row>
    <row r="337" spans="1:8" x14ac:dyDescent="0.3">
      <c r="A337" s="4">
        <v>37957</v>
      </c>
      <c r="B337" s="3">
        <v>2003</v>
      </c>
      <c r="C337" s="3">
        <v>12</v>
      </c>
      <c r="D337" s="3" t="s">
        <v>669</v>
      </c>
      <c r="E337" s="3" t="s">
        <v>617</v>
      </c>
      <c r="F337" s="3">
        <v>2</v>
      </c>
      <c r="G337" s="3" t="s">
        <v>658</v>
      </c>
      <c r="H337" s="3">
        <v>0</v>
      </c>
    </row>
    <row r="338" spans="1:8" x14ac:dyDescent="0.3">
      <c r="A338" s="4">
        <v>37958</v>
      </c>
      <c r="B338" s="3">
        <v>2003</v>
      </c>
      <c r="C338" s="3">
        <v>12</v>
      </c>
      <c r="D338" s="3" t="s">
        <v>669</v>
      </c>
      <c r="E338" s="3" t="s">
        <v>617</v>
      </c>
      <c r="F338" s="3">
        <v>3</v>
      </c>
      <c r="G338" s="3" t="s">
        <v>652</v>
      </c>
      <c r="H338" s="3">
        <v>0</v>
      </c>
    </row>
    <row r="339" spans="1:8" x14ac:dyDescent="0.3">
      <c r="A339" s="4">
        <v>37959</v>
      </c>
      <c r="B339" s="3">
        <v>2003</v>
      </c>
      <c r="C339" s="3">
        <v>12</v>
      </c>
      <c r="D339" s="3" t="s">
        <v>669</v>
      </c>
      <c r="E339" s="3" t="s">
        <v>617</v>
      </c>
      <c r="F339" s="3">
        <v>4</v>
      </c>
      <c r="G339" s="3" t="s">
        <v>653</v>
      </c>
      <c r="H339" s="3">
        <v>0</v>
      </c>
    </row>
    <row r="340" spans="1:8" x14ac:dyDescent="0.3">
      <c r="A340" s="4">
        <v>37960</v>
      </c>
      <c r="B340" s="3">
        <v>2003</v>
      </c>
      <c r="C340" s="3">
        <v>12</v>
      </c>
      <c r="D340" s="3" t="s">
        <v>669</v>
      </c>
      <c r="E340" s="3" t="s">
        <v>617</v>
      </c>
      <c r="F340" s="3">
        <v>5</v>
      </c>
      <c r="G340" s="3" t="s">
        <v>654</v>
      </c>
      <c r="H340" s="3">
        <v>0</v>
      </c>
    </row>
    <row r="341" spans="1:8" x14ac:dyDescent="0.3">
      <c r="A341" s="4">
        <v>37961</v>
      </c>
      <c r="B341" s="3">
        <v>2003</v>
      </c>
      <c r="C341" s="3">
        <v>12</v>
      </c>
      <c r="D341" s="3" t="s">
        <v>669</v>
      </c>
      <c r="E341" s="3" t="s">
        <v>617</v>
      </c>
      <c r="F341" s="3">
        <v>6</v>
      </c>
      <c r="G341" s="3" t="s">
        <v>655</v>
      </c>
      <c r="H341" s="3">
        <v>1</v>
      </c>
    </row>
    <row r="342" spans="1:8" x14ac:dyDescent="0.3">
      <c r="A342" s="4">
        <v>37962</v>
      </c>
      <c r="B342" s="3">
        <v>2003</v>
      </c>
      <c r="C342" s="3">
        <v>12</v>
      </c>
      <c r="D342" s="3" t="s">
        <v>669</v>
      </c>
      <c r="E342" s="3" t="s">
        <v>617</v>
      </c>
      <c r="F342" s="3">
        <v>7</v>
      </c>
      <c r="G342" s="3" t="s">
        <v>656</v>
      </c>
      <c r="H342" s="3">
        <v>1</v>
      </c>
    </row>
    <row r="343" spans="1:8" x14ac:dyDescent="0.3">
      <c r="A343" s="4">
        <v>37963</v>
      </c>
      <c r="B343" s="3">
        <v>2003</v>
      </c>
      <c r="C343" s="3">
        <v>12</v>
      </c>
      <c r="D343" s="3" t="s">
        <v>669</v>
      </c>
      <c r="E343" s="3" t="s">
        <v>617</v>
      </c>
      <c r="F343" s="3">
        <v>8</v>
      </c>
      <c r="G343" s="3" t="s">
        <v>657</v>
      </c>
      <c r="H343" s="3">
        <v>0</v>
      </c>
    </row>
    <row r="344" spans="1:8" x14ac:dyDescent="0.3">
      <c r="A344" s="4">
        <v>37964</v>
      </c>
      <c r="B344" s="3">
        <v>2003</v>
      </c>
      <c r="C344" s="3">
        <v>12</v>
      </c>
      <c r="D344" s="3" t="s">
        <v>669</v>
      </c>
      <c r="E344" s="3" t="s">
        <v>617</v>
      </c>
      <c r="F344" s="3">
        <v>9</v>
      </c>
      <c r="G344" s="3" t="s">
        <v>658</v>
      </c>
      <c r="H344" s="3">
        <v>0</v>
      </c>
    </row>
    <row r="345" spans="1:8" x14ac:dyDescent="0.3">
      <c r="A345" s="4">
        <v>37965</v>
      </c>
      <c r="B345" s="3">
        <v>2003</v>
      </c>
      <c r="C345" s="3">
        <v>12</v>
      </c>
      <c r="D345" s="3" t="s">
        <v>669</v>
      </c>
      <c r="E345" s="3" t="s">
        <v>617</v>
      </c>
      <c r="F345" s="3">
        <v>10</v>
      </c>
      <c r="G345" s="3" t="s">
        <v>652</v>
      </c>
      <c r="H345" s="3">
        <v>0</v>
      </c>
    </row>
    <row r="346" spans="1:8" x14ac:dyDescent="0.3">
      <c r="A346" s="4">
        <v>37966</v>
      </c>
      <c r="B346" s="3">
        <v>2003</v>
      </c>
      <c r="C346" s="3">
        <v>12</v>
      </c>
      <c r="D346" s="3" t="s">
        <v>669</v>
      </c>
      <c r="E346" s="3" t="s">
        <v>617</v>
      </c>
      <c r="F346" s="3">
        <v>11</v>
      </c>
      <c r="G346" s="3" t="s">
        <v>653</v>
      </c>
      <c r="H346" s="3">
        <v>0</v>
      </c>
    </row>
    <row r="347" spans="1:8" x14ac:dyDescent="0.3">
      <c r="A347" s="4">
        <v>37967</v>
      </c>
      <c r="B347" s="3">
        <v>2003</v>
      </c>
      <c r="C347" s="3">
        <v>12</v>
      </c>
      <c r="D347" s="3" t="s">
        <v>669</v>
      </c>
      <c r="E347" s="3" t="s">
        <v>617</v>
      </c>
      <c r="F347" s="3">
        <v>12</v>
      </c>
      <c r="G347" s="3" t="s">
        <v>654</v>
      </c>
      <c r="H347" s="3">
        <v>0</v>
      </c>
    </row>
    <row r="348" spans="1:8" x14ac:dyDescent="0.3">
      <c r="A348" s="4">
        <v>37968</v>
      </c>
      <c r="B348" s="3">
        <v>2003</v>
      </c>
      <c r="C348" s="3">
        <v>12</v>
      </c>
      <c r="D348" s="3" t="s">
        <v>669</v>
      </c>
      <c r="E348" s="3" t="s">
        <v>617</v>
      </c>
      <c r="F348" s="3">
        <v>13</v>
      </c>
      <c r="G348" s="3" t="s">
        <v>655</v>
      </c>
      <c r="H348" s="3">
        <v>1</v>
      </c>
    </row>
    <row r="349" spans="1:8" x14ac:dyDescent="0.3">
      <c r="A349" s="4">
        <v>37969</v>
      </c>
      <c r="B349" s="3">
        <v>2003</v>
      </c>
      <c r="C349" s="3">
        <v>12</v>
      </c>
      <c r="D349" s="3" t="s">
        <v>669</v>
      </c>
      <c r="E349" s="3" t="s">
        <v>617</v>
      </c>
      <c r="F349" s="3">
        <v>14</v>
      </c>
      <c r="G349" s="3" t="s">
        <v>656</v>
      </c>
      <c r="H349" s="3">
        <v>1</v>
      </c>
    </row>
    <row r="350" spans="1:8" x14ac:dyDescent="0.3">
      <c r="A350" s="4">
        <v>37970</v>
      </c>
      <c r="B350" s="3">
        <v>2003</v>
      </c>
      <c r="C350" s="3">
        <v>12</v>
      </c>
      <c r="D350" s="3" t="s">
        <v>669</v>
      </c>
      <c r="E350" s="3" t="s">
        <v>617</v>
      </c>
      <c r="F350" s="3">
        <v>15</v>
      </c>
      <c r="G350" s="3" t="s">
        <v>657</v>
      </c>
      <c r="H350" s="3">
        <v>0</v>
      </c>
    </row>
    <row r="351" spans="1:8" x14ac:dyDescent="0.3">
      <c r="A351" s="4">
        <v>37971</v>
      </c>
      <c r="B351" s="3">
        <v>2003</v>
      </c>
      <c r="C351" s="3">
        <v>12</v>
      </c>
      <c r="D351" s="3" t="s">
        <v>669</v>
      </c>
      <c r="E351" s="3" t="s">
        <v>617</v>
      </c>
      <c r="F351" s="3">
        <v>16</v>
      </c>
      <c r="G351" s="3" t="s">
        <v>658</v>
      </c>
      <c r="H351" s="3">
        <v>0</v>
      </c>
    </row>
    <row r="352" spans="1:8" x14ac:dyDescent="0.3">
      <c r="A352" s="4">
        <v>37972</v>
      </c>
      <c r="B352" s="3">
        <v>2003</v>
      </c>
      <c r="C352" s="3">
        <v>12</v>
      </c>
      <c r="D352" s="3" t="s">
        <v>669</v>
      </c>
      <c r="E352" s="3" t="s">
        <v>617</v>
      </c>
      <c r="F352" s="3">
        <v>17</v>
      </c>
      <c r="G352" s="3" t="s">
        <v>652</v>
      </c>
      <c r="H352" s="3">
        <v>0</v>
      </c>
    </row>
    <row r="353" spans="1:8" x14ac:dyDescent="0.3">
      <c r="A353" s="4">
        <v>37973</v>
      </c>
      <c r="B353" s="3">
        <v>2003</v>
      </c>
      <c r="C353" s="3">
        <v>12</v>
      </c>
      <c r="D353" s="3" t="s">
        <v>669</v>
      </c>
      <c r="E353" s="3" t="s">
        <v>617</v>
      </c>
      <c r="F353" s="3">
        <v>18</v>
      </c>
      <c r="G353" s="3" t="s">
        <v>653</v>
      </c>
      <c r="H353" s="3">
        <v>0</v>
      </c>
    </row>
    <row r="354" spans="1:8" x14ac:dyDescent="0.3">
      <c r="A354" s="4">
        <v>37974</v>
      </c>
      <c r="B354" s="3">
        <v>2003</v>
      </c>
      <c r="C354" s="3">
        <v>12</v>
      </c>
      <c r="D354" s="3" t="s">
        <v>669</v>
      </c>
      <c r="E354" s="3" t="s">
        <v>617</v>
      </c>
      <c r="F354" s="3">
        <v>19</v>
      </c>
      <c r="G354" s="3" t="s">
        <v>654</v>
      </c>
      <c r="H354" s="3">
        <v>0</v>
      </c>
    </row>
    <row r="355" spans="1:8" x14ac:dyDescent="0.3">
      <c r="A355" s="4">
        <v>37975</v>
      </c>
      <c r="B355" s="3">
        <v>2003</v>
      </c>
      <c r="C355" s="3">
        <v>12</v>
      </c>
      <c r="D355" s="3" t="s">
        <v>669</v>
      </c>
      <c r="E355" s="3" t="s">
        <v>617</v>
      </c>
      <c r="F355" s="3">
        <v>20</v>
      </c>
      <c r="G355" s="3" t="s">
        <v>655</v>
      </c>
      <c r="H355" s="3">
        <v>1</v>
      </c>
    </row>
    <row r="356" spans="1:8" x14ac:dyDescent="0.3">
      <c r="A356" s="4">
        <v>37976</v>
      </c>
      <c r="B356" s="3">
        <v>2003</v>
      </c>
      <c r="C356" s="3">
        <v>12</v>
      </c>
      <c r="D356" s="3" t="s">
        <v>669</v>
      </c>
      <c r="E356" s="3" t="s">
        <v>617</v>
      </c>
      <c r="F356" s="3">
        <v>21</v>
      </c>
      <c r="G356" s="3" t="s">
        <v>656</v>
      </c>
      <c r="H356" s="3">
        <v>1</v>
      </c>
    </row>
    <row r="357" spans="1:8" x14ac:dyDescent="0.3">
      <c r="A357" s="4">
        <v>37977</v>
      </c>
      <c r="B357" s="3">
        <v>2003</v>
      </c>
      <c r="C357" s="3">
        <v>12</v>
      </c>
      <c r="D357" s="3" t="s">
        <v>669</v>
      </c>
      <c r="E357" s="3" t="s">
        <v>617</v>
      </c>
      <c r="F357" s="3">
        <v>22</v>
      </c>
      <c r="G357" s="3" t="s">
        <v>657</v>
      </c>
      <c r="H357" s="3">
        <v>0</v>
      </c>
    </row>
    <row r="358" spans="1:8" x14ac:dyDescent="0.3">
      <c r="A358" s="4">
        <v>37978</v>
      </c>
      <c r="B358" s="3">
        <v>2003</v>
      </c>
      <c r="C358" s="3">
        <v>12</v>
      </c>
      <c r="D358" s="3" t="s">
        <v>669</v>
      </c>
      <c r="E358" s="3" t="s">
        <v>617</v>
      </c>
      <c r="F358" s="3">
        <v>23</v>
      </c>
      <c r="G358" s="3" t="s">
        <v>658</v>
      </c>
      <c r="H358" s="3">
        <v>0</v>
      </c>
    </row>
    <row r="359" spans="1:8" x14ac:dyDescent="0.3">
      <c r="A359" s="4">
        <v>37979</v>
      </c>
      <c r="B359" s="3">
        <v>2003</v>
      </c>
      <c r="C359" s="3">
        <v>12</v>
      </c>
      <c r="D359" s="3" t="s">
        <v>669</v>
      </c>
      <c r="E359" s="3" t="s">
        <v>617</v>
      </c>
      <c r="F359" s="3">
        <v>24</v>
      </c>
      <c r="G359" s="3" t="s">
        <v>652</v>
      </c>
      <c r="H359" s="3">
        <v>0</v>
      </c>
    </row>
    <row r="360" spans="1:8" x14ac:dyDescent="0.3">
      <c r="A360" s="4">
        <v>37980</v>
      </c>
      <c r="B360" s="3">
        <v>2003</v>
      </c>
      <c r="C360" s="3">
        <v>12</v>
      </c>
      <c r="D360" s="3" t="s">
        <v>669</v>
      </c>
      <c r="E360" s="3" t="s">
        <v>617</v>
      </c>
      <c r="F360" s="3">
        <v>25</v>
      </c>
      <c r="G360" s="3" t="s">
        <v>653</v>
      </c>
      <c r="H360" s="3">
        <v>0</v>
      </c>
    </row>
    <row r="361" spans="1:8" x14ac:dyDescent="0.3">
      <c r="A361" s="4">
        <v>37981</v>
      </c>
      <c r="B361" s="3">
        <v>2003</v>
      </c>
      <c r="C361" s="3">
        <v>12</v>
      </c>
      <c r="D361" s="3" t="s">
        <v>669</v>
      </c>
      <c r="E361" s="3" t="s">
        <v>617</v>
      </c>
      <c r="F361" s="3">
        <v>26</v>
      </c>
      <c r="G361" s="3" t="s">
        <v>654</v>
      </c>
      <c r="H361" s="3">
        <v>0</v>
      </c>
    </row>
    <row r="362" spans="1:8" x14ac:dyDescent="0.3">
      <c r="A362" s="4">
        <v>37982</v>
      </c>
      <c r="B362" s="3">
        <v>2003</v>
      </c>
      <c r="C362" s="3">
        <v>12</v>
      </c>
      <c r="D362" s="3" t="s">
        <v>669</v>
      </c>
      <c r="E362" s="3" t="s">
        <v>617</v>
      </c>
      <c r="F362" s="3">
        <v>27</v>
      </c>
      <c r="G362" s="3" t="s">
        <v>655</v>
      </c>
      <c r="H362" s="3">
        <v>1</v>
      </c>
    </row>
    <row r="363" spans="1:8" x14ac:dyDescent="0.3">
      <c r="A363" s="4">
        <v>37983</v>
      </c>
      <c r="B363" s="3">
        <v>2003</v>
      </c>
      <c r="C363" s="3">
        <v>12</v>
      </c>
      <c r="D363" s="3" t="s">
        <v>669</v>
      </c>
      <c r="E363" s="3" t="s">
        <v>617</v>
      </c>
      <c r="F363" s="3">
        <v>28</v>
      </c>
      <c r="G363" s="3" t="s">
        <v>656</v>
      </c>
      <c r="H363" s="3">
        <v>1</v>
      </c>
    </row>
    <row r="364" spans="1:8" x14ac:dyDescent="0.3">
      <c r="A364" s="4">
        <v>37984</v>
      </c>
      <c r="B364" s="3">
        <v>2003</v>
      </c>
      <c r="C364" s="3">
        <v>12</v>
      </c>
      <c r="D364" s="3" t="s">
        <v>669</v>
      </c>
      <c r="E364" s="3" t="s">
        <v>617</v>
      </c>
      <c r="F364" s="3">
        <v>29</v>
      </c>
      <c r="G364" s="3" t="s">
        <v>657</v>
      </c>
      <c r="H364" s="3">
        <v>0</v>
      </c>
    </row>
    <row r="365" spans="1:8" x14ac:dyDescent="0.3">
      <c r="A365" s="4">
        <v>37985</v>
      </c>
      <c r="B365" s="3">
        <v>2003</v>
      </c>
      <c r="C365" s="3">
        <v>12</v>
      </c>
      <c r="D365" s="3" t="s">
        <v>669</v>
      </c>
      <c r="E365" s="3" t="s">
        <v>617</v>
      </c>
      <c r="F365" s="3">
        <v>30</v>
      </c>
      <c r="G365" s="3" t="s">
        <v>658</v>
      </c>
      <c r="H365" s="3">
        <v>0</v>
      </c>
    </row>
    <row r="366" spans="1:8" x14ac:dyDescent="0.3">
      <c r="A366" s="4">
        <v>37986</v>
      </c>
      <c r="B366" s="3">
        <v>2003</v>
      </c>
      <c r="C366" s="3">
        <v>12</v>
      </c>
      <c r="D366" s="3" t="s">
        <v>669</v>
      </c>
      <c r="E366" s="3" t="s">
        <v>617</v>
      </c>
      <c r="F366" s="3">
        <v>31</v>
      </c>
      <c r="G366" s="3" t="s">
        <v>652</v>
      </c>
      <c r="H366" s="3">
        <v>0</v>
      </c>
    </row>
    <row r="367" spans="1:8" x14ac:dyDescent="0.3">
      <c r="A367" s="4">
        <v>37987</v>
      </c>
      <c r="B367" s="3">
        <v>2004</v>
      </c>
      <c r="C367" s="3">
        <v>1</v>
      </c>
      <c r="D367" s="3" t="s">
        <v>651</v>
      </c>
      <c r="E367" s="3" t="s">
        <v>614</v>
      </c>
      <c r="F367" s="3">
        <v>1</v>
      </c>
      <c r="G367" s="3" t="s">
        <v>653</v>
      </c>
      <c r="H367" s="3">
        <v>0</v>
      </c>
    </row>
    <row r="368" spans="1:8" x14ac:dyDescent="0.3">
      <c r="A368" s="4">
        <v>37988</v>
      </c>
      <c r="B368" s="3">
        <v>2004</v>
      </c>
      <c r="C368" s="3">
        <v>1</v>
      </c>
      <c r="D368" s="3" t="s">
        <v>651</v>
      </c>
      <c r="E368" s="3" t="s">
        <v>614</v>
      </c>
      <c r="F368" s="3">
        <v>2</v>
      </c>
      <c r="G368" s="3" t="s">
        <v>654</v>
      </c>
      <c r="H368" s="3">
        <v>0</v>
      </c>
    </row>
    <row r="369" spans="1:8" x14ac:dyDescent="0.3">
      <c r="A369" s="4">
        <v>37989</v>
      </c>
      <c r="B369" s="3">
        <v>2004</v>
      </c>
      <c r="C369" s="3">
        <v>1</v>
      </c>
      <c r="D369" s="3" t="s">
        <v>651</v>
      </c>
      <c r="E369" s="3" t="s">
        <v>614</v>
      </c>
      <c r="F369" s="3">
        <v>3</v>
      </c>
      <c r="G369" s="3" t="s">
        <v>655</v>
      </c>
      <c r="H369" s="3">
        <v>1</v>
      </c>
    </row>
    <row r="370" spans="1:8" x14ac:dyDescent="0.3">
      <c r="A370" s="4">
        <v>37990</v>
      </c>
      <c r="B370" s="3">
        <v>2004</v>
      </c>
      <c r="C370" s="3">
        <v>1</v>
      </c>
      <c r="D370" s="3" t="s">
        <v>651</v>
      </c>
      <c r="E370" s="3" t="s">
        <v>614</v>
      </c>
      <c r="F370" s="3">
        <v>4</v>
      </c>
      <c r="G370" s="3" t="s">
        <v>656</v>
      </c>
      <c r="H370" s="3">
        <v>1</v>
      </c>
    </row>
    <row r="371" spans="1:8" x14ac:dyDescent="0.3">
      <c r="A371" s="4">
        <v>37991</v>
      </c>
      <c r="B371" s="3">
        <v>2004</v>
      </c>
      <c r="C371" s="3">
        <v>1</v>
      </c>
      <c r="D371" s="3" t="s">
        <v>651</v>
      </c>
      <c r="E371" s="3" t="s">
        <v>614</v>
      </c>
      <c r="F371" s="3">
        <v>5</v>
      </c>
      <c r="G371" s="3" t="s">
        <v>657</v>
      </c>
      <c r="H371" s="3">
        <v>0</v>
      </c>
    </row>
    <row r="372" spans="1:8" x14ac:dyDescent="0.3">
      <c r="A372" s="4">
        <v>37992</v>
      </c>
      <c r="B372" s="3">
        <v>2004</v>
      </c>
      <c r="C372" s="3">
        <v>1</v>
      </c>
      <c r="D372" s="3" t="s">
        <v>651</v>
      </c>
      <c r="E372" s="3" t="s">
        <v>614</v>
      </c>
      <c r="F372" s="3">
        <v>6</v>
      </c>
      <c r="G372" s="3" t="s">
        <v>658</v>
      </c>
      <c r="H372" s="3">
        <v>0</v>
      </c>
    </row>
    <row r="373" spans="1:8" x14ac:dyDescent="0.3">
      <c r="A373" s="4">
        <v>37993</v>
      </c>
      <c r="B373" s="3">
        <v>2004</v>
      </c>
      <c r="C373" s="3">
        <v>1</v>
      </c>
      <c r="D373" s="3" t="s">
        <v>651</v>
      </c>
      <c r="E373" s="3" t="s">
        <v>614</v>
      </c>
      <c r="F373" s="3">
        <v>7</v>
      </c>
      <c r="G373" s="3" t="s">
        <v>652</v>
      </c>
      <c r="H373" s="3">
        <v>0</v>
      </c>
    </row>
    <row r="374" spans="1:8" x14ac:dyDescent="0.3">
      <c r="A374" s="4">
        <v>37994</v>
      </c>
      <c r="B374" s="3">
        <v>2004</v>
      </c>
      <c r="C374" s="3">
        <v>1</v>
      </c>
      <c r="D374" s="3" t="s">
        <v>651</v>
      </c>
      <c r="E374" s="3" t="s">
        <v>614</v>
      </c>
      <c r="F374" s="3">
        <v>8</v>
      </c>
      <c r="G374" s="3" t="s">
        <v>653</v>
      </c>
      <c r="H374" s="3">
        <v>0</v>
      </c>
    </row>
    <row r="375" spans="1:8" x14ac:dyDescent="0.3">
      <c r="A375" s="4">
        <v>37995</v>
      </c>
      <c r="B375" s="3">
        <v>2004</v>
      </c>
      <c r="C375" s="3">
        <v>1</v>
      </c>
      <c r="D375" s="3" t="s">
        <v>651</v>
      </c>
      <c r="E375" s="3" t="s">
        <v>614</v>
      </c>
      <c r="F375" s="3">
        <v>9</v>
      </c>
      <c r="G375" s="3" t="s">
        <v>654</v>
      </c>
      <c r="H375" s="3">
        <v>0</v>
      </c>
    </row>
    <row r="376" spans="1:8" x14ac:dyDescent="0.3">
      <c r="A376" s="4">
        <v>37996</v>
      </c>
      <c r="B376" s="3">
        <v>2004</v>
      </c>
      <c r="C376" s="3">
        <v>1</v>
      </c>
      <c r="D376" s="3" t="s">
        <v>651</v>
      </c>
      <c r="E376" s="3" t="s">
        <v>614</v>
      </c>
      <c r="F376" s="3">
        <v>10</v>
      </c>
      <c r="G376" s="3" t="s">
        <v>655</v>
      </c>
      <c r="H376" s="3">
        <v>1</v>
      </c>
    </row>
    <row r="377" spans="1:8" x14ac:dyDescent="0.3">
      <c r="A377" s="4">
        <v>37997</v>
      </c>
      <c r="B377" s="3">
        <v>2004</v>
      </c>
      <c r="C377" s="3">
        <v>1</v>
      </c>
      <c r="D377" s="3" t="s">
        <v>651</v>
      </c>
      <c r="E377" s="3" t="s">
        <v>614</v>
      </c>
      <c r="F377" s="3">
        <v>11</v>
      </c>
      <c r="G377" s="3" t="s">
        <v>656</v>
      </c>
      <c r="H377" s="3">
        <v>1</v>
      </c>
    </row>
    <row r="378" spans="1:8" x14ac:dyDescent="0.3">
      <c r="A378" s="4">
        <v>37998</v>
      </c>
      <c r="B378" s="3">
        <v>2004</v>
      </c>
      <c r="C378" s="3">
        <v>1</v>
      </c>
      <c r="D378" s="3" t="s">
        <v>651</v>
      </c>
      <c r="E378" s="3" t="s">
        <v>614</v>
      </c>
      <c r="F378" s="3">
        <v>12</v>
      </c>
      <c r="G378" s="3" t="s">
        <v>657</v>
      </c>
      <c r="H378" s="3">
        <v>0</v>
      </c>
    </row>
    <row r="379" spans="1:8" x14ac:dyDescent="0.3">
      <c r="A379" s="4">
        <v>37999</v>
      </c>
      <c r="B379" s="3">
        <v>2004</v>
      </c>
      <c r="C379" s="3">
        <v>1</v>
      </c>
      <c r="D379" s="3" t="s">
        <v>651</v>
      </c>
      <c r="E379" s="3" t="s">
        <v>614</v>
      </c>
      <c r="F379" s="3">
        <v>13</v>
      </c>
      <c r="G379" s="3" t="s">
        <v>658</v>
      </c>
      <c r="H379" s="3">
        <v>0</v>
      </c>
    </row>
    <row r="380" spans="1:8" x14ac:dyDescent="0.3">
      <c r="A380" s="4">
        <v>38000</v>
      </c>
      <c r="B380" s="3">
        <v>2004</v>
      </c>
      <c r="C380" s="3">
        <v>1</v>
      </c>
      <c r="D380" s="3" t="s">
        <v>651</v>
      </c>
      <c r="E380" s="3" t="s">
        <v>614</v>
      </c>
      <c r="F380" s="3">
        <v>14</v>
      </c>
      <c r="G380" s="3" t="s">
        <v>652</v>
      </c>
      <c r="H380" s="3">
        <v>0</v>
      </c>
    </row>
    <row r="381" spans="1:8" x14ac:dyDescent="0.3">
      <c r="A381" s="4">
        <v>38001</v>
      </c>
      <c r="B381" s="3">
        <v>2004</v>
      </c>
      <c r="C381" s="3">
        <v>1</v>
      </c>
      <c r="D381" s="3" t="s">
        <v>651</v>
      </c>
      <c r="E381" s="3" t="s">
        <v>614</v>
      </c>
      <c r="F381" s="3">
        <v>15</v>
      </c>
      <c r="G381" s="3" t="s">
        <v>653</v>
      </c>
      <c r="H381" s="3">
        <v>0</v>
      </c>
    </row>
    <row r="382" spans="1:8" x14ac:dyDescent="0.3">
      <c r="A382" s="4">
        <v>38002</v>
      </c>
      <c r="B382" s="3">
        <v>2004</v>
      </c>
      <c r="C382" s="3">
        <v>1</v>
      </c>
      <c r="D382" s="3" t="s">
        <v>651</v>
      </c>
      <c r="E382" s="3" t="s">
        <v>614</v>
      </c>
      <c r="F382" s="3">
        <v>16</v>
      </c>
      <c r="G382" s="3" t="s">
        <v>654</v>
      </c>
      <c r="H382" s="3">
        <v>0</v>
      </c>
    </row>
    <row r="383" spans="1:8" x14ac:dyDescent="0.3">
      <c r="A383" s="4">
        <v>38003</v>
      </c>
      <c r="B383" s="3">
        <v>2004</v>
      </c>
      <c r="C383" s="3">
        <v>1</v>
      </c>
      <c r="D383" s="3" t="s">
        <v>651</v>
      </c>
      <c r="E383" s="3" t="s">
        <v>614</v>
      </c>
      <c r="F383" s="3">
        <v>17</v>
      </c>
      <c r="G383" s="3" t="s">
        <v>655</v>
      </c>
      <c r="H383" s="3">
        <v>1</v>
      </c>
    </row>
    <row r="384" spans="1:8" x14ac:dyDescent="0.3">
      <c r="A384" s="4">
        <v>38004</v>
      </c>
      <c r="B384" s="3">
        <v>2004</v>
      </c>
      <c r="C384" s="3">
        <v>1</v>
      </c>
      <c r="D384" s="3" t="s">
        <v>651</v>
      </c>
      <c r="E384" s="3" t="s">
        <v>614</v>
      </c>
      <c r="F384" s="3">
        <v>18</v>
      </c>
      <c r="G384" s="3" t="s">
        <v>656</v>
      </c>
      <c r="H384" s="3">
        <v>1</v>
      </c>
    </row>
    <row r="385" spans="1:8" x14ac:dyDescent="0.3">
      <c r="A385" s="4">
        <v>38005</v>
      </c>
      <c r="B385" s="3">
        <v>2004</v>
      </c>
      <c r="C385" s="3">
        <v>1</v>
      </c>
      <c r="D385" s="3" t="s">
        <v>651</v>
      </c>
      <c r="E385" s="3" t="s">
        <v>614</v>
      </c>
      <c r="F385" s="3">
        <v>19</v>
      </c>
      <c r="G385" s="3" t="s">
        <v>657</v>
      </c>
      <c r="H385" s="3">
        <v>0</v>
      </c>
    </row>
    <row r="386" spans="1:8" x14ac:dyDescent="0.3">
      <c r="A386" s="4">
        <v>38006</v>
      </c>
      <c r="B386" s="3">
        <v>2004</v>
      </c>
      <c r="C386" s="3">
        <v>1</v>
      </c>
      <c r="D386" s="3" t="s">
        <v>651</v>
      </c>
      <c r="E386" s="3" t="s">
        <v>614</v>
      </c>
      <c r="F386" s="3">
        <v>20</v>
      </c>
      <c r="G386" s="3" t="s">
        <v>658</v>
      </c>
      <c r="H386" s="3">
        <v>0</v>
      </c>
    </row>
    <row r="387" spans="1:8" x14ac:dyDescent="0.3">
      <c r="A387" s="4">
        <v>38007</v>
      </c>
      <c r="B387" s="3">
        <v>2004</v>
      </c>
      <c r="C387" s="3">
        <v>1</v>
      </c>
      <c r="D387" s="3" t="s">
        <v>651</v>
      </c>
      <c r="E387" s="3" t="s">
        <v>614</v>
      </c>
      <c r="F387" s="3">
        <v>21</v>
      </c>
      <c r="G387" s="3" t="s">
        <v>652</v>
      </c>
      <c r="H387" s="3">
        <v>0</v>
      </c>
    </row>
    <row r="388" spans="1:8" x14ac:dyDescent="0.3">
      <c r="A388" s="4">
        <v>38008</v>
      </c>
      <c r="B388" s="3">
        <v>2004</v>
      </c>
      <c r="C388" s="3">
        <v>1</v>
      </c>
      <c r="D388" s="3" t="s">
        <v>651</v>
      </c>
      <c r="E388" s="3" t="s">
        <v>614</v>
      </c>
      <c r="F388" s="3">
        <v>22</v>
      </c>
      <c r="G388" s="3" t="s">
        <v>653</v>
      </c>
      <c r="H388" s="3">
        <v>0</v>
      </c>
    </row>
    <row r="389" spans="1:8" x14ac:dyDescent="0.3">
      <c r="A389" s="4">
        <v>38009</v>
      </c>
      <c r="B389" s="3">
        <v>2004</v>
      </c>
      <c r="C389" s="3">
        <v>1</v>
      </c>
      <c r="D389" s="3" t="s">
        <v>651</v>
      </c>
      <c r="E389" s="3" t="s">
        <v>614</v>
      </c>
      <c r="F389" s="3">
        <v>23</v>
      </c>
      <c r="G389" s="3" t="s">
        <v>654</v>
      </c>
      <c r="H389" s="3">
        <v>0</v>
      </c>
    </row>
    <row r="390" spans="1:8" x14ac:dyDescent="0.3">
      <c r="A390" s="4">
        <v>38010</v>
      </c>
      <c r="B390" s="3">
        <v>2004</v>
      </c>
      <c r="C390" s="3">
        <v>1</v>
      </c>
      <c r="D390" s="3" t="s">
        <v>651</v>
      </c>
      <c r="E390" s="3" t="s">
        <v>614</v>
      </c>
      <c r="F390" s="3">
        <v>24</v>
      </c>
      <c r="G390" s="3" t="s">
        <v>655</v>
      </c>
      <c r="H390" s="3">
        <v>1</v>
      </c>
    </row>
    <row r="391" spans="1:8" x14ac:dyDescent="0.3">
      <c r="A391" s="4">
        <v>38011</v>
      </c>
      <c r="B391" s="3">
        <v>2004</v>
      </c>
      <c r="C391" s="3">
        <v>1</v>
      </c>
      <c r="D391" s="3" t="s">
        <v>651</v>
      </c>
      <c r="E391" s="3" t="s">
        <v>614</v>
      </c>
      <c r="F391" s="3">
        <v>25</v>
      </c>
      <c r="G391" s="3" t="s">
        <v>656</v>
      </c>
      <c r="H391" s="3">
        <v>1</v>
      </c>
    </row>
    <row r="392" spans="1:8" x14ac:dyDescent="0.3">
      <c r="A392" s="4">
        <v>38012</v>
      </c>
      <c r="B392" s="3">
        <v>2004</v>
      </c>
      <c r="C392" s="3">
        <v>1</v>
      </c>
      <c r="D392" s="3" t="s">
        <v>651</v>
      </c>
      <c r="E392" s="3" t="s">
        <v>614</v>
      </c>
      <c r="F392" s="3">
        <v>26</v>
      </c>
      <c r="G392" s="3" t="s">
        <v>657</v>
      </c>
      <c r="H392" s="3">
        <v>0</v>
      </c>
    </row>
    <row r="393" spans="1:8" x14ac:dyDescent="0.3">
      <c r="A393" s="4">
        <v>38013</v>
      </c>
      <c r="B393" s="3">
        <v>2004</v>
      </c>
      <c r="C393" s="3">
        <v>1</v>
      </c>
      <c r="D393" s="3" t="s">
        <v>651</v>
      </c>
      <c r="E393" s="3" t="s">
        <v>614</v>
      </c>
      <c r="F393" s="3">
        <v>27</v>
      </c>
      <c r="G393" s="3" t="s">
        <v>658</v>
      </c>
      <c r="H393" s="3">
        <v>0</v>
      </c>
    </row>
    <row r="394" spans="1:8" x14ac:dyDescent="0.3">
      <c r="A394" s="4">
        <v>38014</v>
      </c>
      <c r="B394" s="3">
        <v>2004</v>
      </c>
      <c r="C394" s="3">
        <v>1</v>
      </c>
      <c r="D394" s="3" t="s">
        <v>651</v>
      </c>
      <c r="E394" s="3" t="s">
        <v>614</v>
      </c>
      <c r="F394" s="3">
        <v>28</v>
      </c>
      <c r="G394" s="3" t="s">
        <v>652</v>
      </c>
      <c r="H394" s="3">
        <v>0</v>
      </c>
    </row>
    <row r="395" spans="1:8" x14ac:dyDescent="0.3">
      <c r="A395" s="4">
        <v>38015</v>
      </c>
      <c r="B395" s="3">
        <v>2004</v>
      </c>
      <c r="C395" s="3">
        <v>1</v>
      </c>
      <c r="D395" s="3" t="s">
        <v>651</v>
      </c>
      <c r="E395" s="3" t="s">
        <v>614</v>
      </c>
      <c r="F395" s="3">
        <v>29</v>
      </c>
      <c r="G395" s="3" t="s">
        <v>653</v>
      </c>
      <c r="H395" s="3">
        <v>0</v>
      </c>
    </row>
    <row r="396" spans="1:8" x14ac:dyDescent="0.3">
      <c r="A396" s="4">
        <v>38016</v>
      </c>
      <c r="B396" s="3">
        <v>2004</v>
      </c>
      <c r="C396" s="3">
        <v>1</v>
      </c>
      <c r="D396" s="3" t="s">
        <v>651</v>
      </c>
      <c r="E396" s="3" t="s">
        <v>614</v>
      </c>
      <c r="F396" s="3">
        <v>30</v>
      </c>
      <c r="G396" s="3" t="s">
        <v>654</v>
      </c>
      <c r="H396" s="3">
        <v>0</v>
      </c>
    </row>
    <row r="397" spans="1:8" x14ac:dyDescent="0.3">
      <c r="A397" s="4">
        <v>38017</v>
      </c>
      <c r="B397" s="3">
        <v>2004</v>
      </c>
      <c r="C397" s="3">
        <v>1</v>
      </c>
      <c r="D397" s="3" t="s">
        <v>651</v>
      </c>
      <c r="E397" s="3" t="s">
        <v>614</v>
      </c>
      <c r="F397" s="3">
        <v>31</v>
      </c>
      <c r="G397" s="3" t="s">
        <v>655</v>
      </c>
      <c r="H397" s="3">
        <v>1</v>
      </c>
    </row>
    <row r="398" spans="1:8" x14ac:dyDescent="0.3">
      <c r="A398" s="4">
        <v>38018</v>
      </c>
      <c r="B398" s="3">
        <v>2004</v>
      </c>
      <c r="C398" s="3">
        <v>2</v>
      </c>
      <c r="D398" s="3" t="s">
        <v>659</v>
      </c>
      <c r="E398" s="3" t="s">
        <v>614</v>
      </c>
      <c r="F398" s="3">
        <v>1</v>
      </c>
      <c r="G398" s="3" t="s">
        <v>656</v>
      </c>
      <c r="H398" s="3">
        <v>1</v>
      </c>
    </row>
    <row r="399" spans="1:8" x14ac:dyDescent="0.3">
      <c r="A399" s="4">
        <v>38019</v>
      </c>
      <c r="B399" s="3">
        <v>2004</v>
      </c>
      <c r="C399" s="3">
        <v>2</v>
      </c>
      <c r="D399" s="3" t="s">
        <v>659</v>
      </c>
      <c r="E399" s="3" t="s">
        <v>614</v>
      </c>
      <c r="F399" s="3">
        <v>2</v>
      </c>
      <c r="G399" s="3" t="s">
        <v>657</v>
      </c>
      <c r="H399" s="3">
        <v>0</v>
      </c>
    </row>
    <row r="400" spans="1:8" x14ac:dyDescent="0.3">
      <c r="A400" s="4">
        <v>38020</v>
      </c>
      <c r="B400" s="3">
        <v>2004</v>
      </c>
      <c r="C400" s="3">
        <v>2</v>
      </c>
      <c r="D400" s="3" t="s">
        <v>659</v>
      </c>
      <c r="E400" s="3" t="s">
        <v>614</v>
      </c>
      <c r="F400" s="3">
        <v>3</v>
      </c>
      <c r="G400" s="3" t="s">
        <v>658</v>
      </c>
      <c r="H400" s="3">
        <v>0</v>
      </c>
    </row>
    <row r="401" spans="1:8" x14ac:dyDescent="0.3">
      <c r="A401" s="4">
        <v>38021</v>
      </c>
      <c r="B401" s="3">
        <v>2004</v>
      </c>
      <c r="C401" s="3">
        <v>2</v>
      </c>
      <c r="D401" s="3" t="s">
        <v>659</v>
      </c>
      <c r="E401" s="3" t="s">
        <v>614</v>
      </c>
      <c r="F401" s="3">
        <v>4</v>
      </c>
      <c r="G401" s="3" t="s">
        <v>652</v>
      </c>
      <c r="H401" s="3">
        <v>0</v>
      </c>
    </row>
    <row r="402" spans="1:8" x14ac:dyDescent="0.3">
      <c r="A402" s="4">
        <v>38022</v>
      </c>
      <c r="B402" s="3">
        <v>2004</v>
      </c>
      <c r="C402" s="3">
        <v>2</v>
      </c>
      <c r="D402" s="3" t="s">
        <v>659</v>
      </c>
      <c r="E402" s="3" t="s">
        <v>614</v>
      </c>
      <c r="F402" s="3">
        <v>5</v>
      </c>
      <c r="G402" s="3" t="s">
        <v>653</v>
      </c>
      <c r="H402" s="3">
        <v>0</v>
      </c>
    </row>
    <row r="403" spans="1:8" x14ac:dyDescent="0.3">
      <c r="A403" s="4">
        <v>38023</v>
      </c>
      <c r="B403" s="3">
        <v>2004</v>
      </c>
      <c r="C403" s="3">
        <v>2</v>
      </c>
      <c r="D403" s="3" t="s">
        <v>659</v>
      </c>
      <c r="E403" s="3" t="s">
        <v>614</v>
      </c>
      <c r="F403" s="3">
        <v>6</v>
      </c>
      <c r="G403" s="3" t="s">
        <v>654</v>
      </c>
      <c r="H403" s="3">
        <v>0</v>
      </c>
    </row>
    <row r="404" spans="1:8" x14ac:dyDescent="0.3">
      <c r="A404" s="4">
        <v>38024</v>
      </c>
      <c r="B404" s="3">
        <v>2004</v>
      </c>
      <c r="C404" s="3">
        <v>2</v>
      </c>
      <c r="D404" s="3" t="s">
        <v>659</v>
      </c>
      <c r="E404" s="3" t="s">
        <v>614</v>
      </c>
      <c r="F404" s="3">
        <v>7</v>
      </c>
      <c r="G404" s="3" t="s">
        <v>655</v>
      </c>
      <c r="H404" s="3">
        <v>1</v>
      </c>
    </row>
    <row r="405" spans="1:8" x14ac:dyDescent="0.3">
      <c r="A405" s="4">
        <v>38025</v>
      </c>
      <c r="B405" s="3">
        <v>2004</v>
      </c>
      <c r="C405" s="3">
        <v>2</v>
      </c>
      <c r="D405" s="3" t="s">
        <v>659</v>
      </c>
      <c r="E405" s="3" t="s">
        <v>614</v>
      </c>
      <c r="F405" s="3">
        <v>8</v>
      </c>
      <c r="G405" s="3" t="s">
        <v>656</v>
      </c>
      <c r="H405" s="3">
        <v>1</v>
      </c>
    </row>
    <row r="406" spans="1:8" x14ac:dyDescent="0.3">
      <c r="A406" s="4">
        <v>38026</v>
      </c>
      <c r="B406" s="3">
        <v>2004</v>
      </c>
      <c r="C406" s="3">
        <v>2</v>
      </c>
      <c r="D406" s="3" t="s">
        <v>659</v>
      </c>
      <c r="E406" s="3" t="s">
        <v>614</v>
      </c>
      <c r="F406" s="3">
        <v>9</v>
      </c>
      <c r="G406" s="3" t="s">
        <v>657</v>
      </c>
      <c r="H406" s="3">
        <v>0</v>
      </c>
    </row>
    <row r="407" spans="1:8" x14ac:dyDescent="0.3">
      <c r="A407" s="4">
        <v>38027</v>
      </c>
      <c r="B407" s="3">
        <v>2004</v>
      </c>
      <c r="C407" s="3">
        <v>2</v>
      </c>
      <c r="D407" s="3" t="s">
        <v>659</v>
      </c>
      <c r="E407" s="3" t="s">
        <v>614</v>
      </c>
      <c r="F407" s="3">
        <v>10</v>
      </c>
      <c r="G407" s="3" t="s">
        <v>658</v>
      </c>
      <c r="H407" s="3">
        <v>0</v>
      </c>
    </row>
    <row r="408" spans="1:8" x14ac:dyDescent="0.3">
      <c r="A408" s="4">
        <v>38028</v>
      </c>
      <c r="B408" s="3">
        <v>2004</v>
      </c>
      <c r="C408" s="3">
        <v>2</v>
      </c>
      <c r="D408" s="3" t="s">
        <v>659</v>
      </c>
      <c r="E408" s="3" t="s">
        <v>614</v>
      </c>
      <c r="F408" s="3">
        <v>11</v>
      </c>
      <c r="G408" s="3" t="s">
        <v>652</v>
      </c>
      <c r="H408" s="3">
        <v>0</v>
      </c>
    </row>
    <row r="409" spans="1:8" x14ac:dyDescent="0.3">
      <c r="A409" s="4">
        <v>38029</v>
      </c>
      <c r="B409" s="3">
        <v>2004</v>
      </c>
      <c r="C409" s="3">
        <v>2</v>
      </c>
      <c r="D409" s="3" t="s">
        <v>659</v>
      </c>
      <c r="E409" s="3" t="s">
        <v>614</v>
      </c>
      <c r="F409" s="3">
        <v>12</v>
      </c>
      <c r="G409" s="3" t="s">
        <v>653</v>
      </c>
      <c r="H409" s="3">
        <v>0</v>
      </c>
    </row>
    <row r="410" spans="1:8" x14ac:dyDescent="0.3">
      <c r="A410" s="4">
        <v>38030</v>
      </c>
      <c r="B410" s="3">
        <v>2004</v>
      </c>
      <c r="C410" s="3">
        <v>2</v>
      </c>
      <c r="D410" s="3" t="s">
        <v>659</v>
      </c>
      <c r="E410" s="3" t="s">
        <v>614</v>
      </c>
      <c r="F410" s="3">
        <v>13</v>
      </c>
      <c r="G410" s="3" t="s">
        <v>654</v>
      </c>
      <c r="H410" s="3">
        <v>0</v>
      </c>
    </row>
    <row r="411" spans="1:8" x14ac:dyDescent="0.3">
      <c r="A411" s="4">
        <v>38031</v>
      </c>
      <c r="B411" s="3">
        <v>2004</v>
      </c>
      <c r="C411" s="3">
        <v>2</v>
      </c>
      <c r="D411" s="3" t="s">
        <v>659</v>
      </c>
      <c r="E411" s="3" t="s">
        <v>614</v>
      </c>
      <c r="F411" s="3">
        <v>14</v>
      </c>
      <c r="G411" s="3" t="s">
        <v>655</v>
      </c>
      <c r="H411" s="3">
        <v>1</v>
      </c>
    </row>
    <row r="412" spans="1:8" x14ac:dyDescent="0.3">
      <c r="A412" s="4">
        <v>38032</v>
      </c>
      <c r="B412" s="3">
        <v>2004</v>
      </c>
      <c r="C412" s="3">
        <v>2</v>
      </c>
      <c r="D412" s="3" t="s">
        <v>659</v>
      </c>
      <c r="E412" s="3" t="s">
        <v>614</v>
      </c>
      <c r="F412" s="3">
        <v>15</v>
      </c>
      <c r="G412" s="3" t="s">
        <v>656</v>
      </c>
      <c r="H412" s="3">
        <v>1</v>
      </c>
    </row>
    <row r="413" spans="1:8" x14ac:dyDescent="0.3">
      <c r="A413" s="4">
        <v>38033</v>
      </c>
      <c r="B413" s="3">
        <v>2004</v>
      </c>
      <c r="C413" s="3">
        <v>2</v>
      </c>
      <c r="D413" s="3" t="s">
        <v>659</v>
      </c>
      <c r="E413" s="3" t="s">
        <v>614</v>
      </c>
      <c r="F413" s="3">
        <v>16</v>
      </c>
      <c r="G413" s="3" t="s">
        <v>657</v>
      </c>
      <c r="H413" s="3">
        <v>0</v>
      </c>
    </row>
    <row r="414" spans="1:8" x14ac:dyDescent="0.3">
      <c r="A414" s="4">
        <v>38034</v>
      </c>
      <c r="B414" s="3">
        <v>2004</v>
      </c>
      <c r="C414" s="3">
        <v>2</v>
      </c>
      <c r="D414" s="3" t="s">
        <v>659</v>
      </c>
      <c r="E414" s="3" t="s">
        <v>614</v>
      </c>
      <c r="F414" s="3">
        <v>17</v>
      </c>
      <c r="G414" s="3" t="s">
        <v>658</v>
      </c>
      <c r="H414" s="3">
        <v>0</v>
      </c>
    </row>
    <row r="415" spans="1:8" x14ac:dyDescent="0.3">
      <c r="A415" s="4">
        <v>38035</v>
      </c>
      <c r="B415" s="3">
        <v>2004</v>
      </c>
      <c r="C415" s="3">
        <v>2</v>
      </c>
      <c r="D415" s="3" t="s">
        <v>659</v>
      </c>
      <c r="E415" s="3" t="s">
        <v>614</v>
      </c>
      <c r="F415" s="3">
        <v>18</v>
      </c>
      <c r="G415" s="3" t="s">
        <v>652</v>
      </c>
      <c r="H415" s="3">
        <v>0</v>
      </c>
    </row>
    <row r="416" spans="1:8" x14ac:dyDescent="0.3">
      <c r="A416" s="4">
        <v>38036</v>
      </c>
      <c r="B416" s="3">
        <v>2004</v>
      </c>
      <c r="C416" s="3">
        <v>2</v>
      </c>
      <c r="D416" s="3" t="s">
        <v>659</v>
      </c>
      <c r="E416" s="3" t="s">
        <v>614</v>
      </c>
      <c r="F416" s="3">
        <v>19</v>
      </c>
      <c r="G416" s="3" t="s">
        <v>653</v>
      </c>
      <c r="H416" s="3">
        <v>0</v>
      </c>
    </row>
    <row r="417" spans="1:8" x14ac:dyDescent="0.3">
      <c r="A417" s="4">
        <v>38037</v>
      </c>
      <c r="B417" s="3">
        <v>2004</v>
      </c>
      <c r="C417" s="3">
        <v>2</v>
      </c>
      <c r="D417" s="3" t="s">
        <v>659</v>
      </c>
      <c r="E417" s="3" t="s">
        <v>614</v>
      </c>
      <c r="F417" s="3">
        <v>20</v>
      </c>
      <c r="G417" s="3" t="s">
        <v>654</v>
      </c>
      <c r="H417" s="3">
        <v>0</v>
      </c>
    </row>
    <row r="418" spans="1:8" x14ac:dyDescent="0.3">
      <c r="A418" s="4">
        <v>38038</v>
      </c>
      <c r="B418" s="3">
        <v>2004</v>
      </c>
      <c r="C418" s="3">
        <v>2</v>
      </c>
      <c r="D418" s="3" t="s">
        <v>659</v>
      </c>
      <c r="E418" s="3" t="s">
        <v>614</v>
      </c>
      <c r="F418" s="3">
        <v>21</v>
      </c>
      <c r="G418" s="3" t="s">
        <v>655</v>
      </c>
      <c r="H418" s="3">
        <v>1</v>
      </c>
    </row>
    <row r="419" spans="1:8" x14ac:dyDescent="0.3">
      <c r="A419" s="4">
        <v>38039</v>
      </c>
      <c r="B419" s="3">
        <v>2004</v>
      </c>
      <c r="C419" s="3">
        <v>2</v>
      </c>
      <c r="D419" s="3" t="s">
        <v>659</v>
      </c>
      <c r="E419" s="3" t="s">
        <v>614</v>
      </c>
      <c r="F419" s="3">
        <v>22</v>
      </c>
      <c r="G419" s="3" t="s">
        <v>656</v>
      </c>
      <c r="H419" s="3">
        <v>1</v>
      </c>
    </row>
    <row r="420" spans="1:8" x14ac:dyDescent="0.3">
      <c r="A420" s="4">
        <v>38040</v>
      </c>
      <c r="B420" s="3">
        <v>2004</v>
      </c>
      <c r="C420" s="3">
        <v>2</v>
      </c>
      <c r="D420" s="3" t="s">
        <v>659</v>
      </c>
      <c r="E420" s="3" t="s">
        <v>614</v>
      </c>
      <c r="F420" s="3">
        <v>23</v>
      </c>
      <c r="G420" s="3" t="s">
        <v>657</v>
      </c>
      <c r="H420" s="3">
        <v>0</v>
      </c>
    </row>
    <row r="421" spans="1:8" x14ac:dyDescent="0.3">
      <c r="A421" s="4">
        <v>38041</v>
      </c>
      <c r="B421" s="3">
        <v>2004</v>
      </c>
      <c r="C421" s="3">
        <v>2</v>
      </c>
      <c r="D421" s="3" t="s">
        <v>659</v>
      </c>
      <c r="E421" s="3" t="s">
        <v>614</v>
      </c>
      <c r="F421" s="3">
        <v>24</v>
      </c>
      <c r="G421" s="3" t="s">
        <v>658</v>
      </c>
      <c r="H421" s="3">
        <v>0</v>
      </c>
    </row>
    <row r="422" spans="1:8" x14ac:dyDescent="0.3">
      <c r="A422" s="4">
        <v>38042</v>
      </c>
      <c r="B422" s="3">
        <v>2004</v>
      </c>
      <c r="C422" s="3">
        <v>2</v>
      </c>
      <c r="D422" s="3" t="s">
        <v>659</v>
      </c>
      <c r="E422" s="3" t="s">
        <v>614</v>
      </c>
      <c r="F422" s="3">
        <v>25</v>
      </c>
      <c r="G422" s="3" t="s">
        <v>652</v>
      </c>
      <c r="H422" s="3">
        <v>0</v>
      </c>
    </row>
    <row r="423" spans="1:8" x14ac:dyDescent="0.3">
      <c r="A423" s="4">
        <v>38043</v>
      </c>
      <c r="B423" s="3">
        <v>2004</v>
      </c>
      <c r="C423" s="3">
        <v>2</v>
      </c>
      <c r="D423" s="3" t="s">
        <v>659</v>
      </c>
      <c r="E423" s="3" t="s">
        <v>614</v>
      </c>
      <c r="F423" s="3">
        <v>26</v>
      </c>
      <c r="G423" s="3" t="s">
        <v>653</v>
      </c>
      <c r="H423" s="3">
        <v>0</v>
      </c>
    </row>
    <row r="424" spans="1:8" x14ac:dyDescent="0.3">
      <c r="A424" s="4">
        <v>38044</v>
      </c>
      <c r="B424" s="3">
        <v>2004</v>
      </c>
      <c r="C424" s="3">
        <v>2</v>
      </c>
      <c r="D424" s="3" t="s">
        <v>659</v>
      </c>
      <c r="E424" s="3" t="s">
        <v>614</v>
      </c>
      <c r="F424" s="3">
        <v>27</v>
      </c>
      <c r="G424" s="3" t="s">
        <v>654</v>
      </c>
      <c r="H424" s="3">
        <v>0</v>
      </c>
    </row>
    <row r="425" spans="1:8" x14ac:dyDescent="0.3">
      <c r="A425" s="4">
        <v>38045</v>
      </c>
      <c r="B425" s="3">
        <v>2004</v>
      </c>
      <c r="C425" s="3">
        <v>2</v>
      </c>
      <c r="D425" s="3" t="s">
        <v>659</v>
      </c>
      <c r="E425" s="3" t="s">
        <v>614</v>
      </c>
      <c r="F425" s="3">
        <v>28</v>
      </c>
      <c r="G425" s="3" t="s">
        <v>655</v>
      </c>
      <c r="H425" s="3">
        <v>1</v>
      </c>
    </row>
    <row r="426" spans="1:8" x14ac:dyDescent="0.3">
      <c r="A426" s="4">
        <v>38046</v>
      </c>
      <c r="B426" s="3">
        <v>2004</v>
      </c>
      <c r="C426" s="3">
        <v>2</v>
      </c>
      <c r="D426" s="3" t="s">
        <v>659</v>
      </c>
      <c r="E426" s="3" t="s">
        <v>614</v>
      </c>
      <c r="F426" s="3">
        <v>29</v>
      </c>
      <c r="G426" s="3" t="s">
        <v>656</v>
      </c>
      <c r="H426" s="3">
        <v>1</v>
      </c>
    </row>
    <row r="427" spans="1:8" x14ac:dyDescent="0.3">
      <c r="A427" s="4">
        <v>38047</v>
      </c>
      <c r="B427" s="3">
        <v>2004</v>
      </c>
      <c r="C427" s="3">
        <v>3</v>
      </c>
      <c r="D427" s="3" t="s">
        <v>660</v>
      </c>
      <c r="E427" s="3" t="s">
        <v>614</v>
      </c>
      <c r="F427" s="3">
        <v>1</v>
      </c>
      <c r="G427" s="3" t="s">
        <v>657</v>
      </c>
      <c r="H427" s="3">
        <v>0</v>
      </c>
    </row>
    <row r="428" spans="1:8" x14ac:dyDescent="0.3">
      <c r="A428" s="4">
        <v>38048</v>
      </c>
      <c r="B428" s="3">
        <v>2004</v>
      </c>
      <c r="C428" s="3">
        <v>3</v>
      </c>
      <c r="D428" s="3" t="s">
        <v>660</v>
      </c>
      <c r="E428" s="3" t="s">
        <v>614</v>
      </c>
      <c r="F428" s="3">
        <v>2</v>
      </c>
      <c r="G428" s="3" t="s">
        <v>658</v>
      </c>
      <c r="H428" s="3">
        <v>0</v>
      </c>
    </row>
    <row r="429" spans="1:8" x14ac:dyDescent="0.3">
      <c r="A429" s="4">
        <v>38049</v>
      </c>
      <c r="B429" s="3">
        <v>2004</v>
      </c>
      <c r="C429" s="3">
        <v>3</v>
      </c>
      <c r="D429" s="3" t="s">
        <v>660</v>
      </c>
      <c r="E429" s="3" t="s">
        <v>614</v>
      </c>
      <c r="F429" s="3">
        <v>3</v>
      </c>
      <c r="G429" s="3" t="s">
        <v>652</v>
      </c>
      <c r="H429" s="3">
        <v>0</v>
      </c>
    </row>
    <row r="430" spans="1:8" x14ac:dyDescent="0.3">
      <c r="A430" s="4">
        <v>38050</v>
      </c>
      <c r="B430" s="3">
        <v>2004</v>
      </c>
      <c r="C430" s="3">
        <v>3</v>
      </c>
      <c r="D430" s="3" t="s">
        <v>660</v>
      </c>
      <c r="E430" s="3" t="s">
        <v>614</v>
      </c>
      <c r="F430" s="3">
        <v>4</v>
      </c>
      <c r="G430" s="3" t="s">
        <v>653</v>
      </c>
      <c r="H430" s="3">
        <v>0</v>
      </c>
    </row>
    <row r="431" spans="1:8" x14ac:dyDescent="0.3">
      <c r="A431" s="4">
        <v>38051</v>
      </c>
      <c r="B431" s="3">
        <v>2004</v>
      </c>
      <c r="C431" s="3">
        <v>3</v>
      </c>
      <c r="D431" s="3" t="s">
        <v>660</v>
      </c>
      <c r="E431" s="3" t="s">
        <v>614</v>
      </c>
      <c r="F431" s="3">
        <v>5</v>
      </c>
      <c r="G431" s="3" t="s">
        <v>654</v>
      </c>
      <c r="H431" s="3">
        <v>0</v>
      </c>
    </row>
    <row r="432" spans="1:8" x14ac:dyDescent="0.3">
      <c r="A432" s="4">
        <v>38052</v>
      </c>
      <c r="B432" s="3">
        <v>2004</v>
      </c>
      <c r="C432" s="3">
        <v>3</v>
      </c>
      <c r="D432" s="3" t="s">
        <v>660</v>
      </c>
      <c r="E432" s="3" t="s">
        <v>614</v>
      </c>
      <c r="F432" s="3">
        <v>6</v>
      </c>
      <c r="G432" s="3" t="s">
        <v>655</v>
      </c>
      <c r="H432" s="3">
        <v>1</v>
      </c>
    </row>
    <row r="433" spans="1:8" x14ac:dyDescent="0.3">
      <c r="A433" s="4">
        <v>38053</v>
      </c>
      <c r="B433" s="3">
        <v>2004</v>
      </c>
      <c r="C433" s="3">
        <v>3</v>
      </c>
      <c r="D433" s="3" t="s">
        <v>660</v>
      </c>
      <c r="E433" s="3" t="s">
        <v>614</v>
      </c>
      <c r="F433" s="3">
        <v>7</v>
      </c>
      <c r="G433" s="3" t="s">
        <v>656</v>
      </c>
      <c r="H433" s="3">
        <v>1</v>
      </c>
    </row>
    <row r="434" spans="1:8" x14ac:dyDescent="0.3">
      <c r="A434" s="4">
        <v>38054</v>
      </c>
      <c r="B434" s="3">
        <v>2004</v>
      </c>
      <c r="C434" s="3">
        <v>3</v>
      </c>
      <c r="D434" s="3" t="s">
        <v>660</v>
      </c>
      <c r="E434" s="3" t="s">
        <v>614</v>
      </c>
      <c r="F434" s="3">
        <v>8</v>
      </c>
      <c r="G434" s="3" t="s">
        <v>657</v>
      </c>
      <c r="H434" s="3">
        <v>0</v>
      </c>
    </row>
    <row r="435" spans="1:8" x14ac:dyDescent="0.3">
      <c r="A435" s="4">
        <v>38055</v>
      </c>
      <c r="B435" s="3">
        <v>2004</v>
      </c>
      <c r="C435" s="3">
        <v>3</v>
      </c>
      <c r="D435" s="3" t="s">
        <v>660</v>
      </c>
      <c r="E435" s="3" t="s">
        <v>614</v>
      </c>
      <c r="F435" s="3">
        <v>9</v>
      </c>
      <c r="G435" s="3" t="s">
        <v>658</v>
      </c>
      <c r="H435" s="3">
        <v>0</v>
      </c>
    </row>
    <row r="436" spans="1:8" x14ac:dyDescent="0.3">
      <c r="A436" s="4">
        <v>38056</v>
      </c>
      <c r="B436" s="3">
        <v>2004</v>
      </c>
      <c r="C436" s="3">
        <v>3</v>
      </c>
      <c r="D436" s="3" t="s">
        <v>660</v>
      </c>
      <c r="E436" s="3" t="s">
        <v>614</v>
      </c>
      <c r="F436" s="3">
        <v>10</v>
      </c>
      <c r="G436" s="3" t="s">
        <v>652</v>
      </c>
      <c r="H436" s="3">
        <v>0</v>
      </c>
    </row>
    <row r="437" spans="1:8" x14ac:dyDescent="0.3">
      <c r="A437" s="4">
        <v>38057</v>
      </c>
      <c r="B437" s="3">
        <v>2004</v>
      </c>
      <c r="C437" s="3">
        <v>3</v>
      </c>
      <c r="D437" s="3" t="s">
        <v>660</v>
      </c>
      <c r="E437" s="3" t="s">
        <v>614</v>
      </c>
      <c r="F437" s="3">
        <v>11</v>
      </c>
      <c r="G437" s="3" t="s">
        <v>653</v>
      </c>
      <c r="H437" s="3">
        <v>0</v>
      </c>
    </row>
    <row r="438" spans="1:8" x14ac:dyDescent="0.3">
      <c r="A438" s="4">
        <v>38058</v>
      </c>
      <c r="B438" s="3">
        <v>2004</v>
      </c>
      <c r="C438" s="3">
        <v>3</v>
      </c>
      <c r="D438" s="3" t="s">
        <v>660</v>
      </c>
      <c r="E438" s="3" t="s">
        <v>614</v>
      </c>
      <c r="F438" s="3">
        <v>12</v>
      </c>
      <c r="G438" s="3" t="s">
        <v>654</v>
      </c>
      <c r="H438" s="3">
        <v>0</v>
      </c>
    </row>
    <row r="439" spans="1:8" x14ac:dyDescent="0.3">
      <c r="A439" s="4">
        <v>38059</v>
      </c>
      <c r="B439" s="3">
        <v>2004</v>
      </c>
      <c r="C439" s="3">
        <v>3</v>
      </c>
      <c r="D439" s="3" t="s">
        <v>660</v>
      </c>
      <c r="E439" s="3" t="s">
        <v>614</v>
      </c>
      <c r="F439" s="3">
        <v>13</v>
      </c>
      <c r="G439" s="3" t="s">
        <v>655</v>
      </c>
      <c r="H439" s="3">
        <v>1</v>
      </c>
    </row>
    <row r="440" spans="1:8" x14ac:dyDescent="0.3">
      <c r="A440" s="4">
        <v>38060</v>
      </c>
      <c r="B440" s="3">
        <v>2004</v>
      </c>
      <c r="C440" s="3">
        <v>3</v>
      </c>
      <c r="D440" s="3" t="s">
        <v>660</v>
      </c>
      <c r="E440" s="3" t="s">
        <v>614</v>
      </c>
      <c r="F440" s="3">
        <v>14</v>
      </c>
      <c r="G440" s="3" t="s">
        <v>656</v>
      </c>
      <c r="H440" s="3">
        <v>1</v>
      </c>
    </row>
    <row r="441" spans="1:8" x14ac:dyDescent="0.3">
      <c r="A441" s="4">
        <v>38061</v>
      </c>
      <c r="B441" s="3">
        <v>2004</v>
      </c>
      <c r="C441" s="3">
        <v>3</v>
      </c>
      <c r="D441" s="3" t="s">
        <v>660</v>
      </c>
      <c r="E441" s="3" t="s">
        <v>614</v>
      </c>
      <c r="F441" s="3">
        <v>15</v>
      </c>
      <c r="G441" s="3" t="s">
        <v>657</v>
      </c>
      <c r="H441" s="3">
        <v>0</v>
      </c>
    </row>
    <row r="442" spans="1:8" x14ac:dyDescent="0.3">
      <c r="A442" s="4">
        <v>38062</v>
      </c>
      <c r="B442" s="3">
        <v>2004</v>
      </c>
      <c r="C442" s="3">
        <v>3</v>
      </c>
      <c r="D442" s="3" t="s">
        <v>660</v>
      </c>
      <c r="E442" s="3" t="s">
        <v>614</v>
      </c>
      <c r="F442" s="3">
        <v>16</v>
      </c>
      <c r="G442" s="3" t="s">
        <v>658</v>
      </c>
      <c r="H442" s="3">
        <v>0</v>
      </c>
    </row>
    <row r="443" spans="1:8" x14ac:dyDescent="0.3">
      <c r="A443" s="4">
        <v>38063</v>
      </c>
      <c r="B443" s="3">
        <v>2004</v>
      </c>
      <c r="C443" s="3">
        <v>3</v>
      </c>
      <c r="D443" s="3" t="s">
        <v>660</v>
      </c>
      <c r="E443" s="3" t="s">
        <v>614</v>
      </c>
      <c r="F443" s="3">
        <v>17</v>
      </c>
      <c r="G443" s="3" t="s">
        <v>652</v>
      </c>
      <c r="H443" s="3">
        <v>0</v>
      </c>
    </row>
    <row r="444" spans="1:8" x14ac:dyDescent="0.3">
      <c r="A444" s="4">
        <v>38064</v>
      </c>
      <c r="B444" s="3">
        <v>2004</v>
      </c>
      <c r="C444" s="3">
        <v>3</v>
      </c>
      <c r="D444" s="3" t="s">
        <v>660</v>
      </c>
      <c r="E444" s="3" t="s">
        <v>614</v>
      </c>
      <c r="F444" s="3">
        <v>18</v>
      </c>
      <c r="G444" s="3" t="s">
        <v>653</v>
      </c>
      <c r="H444" s="3">
        <v>0</v>
      </c>
    </row>
    <row r="445" spans="1:8" x14ac:dyDescent="0.3">
      <c r="A445" s="4">
        <v>38065</v>
      </c>
      <c r="B445" s="3">
        <v>2004</v>
      </c>
      <c r="C445" s="3">
        <v>3</v>
      </c>
      <c r="D445" s="3" t="s">
        <v>660</v>
      </c>
      <c r="E445" s="3" t="s">
        <v>614</v>
      </c>
      <c r="F445" s="3">
        <v>19</v>
      </c>
      <c r="G445" s="3" t="s">
        <v>654</v>
      </c>
      <c r="H445" s="3">
        <v>0</v>
      </c>
    </row>
    <row r="446" spans="1:8" x14ac:dyDescent="0.3">
      <c r="A446" s="4">
        <v>38066</v>
      </c>
      <c r="B446" s="3">
        <v>2004</v>
      </c>
      <c r="C446" s="3">
        <v>3</v>
      </c>
      <c r="D446" s="3" t="s">
        <v>660</v>
      </c>
      <c r="E446" s="3" t="s">
        <v>614</v>
      </c>
      <c r="F446" s="3">
        <v>20</v>
      </c>
      <c r="G446" s="3" t="s">
        <v>655</v>
      </c>
      <c r="H446" s="3">
        <v>1</v>
      </c>
    </row>
    <row r="447" spans="1:8" x14ac:dyDescent="0.3">
      <c r="A447" s="4">
        <v>38067</v>
      </c>
      <c r="B447" s="3">
        <v>2004</v>
      </c>
      <c r="C447" s="3">
        <v>3</v>
      </c>
      <c r="D447" s="3" t="s">
        <v>660</v>
      </c>
      <c r="E447" s="3" t="s">
        <v>614</v>
      </c>
      <c r="F447" s="3">
        <v>21</v>
      </c>
      <c r="G447" s="3" t="s">
        <v>656</v>
      </c>
      <c r="H447" s="3">
        <v>1</v>
      </c>
    </row>
    <row r="448" spans="1:8" x14ac:dyDescent="0.3">
      <c r="A448" s="4">
        <v>38068</v>
      </c>
      <c r="B448" s="3">
        <v>2004</v>
      </c>
      <c r="C448" s="3">
        <v>3</v>
      </c>
      <c r="D448" s="3" t="s">
        <v>660</v>
      </c>
      <c r="E448" s="3" t="s">
        <v>614</v>
      </c>
      <c r="F448" s="3">
        <v>22</v>
      </c>
      <c r="G448" s="3" t="s">
        <v>657</v>
      </c>
      <c r="H448" s="3">
        <v>0</v>
      </c>
    </row>
    <row r="449" spans="1:8" x14ac:dyDescent="0.3">
      <c r="A449" s="4">
        <v>38069</v>
      </c>
      <c r="B449" s="3">
        <v>2004</v>
      </c>
      <c r="C449" s="3">
        <v>3</v>
      </c>
      <c r="D449" s="3" t="s">
        <v>660</v>
      </c>
      <c r="E449" s="3" t="s">
        <v>614</v>
      </c>
      <c r="F449" s="3">
        <v>23</v>
      </c>
      <c r="G449" s="3" t="s">
        <v>658</v>
      </c>
      <c r="H449" s="3">
        <v>0</v>
      </c>
    </row>
    <row r="450" spans="1:8" x14ac:dyDescent="0.3">
      <c r="A450" s="4">
        <v>38070</v>
      </c>
      <c r="B450" s="3">
        <v>2004</v>
      </c>
      <c r="C450" s="3">
        <v>3</v>
      </c>
      <c r="D450" s="3" t="s">
        <v>660</v>
      </c>
      <c r="E450" s="3" t="s">
        <v>614</v>
      </c>
      <c r="F450" s="3">
        <v>24</v>
      </c>
      <c r="G450" s="3" t="s">
        <v>652</v>
      </c>
      <c r="H450" s="3">
        <v>0</v>
      </c>
    </row>
    <row r="451" spans="1:8" x14ac:dyDescent="0.3">
      <c r="A451" s="4">
        <v>38071</v>
      </c>
      <c r="B451" s="3">
        <v>2004</v>
      </c>
      <c r="C451" s="3">
        <v>3</v>
      </c>
      <c r="D451" s="3" t="s">
        <v>660</v>
      </c>
      <c r="E451" s="3" t="s">
        <v>614</v>
      </c>
      <c r="F451" s="3">
        <v>25</v>
      </c>
      <c r="G451" s="3" t="s">
        <v>653</v>
      </c>
      <c r="H451" s="3">
        <v>0</v>
      </c>
    </row>
    <row r="452" spans="1:8" x14ac:dyDescent="0.3">
      <c r="A452" s="4">
        <v>38072</v>
      </c>
      <c r="B452" s="3">
        <v>2004</v>
      </c>
      <c r="C452" s="3">
        <v>3</v>
      </c>
      <c r="D452" s="3" t="s">
        <v>660</v>
      </c>
      <c r="E452" s="3" t="s">
        <v>614</v>
      </c>
      <c r="F452" s="3">
        <v>26</v>
      </c>
      <c r="G452" s="3" t="s">
        <v>654</v>
      </c>
      <c r="H452" s="3">
        <v>0</v>
      </c>
    </row>
    <row r="453" spans="1:8" x14ac:dyDescent="0.3">
      <c r="A453" s="4">
        <v>38073</v>
      </c>
      <c r="B453" s="3">
        <v>2004</v>
      </c>
      <c r="C453" s="3">
        <v>3</v>
      </c>
      <c r="D453" s="3" t="s">
        <v>660</v>
      </c>
      <c r="E453" s="3" t="s">
        <v>614</v>
      </c>
      <c r="F453" s="3">
        <v>27</v>
      </c>
      <c r="G453" s="3" t="s">
        <v>655</v>
      </c>
      <c r="H453" s="3">
        <v>1</v>
      </c>
    </row>
    <row r="454" spans="1:8" x14ac:dyDescent="0.3">
      <c r="A454" s="4">
        <v>38074</v>
      </c>
      <c r="B454" s="3">
        <v>2004</v>
      </c>
      <c r="C454" s="3">
        <v>3</v>
      </c>
      <c r="D454" s="3" t="s">
        <v>660</v>
      </c>
      <c r="E454" s="3" t="s">
        <v>614</v>
      </c>
      <c r="F454" s="3">
        <v>28</v>
      </c>
      <c r="G454" s="3" t="s">
        <v>656</v>
      </c>
      <c r="H454" s="3">
        <v>1</v>
      </c>
    </row>
    <row r="455" spans="1:8" x14ac:dyDescent="0.3">
      <c r="A455" s="4">
        <v>38075</v>
      </c>
      <c r="B455" s="3">
        <v>2004</v>
      </c>
      <c r="C455" s="3">
        <v>3</v>
      </c>
      <c r="D455" s="3" t="s">
        <v>660</v>
      </c>
      <c r="E455" s="3" t="s">
        <v>614</v>
      </c>
      <c r="F455" s="3">
        <v>29</v>
      </c>
      <c r="G455" s="3" t="s">
        <v>657</v>
      </c>
      <c r="H455" s="3">
        <v>0</v>
      </c>
    </row>
    <row r="456" spans="1:8" x14ac:dyDescent="0.3">
      <c r="A456" s="4">
        <v>38076</v>
      </c>
      <c r="B456" s="3">
        <v>2004</v>
      </c>
      <c r="C456" s="3">
        <v>3</v>
      </c>
      <c r="D456" s="3" t="s">
        <v>660</v>
      </c>
      <c r="E456" s="3" t="s">
        <v>614</v>
      </c>
      <c r="F456" s="3">
        <v>30</v>
      </c>
      <c r="G456" s="3" t="s">
        <v>658</v>
      </c>
      <c r="H456" s="3">
        <v>0</v>
      </c>
    </row>
    <row r="457" spans="1:8" x14ac:dyDescent="0.3">
      <c r="A457" s="4">
        <v>38077</v>
      </c>
      <c r="B457" s="3">
        <v>2004</v>
      </c>
      <c r="C457" s="3">
        <v>3</v>
      </c>
      <c r="D457" s="3" t="s">
        <v>660</v>
      </c>
      <c r="E457" s="3" t="s">
        <v>614</v>
      </c>
      <c r="F457" s="3">
        <v>31</v>
      </c>
      <c r="G457" s="3" t="s">
        <v>652</v>
      </c>
      <c r="H457" s="3">
        <v>0</v>
      </c>
    </row>
    <row r="458" spans="1:8" x14ac:dyDescent="0.3">
      <c r="A458" s="4">
        <v>38078</v>
      </c>
      <c r="B458" s="3">
        <v>2004</v>
      </c>
      <c r="C458" s="3">
        <v>4</v>
      </c>
      <c r="D458" s="3" t="s">
        <v>661</v>
      </c>
      <c r="E458" s="3" t="s">
        <v>615</v>
      </c>
      <c r="F458" s="3">
        <v>1</v>
      </c>
      <c r="G458" s="3" t="s">
        <v>653</v>
      </c>
      <c r="H458" s="3">
        <v>0</v>
      </c>
    </row>
    <row r="459" spans="1:8" x14ac:dyDescent="0.3">
      <c r="A459" s="4">
        <v>38079</v>
      </c>
      <c r="B459" s="3">
        <v>2004</v>
      </c>
      <c r="C459" s="3">
        <v>4</v>
      </c>
      <c r="D459" s="3" t="s">
        <v>661</v>
      </c>
      <c r="E459" s="3" t="s">
        <v>615</v>
      </c>
      <c r="F459" s="3">
        <v>2</v>
      </c>
      <c r="G459" s="3" t="s">
        <v>654</v>
      </c>
      <c r="H459" s="3">
        <v>0</v>
      </c>
    </row>
    <row r="460" spans="1:8" x14ac:dyDescent="0.3">
      <c r="A460" s="4">
        <v>38080</v>
      </c>
      <c r="B460" s="3">
        <v>2004</v>
      </c>
      <c r="C460" s="3">
        <v>4</v>
      </c>
      <c r="D460" s="3" t="s">
        <v>661</v>
      </c>
      <c r="E460" s="3" t="s">
        <v>615</v>
      </c>
      <c r="F460" s="3">
        <v>3</v>
      </c>
      <c r="G460" s="3" t="s">
        <v>655</v>
      </c>
      <c r="H460" s="3">
        <v>1</v>
      </c>
    </row>
    <row r="461" spans="1:8" x14ac:dyDescent="0.3">
      <c r="A461" s="4">
        <v>38081</v>
      </c>
      <c r="B461" s="3">
        <v>2004</v>
      </c>
      <c r="C461" s="3">
        <v>4</v>
      </c>
      <c r="D461" s="3" t="s">
        <v>661</v>
      </c>
      <c r="E461" s="3" t="s">
        <v>615</v>
      </c>
      <c r="F461" s="3">
        <v>4</v>
      </c>
      <c r="G461" s="3" t="s">
        <v>656</v>
      </c>
      <c r="H461" s="3">
        <v>1</v>
      </c>
    </row>
    <row r="462" spans="1:8" x14ac:dyDescent="0.3">
      <c r="A462" s="4">
        <v>38082</v>
      </c>
      <c r="B462" s="3">
        <v>2004</v>
      </c>
      <c r="C462" s="3">
        <v>4</v>
      </c>
      <c r="D462" s="3" t="s">
        <v>661</v>
      </c>
      <c r="E462" s="3" t="s">
        <v>615</v>
      </c>
      <c r="F462" s="3">
        <v>5</v>
      </c>
      <c r="G462" s="3" t="s">
        <v>657</v>
      </c>
      <c r="H462" s="3">
        <v>0</v>
      </c>
    </row>
    <row r="463" spans="1:8" x14ac:dyDescent="0.3">
      <c r="A463" s="4">
        <v>38083</v>
      </c>
      <c r="B463" s="3">
        <v>2004</v>
      </c>
      <c r="C463" s="3">
        <v>4</v>
      </c>
      <c r="D463" s="3" t="s">
        <v>661</v>
      </c>
      <c r="E463" s="3" t="s">
        <v>615</v>
      </c>
      <c r="F463" s="3">
        <v>6</v>
      </c>
      <c r="G463" s="3" t="s">
        <v>658</v>
      </c>
      <c r="H463" s="3">
        <v>0</v>
      </c>
    </row>
    <row r="464" spans="1:8" x14ac:dyDescent="0.3">
      <c r="A464" s="4">
        <v>38084</v>
      </c>
      <c r="B464" s="3">
        <v>2004</v>
      </c>
      <c r="C464" s="3">
        <v>4</v>
      </c>
      <c r="D464" s="3" t="s">
        <v>661</v>
      </c>
      <c r="E464" s="3" t="s">
        <v>615</v>
      </c>
      <c r="F464" s="3">
        <v>7</v>
      </c>
      <c r="G464" s="3" t="s">
        <v>652</v>
      </c>
      <c r="H464" s="3">
        <v>0</v>
      </c>
    </row>
    <row r="465" spans="1:8" x14ac:dyDescent="0.3">
      <c r="A465" s="4">
        <v>38085</v>
      </c>
      <c r="B465" s="3">
        <v>2004</v>
      </c>
      <c r="C465" s="3">
        <v>4</v>
      </c>
      <c r="D465" s="3" t="s">
        <v>661</v>
      </c>
      <c r="E465" s="3" t="s">
        <v>615</v>
      </c>
      <c r="F465" s="3">
        <v>8</v>
      </c>
      <c r="G465" s="3" t="s">
        <v>653</v>
      </c>
      <c r="H465" s="3">
        <v>0</v>
      </c>
    </row>
    <row r="466" spans="1:8" x14ac:dyDescent="0.3">
      <c r="A466" s="4">
        <v>38086</v>
      </c>
      <c r="B466" s="3">
        <v>2004</v>
      </c>
      <c r="C466" s="3">
        <v>4</v>
      </c>
      <c r="D466" s="3" t="s">
        <v>661</v>
      </c>
      <c r="E466" s="3" t="s">
        <v>615</v>
      </c>
      <c r="F466" s="3">
        <v>9</v>
      </c>
      <c r="G466" s="3" t="s">
        <v>654</v>
      </c>
      <c r="H466" s="3">
        <v>0</v>
      </c>
    </row>
    <row r="467" spans="1:8" x14ac:dyDescent="0.3">
      <c r="A467" s="4">
        <v>38087</v>
      </c>
      <c r="B467" s="3">
        <v>2004</v>
      </c>
      <c r="C467" s="3">
        <v>4</v>
      </c>
      <c r="D467" s="3" t="s">
        <v>661</v>
      </c>
      <c r="E467" s="3" t="s">
        <v>615</v>
      </c>
      <c r="F467" s="3">
        <v>10</v>
      </c>
      <c r="G467" s="3" t="s">
        <v>655</v>
      </c>
      <c r="H467" s="3">
        <v>1</v>
      </c>
    </row>
    <row r="468" spans="1:8" x14ac:dyDescent="0.3">
      <c r="A468" s="4">
        <v>38088</v>
      </c>
      <c r="B468" s="3">
        <v>2004</v>
      </c>
      <c r="C468" s="3">
        <v>4</v>
      </c>
      <c r="D468" s="3" t="s">
        <v>661</v>
      </c>
      <c r="E468" s="3" t="s">
        <v>615</v>
      </c>
      <c r="F468" s="3">
        <v>11</v>
      </c>
      <c r="G468" s="3" t="s">
        <v>656</v>
      </c>
      <c r="H468" s="3">
        <v>1</v>
      </c>
    </row>
    <row r="469" spans="1:8" x14ac:dyDescent="0.3">
      <c r="A469" s="4">
        <v>38089</v>
      </c>
      <c r="B469" s="3">
        <v>2004</v>
      </c>
      <c r="C469" s="3">
        <v>4</v>
      </c>
      <c r="D469" s="3" t="s">
        <v>661</v>
      </c>
      <c r="E469" s="3" t="s">
        <v>615</v>
      </c>
      <c r="F469" s="3">
        <v>12</v>
      </c>
      <c r="G469" s="3" t="s">
        <v>657</v>
      </c>
      <c r="H469" s="3">
        <v>0</v>
      </c>
    </row>
    <row r="470" spans="1:8" x14ac:dyDescent="0.3">
      <c r="A470" s="4">
        <v>38090</v>
      </c>
      <c r="B470" s="3">
        <v>2004</v>
      </c>
      <c r="C470" s="3">
        <v>4</v>
      </c>
      <c r="D470" s="3" t="s">
        <v>661</v>
      </c>
      <c r="E470" s="3" t="s">
        <v>615</v>
      </c>
      <c r="F470" s="3">
        <v>13</v>
      </c>
      <c r="G470" s="3" t="s">
        <v>658</v>
      </c>
      <c r="H470" s="3">
        <v>0</v>
      </c>
    </row>
    <row r="471" spans="1:8" x14ac:dyDescent="0.3">
      <c r="A471" s="4">
        <v>38091</v>
      </c>
      <c r="B471" s="3">
        <v>2004</v>
      </c>
      <c r="C471" s="3">
        <v>4</v>
      </c>
      <c r="D471" s="3" t="s">
        <v>661</v>
      </c>
      <c r="E471" s="3" t="s">
        <v>615</v>
      </c>
      <c r="F471" s="3">
        <v>14</v>
      </c>
      <c r="G471" s="3" t="s">
        <v>652</v>
      </c>
      <c r="H471" s="3">
        <v>0</v>
      </c>
    </row>
    <row r="472" spans="1:8" x14ac:dyDescent="0.3">
      <c r="A472" s="4">
        <v>38092</v>
      </c>
      <c r="B472" s="3">
        <v>2004</v>
      </c>
      <c r="C472" s="3">
        <v>4</v>
      </c>
      <c r="D472" s="3" t="s">
        <v>661</v>
      </c>
      <c r="E472" s="3" t="s">
        <v>615</v>
      </c>
      <c r="F472" s="3">
        <v>15</v>
      </c>
      <c r="G472" s="3" t="s">
        <v>653</v>
      </c>
      <c r="H472" s="3">
        <v>0</v>
      </c>
    </row>
    <row r="473" spans="1:8" x14ac:dyDescent="0.3">
      <c r="A473" s="4">
        <v>38093</v>
      </c>
      <c r="B473" s="3">
        <v>2004</v>
      </c>
      <c r="C473" s="3">
        <v>4</v>
      </c>
      <c r="D473" s="3" t="s">
        <v>661</v>
      </c>
      <c r="E473" s="3" t="s">
        <v>615</v>
      </c>
      <c r="F473" s="3">
        <v>16</v>
      </c>
      <c r="G473" s="3" t="s">
        <v>654</v>
      </c>
      <c r="H473" s="3">
        <v>0</v>
      </c>
    </row>
    <row r="474" spans="1:8" x14ac:dyDescent="0.3">
      <c r="A474" s="4">
        <v>38094</v>
      </c>
      <c r="B474" s="3">
        <v>2004</v>
      </c>
      <c r="C474" s="3">
        <v>4</v>
      </c>
      <c r="D474" s="3" t="s">
        <v>661</v>
      </c>
      <c r="E474" s="3" t="s">
        <v>615</v>
      </c>
      <c r="F474" s="3">
        <v>17</v>
      </c>
      <c r="G474" s="3" t="s">
        <v>655</v>
      </c>
      <c r="H474" s="3">
        <v>1</v>
      </c>
    </row>
    <row r="475" spans="1:8" x14ac:dyDescent="0.3">
      <c r="A475" s="4">
        <v>38095</v>
      </c>
      <c r="B475" s="3">
        <v>2004</v>
      </c>
      <c r="C475" s="3">
        <v>4</v>
      </c>
      <c r="D475" s="3" t="s">
        <v>661</v>
      </c>
      <c r="E475" s="3" t="s">
        <v>615</v>
      </c>
      <c r="F475" s="3">
        <v>18</v>
      </c>
      <c r="G475" s="3" t="s">
        <v>656</v>
      </c>
      <c r="H475" s="3">
        <v>1</v>
      </c>
    </row>
    <row r="476" spans="1:8" x14ac:dyDescent="0.3">
      <c r="A476" s="4">
        <v>38096</v>
      </c>
      <c r="B476" s="3">
        <v>2004</v>
      </c>
      <c r="C476" s="3">
        <v>4</v>
      </c>
      <c r="D476" s="3" t="s">
        <v>661</v>
      </c>
      <c r="E476" s="3" t="s">
        <v>615</v>
      </c>
      <c r="F476" s="3">
        <v>19</v>
      </c>
      <c r="G476" s="3" t="s">
        <v>657</v>
      </c>
      <c r="H476" s="3">
        <v>0</v>
      </c>
    </row>
    <row r="477" spans="1:8" x14ac:dyDescent="0.3">
      <c r="A477" s="4">
        <v>38097</v>
      </c>
      <c r="B477" s="3">
        <v>2004</v>
      </c>
      <c r="C477" s="3">
        <v>4</v>
      </c>
      <c r="D477" s="3" t="s">
        <v>661</v>
      </c>
      <c r="E477" s="3" t="s">
        <v>615</v>
      </c>
      <c r="F477" s="3">
        <v>20</v>
      </c>
      <c r="G477" s="3" t="s">
        <v>658</v>
      </c>
      <c r="H477" s="3">
        <v>0</v>
      </c>
    </row>
    <row r="478" spans="1:8" x14ac:dyDescent="0.3">
      <c r="A478" s="4">
        <v>38098</v>
      </c>
      <c r="B478" s="3">
        <v>2004</v>
      </c>
      <c r="C478" s="3">
        <v>4</v>
      </c>
      <c r="D478" s="3" t="s">
        <v>661</v>
      </c>
      <c r="E478" s="3" t="s">
        <v>615</v>
      </c>
      <c r="F478" s="3">
        <v>21</v>
      </c>
      <c r="G478" s="3" t="s">
        <v>652</v>
      </c>
      <c r="H478" s="3">
        <v>0</v>
      </c>
    </row>
    <row r="479" spans="1:8" x14ac:dyDescent="0.3">
      <c r="A479" s="4">
        <v>38099</v>
      </c>
      <c r="B479" s="3">
        <v>2004</v>
      </c>
      <c r="C479" s="3">
        <v>4</v>
      </c>
      <c r="D479" s="3" t="s">
        <v>661</v>
      </c>
      <c r="E479" s="3" t="s">
        <v>615</v>
      </c>
      <c r="F479" s="3">
        <v>22</v>
      </c>
      <c r="G479" s="3" t="s">
        <v>653</v>
      </c>
      <c r="H479" s="3">
        <v>0</v>
      </c>
    </row>
    <row r="480" spans="1:8" x14ac:dyDescent="0.3">
      <c r="A480" s="4">
        <v>38100</v>
      </c>
      <c r="B480" s="3">
        <v>2004</v>
      </c>
      <c r="C480" s="3">
        <v>4</v>
      </c>
      <c r="D480" s="3" t="s">
        <v>661</v>
      </c>
      <c r="E480" s="3" t="s">
        <v>615</v>
      </c>
      <c r="F480" s="3">
        <v>23</v>
      </c>
      <c r="G480" s="3" t="s">
        <v>654</v>
      </c>
      <c r="H480" s="3">
        <v>0</v>
      </c>
    </row>
    <row r="481" spans="1:8" x14ac:dyDescent="0.3">
      <c r="A481" s="4">
        <v>38101</v>
      </c>
      <c r="B481" s="3">
        <v>2004</v>
      </c>
      <c r="C481" s="3">
        <v>4</v>
      </c>
      <c r="D481" s="3" t="s">
        <v>661</v>
      </c>
      <c r="E481" s="3" t="s">
        <v>615</v>
      </c>
      <c r="F481" s="3">
        <v>24</v>
      </c>
      <c r="G481" s="3" t="s">
        <v>655</v>
      </c>
      <c r="H481" s="3">
        <v>1</v>
      </c>
    </row>
    <row r="482" spans="1:8" x14ac:dyDescent="0.3">
      <c r="A482" s="4">
        <v>38102</v>
      </c>
      <c r="B482" s="3">
        <v>2004</v>
      </c>
      <c r="C482" s="3">
        <v>4</v>
      </c>
      <c r="D482" s="3" t="s">
        <v>661</v>
      </c>
      <c r="E482" s="3" t="s">
        <v>615</v>
      </c>
      <c r="F482" s="3">
        <v>25</v>
      </c>
      <c r="G482" s="3" t="s">
        <v>656</v>
      </c>
      <c r="H482" s="3">
        <v>1</v>
      </c>
    </row>
    <row r="483" spans="1:8" x14ac:dyDescent="0.3">
      <c r="A483" s="4">
        <v>38103</v>
      </c>
      <c r="B483" s="3">
        <v>2004</v>
      </c>
      <c r="C483" s="3">
        <v>4</v>
      </c>
      <c r="D483" s="3" t="s">
        <v>661</v>
      </c>
      <c r="E483" s="3" t="s">
        <v>615</v>
      </c>
      <c r="F483" s="3">
        <v>26</v>
      </c>
      <c r="G483" s="3" t="s">
        <v>657</v>
      </c>
      <c r="H483" s="3">
        <v>0</v>
      </c>
    </row>
    <row r="484" spans="1:8" x14ac:dyDescent="0.3">
      <c r="A484" s="4">
        <v>38104</v>
      </c>
      <c r="B484" s="3">
        <v>2004</v>
      </c>
      <c r="C484" s="3">
        <v>4</v>
      </c>
      <c r="D484" s="3" t="s">
        <v>661</v>
      </c>
      <c r="E484" s="3" t="s">
        <v>615</v>
      </c>
      <c r="F484" s="3">
        <v>27</v>
      </c>
      <c r="G484" s="3" t="s">
        <v>658</v>
      </c>
      <c r="H484" s="3">
        <v>0</v>
      </c>
    </row>
    <row r="485" spans="1:8" x14ac:dyDescent="0.3">
      <c r="A485" s="4">
        <v>38105</v>
      </c>
      <c r="B485" s="3">
        <v>2004</v>
      </c>
      <c r="C485" s="3">
        <v>4</v>
      </c>
      <c r="D485" s="3" t="s">
        <v>661</v>
      </c>
      <c r="E485" s="3" t="s">
        <v>615</v>
      </c>
      <c r="F485" s="3">
        <v>28</v>
      </c>
      <c r="G485" s="3" t="s">
        <v>652</v>
      </c>
      <c r="H485" s="3">
        <v>0</v>
      </c>
    </row>
    <row r="486" spans="1:8" x14ac:dyDescent="0.3">
      <c r="A486" s="4">
        <v>38106</v>
      </c>
      <c r="B486" s="3">
        <v>2004</v>
      </c>
      <c r="C486" s="3">
        <v>4</v>
      </c>
      <c r="D486" s="3" t="s">
        <v>661</v>
      </c>
      <c r="E486" s="3" t="s">
        <v>615</v>
      </c>
      <c r="F486" s="3">
        <v>29</v>
      </c>
      <c r="G486" s="3" t="s">
        <v>653</v>
      </c>
      <c r="H486" s="3">
        <v>0</v>
      </c>
    </row>
    <row r="487" spans="1:8" x14ac:dyDescent="0.3">
      <c r="A487" s="4">
        <v>38107</v>
      </c>
      <c r="B487" s="3">
        <v>2004</v>
      </c>
      <c r="C487" s="3">
        <v>4</v>
      </c>
      <c r="D487" s="3" t="s">
        <v>661</v>
      </c>
      <c r="E487" s="3" t="s">
        <v>615</v>
      </c>
      <c r="F487" s="3">
        <v>30</v>
      </c>
      <c r="G487" s="3" t="s">
        <v>654</v>
      </c>
      <c r="H487" s="3">
        <v>0</v>
      </c>
    </row>
    <row r="488" spans="1:8" x14ac:dyDescent="0.3">
      <c r="A488" s="4">
        <v>38108</v>
      </c>
      <c r="B488" s="3">
        <v>2004</v>
      </c>
      <c r="C488" s="3">
        <v>5</v>
      </c>
      <c r="D488" s="3" t="s">
        <v>662</v>
      </c>
      <c r="E488" s="3" t="s">
        <v>615</v>
      </c>
      <c r="F488" s="3">
        <v>1</v>
      </c>
      <c r="G488" s="3" t="s">
        <v>655</v>
      </c>
      <c r="H488" s="3">
        <v>1</v>
      </c>
    </row>
    <row r="489" spans="1:8" x14ac:dyDescent="0.3">
      <c r="A489" s="4">
        <v>38109</v>
      </c>
      <c r="B489" s="3">
        <v>2004</v>
      </c>
      <c r="C489" s="3">
        <v>5</v>
      </c>
      <c r="D489" s="3" t="s">
        <v>662</v>
      </c>
      <c r="E489" s="3" t="s">
        <v>615</v>
      </c>
      <c r="F489" s="3">
        <v>2</v>
      </c>
      <c r="G489" s="3" t="s">
        <v>656</v>
      </c>
      <c r="H489" s="3">
        <v>1</v>
      </c>
    </row>
    <row r="490" spans="1:8" x14ac:dyDescent="0.3">
      <c r="A490" s="4">
        <v>38110</v>
      </c>
      <c r="B490" s="3">
        <v>2004</v>
      </c>
      <c r="C490" s="3">
        <v>5</v>
      </c>
      <c r="D490" s="3" t="s">
        <v>662</v>
      </c>
      <c r="E490" s="3" t="s">
        <v>615</v>
      </c>
      <c r="F490" s="3">
        <v>3</v>
      </c>
      <c r="G490" s="3" t="s">
        <v>657</v>
      </c>
      <c r="H490" s="3">
        <v>0</v>
      </c>
    </row>
    <row r="491" spans="1:8" x14ac:dyDescent="0.3">
      <c r="A491" s="4">
        <v>38111</v>
      </c>
      <c r="B491" s="3">
        <v>2004</v>
      </c>
      <c r="C491" s="3">
        <v>5</v>
      </c>
      <c r="D491" s="3" t="s">
        <v>662</v>
      </c>
      <c r="E491" s="3" t="s">
        <v>615</v>
      </c>
      <c r="F491" s="3">
        <v>4</v>
      </c>
      <c r="G491" s="3" t="s">
        <v>658</v>
      </c>
      <c r="H491" s="3">
        <v>0</v>
      </c>
    </row>
    <row r="492" spans="1:8" x14ac:dyDescent="0.3">
      <c r="A492" s="4">
        <v>38112</v>
      </c>
      <c r="B492" s="3">
        <v>2004</v>
      </c>
      <c r="C492" s="3">
        <v>5</v>
      </c>
      <c r="D492" s="3" t="s">
        <v>662</v>
      </c>
      <c r="E492" s="3" t="s">
        <v>615</v>
      </c>
      <c r="F492" s="3">
        <v>5</v>
      </c>
      <c r="G492" s="3" t="s">
        <v>652</v>
      </c>
      <c r="H492" s="3">
        <v>0</v>
      </c>
    </row>
    <row r="493" spans="1:8" x14ac:dyDescent="0.3">
      <c r="A493" s="4">
        <v>38113</v>
      </c>
      <c r="B493" s="3">
        <v>2004</v>
      </c>
      <c r="C493" s="3">
        <v>5</v>
      </c>
      <c r="D493" s="3" t="s">
        <v>662</v>
      </c>
      <c r="E493" s="3" t="s">
        <v>615</v>
      </c>
      <c r="F493" s="3">
        <v>6</v>
      </c>
      <c r="G493" s="3" t="s">
        <v>653</v>
      </c>
      <c r="H493" s="3">
        <v>0</v>
      </c>
    </row>
    <row r="494" spans="1:8" x14ac:dyDescent="0.3">
      <c r="A494" s="4">
        <v>38114</v>
      </c>
      <c r="B494" s="3">
        <v>2004</v>
      </c>
      <c r="C494" s="3">
        <v>5</v>
      </c>
      <c r="D494" s="3" t="s">
        <v>662</v>
      </c>
      <c r="E494" s="3" t="s">
        <v>615</v>
      </c>
      <c r="F494" s="3">
        <v>7</v>
      </c>
      <c r="G494" s="3" t="s">
        <v>654</v>
      </c>
      <c r="H494" s="3">
        <v>0</v>
      </c>
    </row>
    <row r="495" spans="1:8" x14ac:dyDescent="0.3">
      <c r="A495" s="4">
        <v>38115</v>
      </c>
      <c r="B495" s="3">
        <v>2004</v>
      </c>
      <c r="C495" s="3">
        <v>5</v>
      </c>
      <c r="D495" s="3" t="s">
        <v>662</v>
      </c>
      <c r="E495" s="3" t="s">
        <v>615</v>
      </c>
      <c r="F495" s="3">
        <v>8</v>
      </c>
      <c r="G495" s="3" t="s">
        <v>655</v>
      </c>
      <c r="H495" s="3">
        <v>1</v>
      </c>
    </row>
    <row r="496" spans="1:8" x14ac:dyDescent="0.3">
      <c r="A496" s="4">
        <v>38116</v>
      </c>
      <c r="B496" s="3">
        <v>2004</v>
      </c>
      <c r="C496" s="3">
        <v>5</v>
      </c>
      <c r="D496" s="3" t="s">
        <v>662</v>
      </c>
      <c r="E496" s="3" t="s">
        <v>615</v>
      </c>
      <c r="F496" s="3">
        <v>9</v>
      </c>
      <c r="G496" s="3" t="s">
        <v>656</v>
      </c>
      <c r="H496" s="3">
        <v>1</v>
      </c>
    </row>
    <row r="497" spans="1:8" x14ac:dyDescent="0.3">
      <c r="A497" s="4">
        <v>38117</v>
      </c>
      <c r="B497" s="3">
        <v>2004</v>
      </c>
      <c r="C497" s="3">
        <v>5</v>
      </c>
      <c r="D497" s="3" t="s">
        <v>662</v>
      </c>
      <c r="E497" s="3" t="s">
        <v>615</v>
      </c>
      <c r="F497" s="3">
        <v>10</v>
      </c>
      <c r="G497" s="3" t="s">
        <v>657</v>
      </c>
      <c r="H497" s="3">
        <v>0</v>
      </c>
    </row>
    <row r="498" spans="1:8" x14ac:dyDescent="0.3">
      <c r="A498" s="4">
        <v>38118</v>
      </c>
      <c r="B498" s="3">
        <v>2004</v>
      </c>
      <c r="C498" s="3">
        <v>5</v>
      </c>
      <c r="D498" s="3" t="s">
        <v>662</v>
      </c>
      <c r="E498" s="3" t="s">
        <v>615</v>
      </c>
      <c r="F498" s="3">
        <v>11</v>
      </c>
      <c r="G498" s="3" t="s">
        <v>658</v>
      </c>
      <c r="H498" s="3">
        <v>0</v>
      </c>
    </row>
    <row r="499" spans="1:8" x14ac:dyDescent="0.3">
      <c r="A499" s="4">
        <v>38119</v>
      </c>
      <c r="B499" s="3">
        <v>2004</v>
      </c>
      <c r="C499" s="3">
        <v>5</v>
      </c>
      <c r="D499" s="3" t="s">
        <v>662</v>
      </c>
      <c r="E499" s="3" t="s">
        <v>615</v>
      </c>
      <c r="F499" s="3">
        <v>12</v>
      </c>
      <c r="G499" s="3" t="s">
        <v>652</v>
      </c>
      <c r="H499" s="3">
        <v>0</v>
      </c>
    </row>
    <row r="500" spans="1:8" x14ac:dyDescent="0.3">
      <c r="A500" s="4">
        <v>38120</v>
      </c>
      <c r="B500" s="3">
        <v>2004</v>
      </c>
      <c r="C500" s="3">
        <v>5</v>
      </c>
      <c r="D500" s="3" t="s">
        <v>662</v>
      </c>
      <c r="E500" s="3" t="s">
        <v>615</v>
      </c>
      <c r="F500" s="3">
        <v>13</v>
      </c>
      <c r="G500" s="3" t="s">
        <v>653</v>
      </c>
      <c r="H500" s="3">
        <v>0</v>
      </c>
    </row>
    <row r="501" spans="1:8" x14ac:dyDescent="0.3">
      <c r="A501" s="4">
        <v>38121</v>
      </c>
      <c r="B501" s="3">
        <v>2004</v>
      </c>
      <c r="C501" s="3">
        <v>5</v>
      </c>
      <c r="D501" s="3" t="s">
        <v>662</v>
      </c>
      <c r="E501" s="3" t="s">
        <v>615</v>
      </c>
      <c r="F501" s="3">
        <v>14</v>
      </c>
      <c r="G501" s="3" t="s">
        <v>654</v>
      </c>
      <c r="H501" s="3">
        <v>0</v>
      </c>
    </row>
    <row r="502" spans="1:8" x14ac:dyDescent="0.3">
      <c r="A502" s="4">
        <v>38122</v>
      </c>
      <c r="B502" s="3">
        <v>2004</v>
      </c>
      <c r="C502" s="3">
        <v>5</v>
      </c>
      <c r="D502" s="3" t="s">
        <v>662</v>
      </c>
      <c r="E502" s="3" t="s">
        <v>615</v>
      </c>
      <c r="F502" s="3">
        <v>15</v>
      </c>
      <c r="G502" s="3" t="s">
        <v>655</v>
      </c>
      <c r="H502" s="3">
        <v>1</v>
      </c>
    </row>
    <row r="503" spans="1:8" x14ac:dyDescent="0.3">
      <c r="A503" s="4">
        <v>38123</v>
      </c>
      <c r="B503" s="3">
        <v>2004</v>
      </c>
      <c r="C503" s="3">
        <v>5</v>
      </c>
      <c r="D503" s="3" t="s">
        <v>662</v>
      </c>
      <c r="E503" s="3" t="s">
        <v>615</v>
      </c>
      <c r="F503" s="3">
        <v>16</v>
      </c>
      <c r="G503" s="3" t="s">
        <v>656</v>
      </c>
      <c r="H503" s="3">
        <v>1</v>
      </c>
    </row>
    <row r="504" spans="1:8" x14ac:dyDescent="0.3">
      <c r="A504" s="4">
        <v>38124</v>
      </c>
      <c r="B504" s="3">
        <v>2004</v>
      </c>
      <c r="C504" s="3">
        <v>5</v>
      </c>
      <c r="D504" s="3" t="s">
        <v>662</v>
      </c>
      <c r="E504" s="3" t="s">
        <v>615</v>
      </c>
      <c r="F504" s="3">
        <v>17</v>
      </c>
      <c r="G504" s="3" t="s">
        <v>657</v>
      </c>
      <c r="H504" s="3">
        <v>0</v>
      </c>
    </row>
    <row r="505" spans="1:8" x14ac:dyDescent="0.3">
      <c r="A505" s="4">
        <v>38125</v>
      </c>
      <c r="B505" s="3">
        <v>2004</v>
      </c>
      <c r="C505" s="3">
        <v>5</v>
      </c>
      <c r="D505" s="3" t="s">
        <v>662</v>
      </c>
      <c r="E505" s="3" t="s">
        <v>615</v>
      </c>
      <c r="F505" s="3">
        <v>18</v>
      </c>
      <c r="G505" s="3" t="s">
        <v>658</v>
      </c>
      <c r="H505" s="3">
        <v>0</v>
      </c>
    </row>
    <row r="506" spans="1:8" x14ac:dyDescent="0.3">
      <c r="A506" s="4">
        <v>38126</v>
      </c>
      <c r="B506" s="3">
        <v>2004</v>
      </c>
      <c r="C506" s="3">
        <v>5</v>
      </c>
      <c r="D506" s="3" t="s">
        <v>662</v>
      </c>
      <c r="E506" s="3" t="s">
        <v>615</v>
      </c>
      <c r="F506" s="3">
        <v>19</v>
      </c>
      <c r="G506" s="3" t="s">
        <v>652</v>
      </c>
      <c r="H506" s="3">
        <v>0</v>
      </c>
    </row>
    <row r="507" spans="1:8" x14ac:dyDescent="0.3">
      <c r="A507" s="4">
        <v>38127</v>
      </c>
      <c r="B507" s="3">
        <v>2004</v>
      </c>
      <c r="C507" s="3">
        <v>5</v>
      </c>
      <c r="D507" s="3" t="s">
        <v>662</v>
      </c>
      <c r="E507" s="3" t="s">
        <v>615</v>
      </c>
      <c r="F507" s="3">
        <v>20</v>
      </c>
      <c r="G507" s="3" t="s">
        <v>653</v>
      </c>
      <c r="H507" s="3">
        <v>0</v>
      </c>
    </row>
    <row r="508" spans="1:8" x14ac:dyDescent="0.3">
      <c r="A508" s="4">
        <v>38128</v>
      </c>
      <c r="B508" s="3">
        <v>2004</v>
      </c>
      <c r="C508" s="3">
        <v>5</v>
      </c>
      <c r="D508" s="3" t="s">
        <v>662</v>
      </c>
      <c r="E508" s="3" t="s">
        <v>615</v>
      </c>
      <c r="F508" s="3">
        <v>21</v>
      </c>
      <c r="G508" s="3" t="s">
        <v>654</v>
      </c>
      <c r="H508" s="3">
        <v>0</v>
      </c>
    </row>
    <row r="509" spans="1:8" x14ac:dyDescent="0.3">
      <c r="A509" s="4">
        <v>38129</v>
      </c>
      <c r="B509" s="3">
        <v>2004</v>
      </c>
      <c r="C509" s="3">
        <v>5</v>
      </c>
      <c r="D509" s="3" t="s">
        <v>662</v>
      </c>
      <c r="E509" s="3" t="s">
        <v>615</v>
      </c>
      <c r="F509" s="3">
        <v>22</v>
      </c>
      <c r="G509" s="3" t="s">
        <v>655</v>
      </c>
      <c r="H509" s="3">
        <v>1</v>
      </c>
    </row>
    <row r="510" spans="1:8" x14ac:dyDescent="0.3">
      <c r="A510" s="4">
        <v>38130</v>
      </c>
      <c r="B510" s="3">
        <v>2004</v>
      </c>
      <c r="C510" s="3">
        <v>5</v>
      </c>
      <c r="D510" s="3" t="s">
        <v>662</v>
      </c>
      <c r="E510" s="3" t="s">
        <v>615</v>
      </c>
      <c r="F510" s="3">
        <v>23</v>
      </c>
      <c r="G510" s="3" t="s">
        <v>656</v>
      </c>
      <c r="H510" s="3">
        <v>1</v>
      </c>
    </row>
    <row r="511" spans="1:8" x14ac:dyDescent="0.3">
      <c r="A511" s="4">
        <v>38131</v>
      </c>
      <c r="B511" s="3">
        <v>2004</v>
      </c>
      <c r="C511" s="3">
        <v>5</v>
      </c>
      <c r="D511" s="3" t="s">
        <v>662</v>
      </c>
      <c r="E511" s="3" t="s">
        <v>615</v>
      </c>
      <c r="F511" s="3">
        <v>24</v>
      </c>
      <c r="G511" s="3" t="s">
        <v>657</v>
      </c>
      <c r="H511" s="3">
        <v>0</v>
      </c>
    </row>
    <row r="512" spans="1:8" x14ac:dyDescent="0.3">
      <c r="A512" s="4">
        <v>38132</v>
      </c>
      <c r="B512" s="3">
        <v>2004</v>
      </c>
      <c r="C512" s="3">
        <v>5</v>
      </c>
      <c r="D512" s="3" t="s">
        <v>662</v>
      </c>
      <c r="E512" s="3" t="s">
        <v>615</v>
      </c>
      <c r="F512" s="3">
        <v>25</v>
      </c>
      <c r="G512" s="3" t="s">
        <v>658</v>
      </c>
      <c r="H512" s="3">
        <v>0</v>
      </c>
    </row>
    <row r="513" spans="1:8" x14ac:dyDescent="0.3">
      <c r="A513" s="4">
        <v>38133</v>
      </c>
      <c r="B513" s="3">
        <v>2004</v>
      </c>
      <c r="C513" s="3">
        <v>5</v>
      </c>
      <c r="D513" s="3" t="s">
        <v>662</v>
      </c>
      <c r="E513" s="3" t="s">
        <v>615</v>
      </c>
      <c r="F513" s="3">
        <v>26</v>
      </c>
      <c r="G513" s="3" t="s">
        <v>652</v>
      </c>
      <c r="H513" s="3">
        <v>0</v>
      </c>
    </row>
    <row r="514" spans="1:8" x14ac:dyDescent="0.3">
      <c r="A514" s="4">
        <v>38134</v>
      </c>
      <c r="B514" s="3">
        <v>2004</v>
      </c>
      <c r="C514" s="3">
        <v>5</v>
      </c>
      <c r="D514" s="3" t="s">
        <v>662</v>
      </c>
      <c r="E514" s="3" t="s">
        <v>615</v>
      </c>
      <c r="F514" s="3">
        <v>27</v>
      </c>
      <c r="G514" s="3" t="s">
        <v>653</v>
      </c>
      <c r="H514" s="3">
        <v>0</v>
      </c>
    </row>
    <row r="515" spans="1:8" x14ac:dyDescent="0.3">
      <c r="A515" s="4">
        <v>38135</v>
      </c>
      <c r="B515" s="3">
        <v>2004</v>
      </c>
      <c r="C515" s="3">
        <v>5</v>
      </c>
      <c r="D515" s="3" t="s">
        <v>662</v>
      </c>
      <c r="E515" s="3" t="s">
        <v>615</v>
      </c>
      <c r="F515" s="3">
        <v>28</v>
      </c>
      <c r="G515" s="3" t="s">
        <v>654</v>
      </c>
      <c r="H515" s="3">
        <v>0</v>
      </c>
    </row>
    <row r="516" spans="1:8" x14ac:dyDescent="0.3">
      <c r="A516" s="4">
        <v>38136</v>
      </c>
      <c r="B516" s="3">
        <v>2004</v>
      </c>
      <c r="C516" s="3">
        <v>5</v>
      </c>
      <c r="D516" s="3" t="s">
        <v>662</v>
      </c>
      <c r="E516" s="3" t="s">
        <v>615</v>
      </c>
      <c r="F516" s="3">
        <v>29</v>
      </c>
      <c r="G516" s="3" t="s">
        <v>655</v>
      </c>
      <c r="H516" s="3">
        <v>1</v>
      </c>
    </row>
    <row r="517" spans="1:8" x14ac:dyDescent="0.3">
      <c r="A517" s="4">
        <v>38137</v>
      </c>
      <c r="B517" s="3">
        <v>2004</v>
      </c>
      <c r="C517" s="3">
        <v>5</v>
      </c>
      <c r="D517" s="3" t="s">
        <v>662</v>
      </c>
      <c r="E517" s="3" t="s">
        <v>615</v>
      </c>
      <c r="F517" s="3">
        <v>30</v>
      </c>
      <c r="G517" s="3" t="s">
        <v>656</v>
      </c>
      <c r="H517" s="3">
        <v>1</v>
      </c>
    </row>
    <row r="518" spans="1:8" x14ac:dyDescent="0.3">
      <c r="A518" s="4">
        <v>38138</v>
      </c>
      <c r="B518" s="3">
        <v>2004</v>
      </c>
      <c r="C518" s="3">
        <v>5</v>
      </c>
      <c r="D518" s="3" t="s">
        <v>662</v>
      </c>
      <c r="E518" s="3" t="s">
        <v>615</v>
      </c>
      <c r="F518" s="3">
        <v>31</v>
      </c>
      <c r="G518" s="3" t="s">
        <v>657</v>
      </c>
      <c r="H518" s="3">
        <v>0</v>
      </c>
    </row>
    <row r="519" spans="1:8" x14ac:dyDescent="0.3">
      <c r="A519" s="4">
        <v>38139</v>
      </c>
      <c r="B519" s="3">
        <v>2004</v>
      </c>
      <c r="C519" s="3">
        <v>6</v>
      </c>
      <c r="D519" s="3" t="s">
        <v>663</v>
      </c>
      <c r="E519" s="3" t="s">
        <v>615</v>
      </c>
      <c r="F519" s="3">
        <v>1</v>
      </c>
      <c r="G519" s="3" t="s">
        <v>658</v>
      </c>
      <c r="H519" s="3">
        <v>0</v>
      </c>
    </row>
    <row r="520" spans="1:8" x14ac:dyDescent="0.3">
      <c r="A520" s="4">
        <v>38140</v>
      </c>
      <c r="B520" s="3">
        <v>2004</v>
      </c>
      <c r="C520" s="3">
        <v>6</v>
      </c>
      <c r="D520" s="3" t="s">
        <v>663</v>
      </c>
      <c r="E520" s="3" t="s">
        <v>615</v>
      </c>
      <c r="F520" s="3">
        <v>2</v>
      </c>
      <c r="G520" s="3" t="s">
        <v>652</v>
      </c>
      <c r="H520" s="3">
        <v>0</v>
      </c>
    </row>
    <row r="521" spans="1:8" x14ac:dyDescent="0.3">
      <c r="A521" s="4">
        <v>38141</v>
      </c>
      <c r="B521" s="3">
        <v>2004</v>
      </c>
      <c r="C521" s="3">
        <v>6</v>
      </c>
      <c r="D521" s="3" t="s">
        <v>663</v>
      </c>
      <c r="E521" s="3" t="s">
        <v>615</v>
      </c>
      <c r="F521" s="3">
        <v>3</v>
      </c>
      <c r="G521" s="3" t="s">
        <v>653</v>
      </c>
      <c r="H521" s="3">
        <v>0</v>
      </c>
    </row>
    <row r="522" spans="1:8" x14ac:dyDescent="0.3">
      <c r="A522" s="4">
        <v>38142</v>
      </c>
      <c r="B522" s="3">
        <v>2004</v>
      </c>
      <c r="C522" s="3">
        <v>6</v>
      </c>
      <c r="D522" s="3" t="s">
        <v>663</v>
      </c>
      <c r="E522" s="3" t="s">
        <v>615</v>
      </c>
      <c r="F522" s="3">
        <v>4</v>
      </c>
      <c r="G522" s="3" t="s">
        <v>654</v>
      </c>
      <c r="H522" s="3">
        <v>0</v>
      </c>
    </row>
    <row r="523" spans="1:8" x14ac:dyDescent="0.3">
      <c r="A523" s="4">
        <v>38143</v>
      </c>
      <c r="B523" s="3">
        <v>2004</v>
      </c>
      <c r="C523" s="3">
        <v>6</v>
      </c>
      <c r="D523" s="3" t="s">
        <v>663</v>
      </c>
      <c r="E523" s="3" t="s">
        <v>615</v>
      </c>
      <c r="F523" s="3">
        <v>5</v>
      </c>
      <c r="G523" s="3" t="s">
        <v>655</v>
      </c>
      <c r="H523" s="3">
        <v>1</v>
      </c>
    </row>
    <row r="524" spans="1:8" x14ac:dyDescent="0.3">
      <c r="A524" s="4">
        <v>38144</v>
      </c>
      <c r="B524" s="3">
        <v>2004</v>
      </c>
      <c r="C524" s="3">
        <v>6</v>
      </c>
      <c r="D524" s="3" t="s">
        <v>663</v>
      </c>
      <c r="E524" s="3" t="s">
        <v>615</v>
      </c>
      <c r="F524" s="3">
        <v>6</v>
      </c>
      <c r="G524" s="3" t="s">
        <v>656</v>
      </c>
      <c r="H524" s="3">
        <v>1</v>
      </c>
    </row>
    <row r="525" spans="1:8" x14ac:dyDescent="0.3">
      <c r="A525" s="4">
        <v>38145</v>
      </c>
      <c r="B525" s="3">
        <v>2004</v>
      </c>
      <c r="C525" s="3">
        <v>6</v>
      </c>
      <c r="D525" s="3" t="s">
        <v>663</v>
      </c>
      <c r="E525" s="3" t="s">
        <v>615</v>
      </c>
      <c r="F525" s="3">
        <v>7</v>
      </c>
      <c r="G525" s="3" t="s">
        <v>657</v>
      </c>
      <c r="H525" s="3">
        <v>0</v>
      </c>
    </row>
    <row r="526" spans="1:8" x14ac:dyDescent="0.3">
      <c r="A526" s="4">
        <v>38146</v>
      </c>
      <c r="B526" s="3">
        <v>2004</v>
      </c>
      <c r="C526" s="3">
        <v>6</v>
      </c>
      <c r="D526" s="3" t="s">
        <v>663</v>
      </c>
      <c r="E526" s="3" t="s">
        <v>615</v>
      </c>
      <c r="F526" s="3">
        <v>8</v>
      </c>
      <c r="G526" s="3" t="s">
        <v>658</v>
      </c>
      <c r="H526" s="3">
        <v>0</v>
      </c>
    </row>
    <row r="527" spans="1:8" x14ac:dyDescent="0.3">
      <c r="A527" s="4">
        <v>38147</v>
      </c>
      <c r="B527" s="3">
        <v>2004</v>
      </c>
      <c r="C527" s="3">
        <v>6</v>
      </c>
      <c r="D527" s="3" t="s">
        <v>663</v>
      </c>
      <c r="E527" s="3" t="s">
        <v>615</v>
      </c>
      <c r="F527" s="3">
        <v>9</v>
      </c>
      <c r="G527" s="3" t="s">
        <v>652</v>
      </c>
      <c r="H527" s="3">
        <v>0</v>
      </c>
    </row>
    <row r="528" spans="1:8" x14ac:dyDescent="0.3">
      <c r="A528" s="4">
        <v>38148</v>
      </c>
      <c r="B528" s="3">
        <v>2004</v>
      </c>
      <c r="C528" s="3">
        <v>6</v>
      </c>
      <c r="D528" s="3" t="s">
        <v>663</v>
      </c>
      <c r="E528" s="3" t="s">
        <v>615</v>
      </c>
      <c r="F528" s="3">
        <v>10</v>
      </c>
      <c r="G528" s="3" t="s">
        <v>653</v>
      </c>
      <c r="H528" s="3">
        <v>0</v>
      </c>
    </row>
    <row r="529" spans="1:8" x14ac:dyDescent="0.3">
      <c r="A529" s="4">
        <v>38149</v>
      </c>
      <c r="B529" s="3">
        <v>2004</v>
      </c>
      <c r="C529" s="3">
        <v>6</v>
      </c>
      <c r="D529" s="3" t="s">
        <v>663</v>
      </c>
      <c r="E529" s="3" t="s">
        <v>615</v>
      </c>
      <c r="F529" s="3">
        <v>11</v>
      </c>
      <c r="G529" s="3" t="s">
        <v>654</v>
      </c>
      <c r="H529" s="3">
        <v>0</v>
      </c>
    </row>
    <row r="530" spans="1:8" x14ac:dyDescent="0.3">
      <c r="A530" s="4">
        <v>38150</v>
      </c>
      <c r="B530" s="3">
        <v>2004</v>
      </c>
      <c r="C530" s="3">
        <v>6</v>
      </c>
      <c r="D530" s="3" t="s">
        <v>663</v>
      </c>
      <c r="E530" s="3" t="s">
        <v>615</v>
      </c>
      <c r="F530" s="3">
        <v>12</v>
      </c>
      <c r="G530" s="3" t="s">
        <v>655</v>
      </c>
      <c r="H530" s="3">
        <v>1</v>
      </c>
    </row>
    <row r="531" spans="1:8" x14ac:dyDescent="0.3">
      <c r="A531" s="4">
        <v>38151</v>
      </c>
      <c r="B531" s="3">
        <v>2004</v>
      </c>
      <c r="C531" s="3">
        <v>6</v>
      </c>
      <c r="D531" s="3" t="s">
        <v>663</v>
      </c>
      <c r="E531" s="3" t="s">
        <v>615</v>
      </c>
      <c r="F531" s="3">
        <v>13</v>
      </c>
      <c r="G531" s="3" t="s">
        <v>656</v>
      </c>
      <c r="H531" s="3">
        <v>1</v>
      </c>
    </row>
    <row r="532" spans="1:8" x14ac:dyDescent="0.3">
      <c r="A532" s="4">
        <v>38152</v>
      </c>
      <c r="B532" s="3">
        <v>2004</v>
      </c>
      <c r="C532" s="3">
        <v>6</v>
      </c>
      <c r="D532" s="3" t="s">
        <v>663</v>
      </c>
      <c r="E532" s="3" t="s">
        <v>615</v>
      </c>
      <c r="F532" s="3">
        <v>14</v>
      </c>
      <c r="G532" s="3" t="s">
        <v>657</v>
      </c>
      <c r="H532" s="3">
        <v>0</v>
      </c>
    </row>
    <row r="533" spans="1:8" x14ac:dyDescent="0.3">
      <c r="A533" s="4">
        <v>38153</v>
      </c>
      <c r="B533" s="3">
        <v>2004</v>
      </c>
      <c r="C533" s="3">
        <v>6</v>
      </c>
      <c r="D533" s="3" t="s">
        <v>663</v>
      </c>
      <c r="E533" s="3" t="s">
        <v>615</v>
      </c>
      <c r="F533" s="3">
        <v>15</v>
      </c>
      <c r="G533" s="3" t="s">
        <v>658</v>
      </c>
      <c r="H533" s="3">
        <v>0</v>
      </c>
    </row>
    <row r="534" spans="1:8" x14ac:dyDescent="0.3">
      <c r="A534" s="4">
        <v>38154</v>
      </c>
      <c r="B534" s="3">
        <v>2004</v>
      </c>
      <c r="C534" s="3">
        <v>6</v>
      </c>
      <c r="D534" s="3" t="s">
        <v>663</v>
      </c>
      <c r="E534" s="3" t="s">
        <v>615</v>
      </c>
      <c r="F534" s="3">
        <v>16</v>
      </c>
      <c r="G534" s="3" t="s">
        <v>652</v>
      </c>
      <c r="H534" s="3">
        <v>0</v>
      </c>
    </row>
    <row r="535" spans="1:8" x14ac:dyDescent="0.3">
      <c r="A535" s="4">
        <v>38155</v>
      </c>
      <c r="B535" s="3">
        <v>2004</v>
      </c>
      <c r="C535" s="3">
        <v>6</v>
      </c>
      <c r="D535" s="3" t="s">
        <v>663</v>
      </c>
      <c r="E535" s="3" t="s">
        <v>615</v>
      </c>
      <c r="F535" s="3">
        <v>17</v>
      </c>
      <c r="G535" s="3" t="s">
        <v>653</v>
      </c>
      <c r="H535" s="3">
        <v>0</v>
      </c>
    </row>
    <row r="536" spans="1:8" x14ac:dyDescent="0.3">
      <c r="A536" s="4">
        <v>38156</v>
      </c>
      <c r="B536" s="3">
        <v>2004</v>
      </c>
      <c r="C536" s="3">
        <v>6</v>
      </c>
      <c r="D536" s="3" t="s">
        <v>663</v>
      </c>
      <c r="E536" s="3" t="s">
        <v>615</v>
      </c>
      <c r="F536" s="3">
        <v>18</v>
      </c>
      <c r="G536" s="3" t="s">
        <v>654</v>
      </c>
      <c r="H536" s="3">
        <v>0</v>
      </c>
    </row>
    <row r="537" spans="1:8" x14ac:dyDescent="0.3">
      <c r="A537" s="4">
        <v>38157</v>
      </c>
      <c r="B537" s="3">
        <v>2004</v>
      </c>
      <c r="C537" s="3">
        <v>6</v>
      </c>
      <c r="D537" s="3" t="s">
        <v>663</v>
      </c>
      <c r="E537" s="3" t="s">
        <v>615</v>
      </c>
      <c r="F537" s="3">
        <v>19</v>
      </c>
      <c r="G537" s="3" t="s">
        <v>655</v>
      </c>
      <c r="H537" s="3">
        <v>1</v>
      </c>
    </row>
    <row r="538" spans="1:8" x14ac:dyDescent="0.3">
      <c r="A538" s="4">
        <v>38158</v>
      </c>
      <c r="B538" s="3">
        <v>2004</v>
      </c>
      <c r="C538" s="3">
        <v>6</v>
      </c>
      <c r="D538" s="3" t="s">
        <v>663</v>
      </c>
      <c r="E538" s="3" t="s">
        <v>615</v>
      </c>
      <c r="F538" s="3">
        <v>20</v>
      </c>
      <c r="G538" s="3" t="s">
        <v>656</v>
      </c>
      <c r="H538" s="3">
        <v>1</v>
      </c>
    </row>
    <row r="539" spans="1:8" x14ac:dyDescent="0.3">
      <c r="A539" s="4">
        <v>38159</v>
      </c>
      <c r="B539" s="3">
        <v>2004</v>
      </c>
      <c r="C539" s="3">
        <v>6</v>
      </c>
      <c r="D539" s="3" t="s">
        <v>663</v>
      </c>
      <c r="E539" s="3" t="s">
        <v>615</v>
      </c>
      <c r="F539" s="3">
        <v>21</v>
      </c>
      <c r="G539" s="3" t="s">
        <v>657</v>
      </c>
      <c r="H539" s="3">
        <v>0</v>
      </c>
    </row>
    <row r="540" spans="1:8" x14ac:dyDescent="0.3">
      <c r="A540" s="4">
        <v>38160</v>
      </c>
      <c r="B540" s="3">
        <v>2004</v>
      </c>
      <c r="C540" s="3">
        <v>6</v>
      </c>
      <c r="D540" s="3" t="s">
        <v>663</v>
      </c>
      <c r="E540" s="3" t="s">
        <v>615</v>
      </c>
      <c r="F540" s="3">
        <v>22</v>
      </c>
      <c r="G540" s="3" t="s">
        <v>658</v>
      </c>
      <c r="H540" s="3">
        <v>0</v>
      </c>
    </row>
    <row r="541" spans="1:8" x14ac:dyDescent="0.3">
      <c r="A541" s="4">
        <v>38161</v>
      </c>
      <c r="B541" s="3">
        <v>2004</v>
      </c>
      <c r="C541" s="3">
        <v>6</v>
      </c>
      <c r="D541" s="3" t="s">
        <v>663</v>
      </c>
      <c r="E541" s="3" t="s">
        <v>615</v>
      </c>
      <c r="F541" s="3">
        <v>23</v>
      </c>
      <c r="G541" s="3" t="s">
        <v>652</v>
      </c>
      <c r="H541" s="3">
        <v>0</v>
      </c>
    </row>
    <row r="542" spans="1:8" x14ac:dyDescent="0.3">
      <c r="A542" s="4">
        <v>38162</v>
      </c>
      <c r="B542" s="3">
        <v>2004</v>
      </c>
      <c r="C542" s="3">
        <v>6</v>
      </c>
      <c r="D542" s="3" t="s">
        <v>663</v>
      </c>
      <c r="E542" s="3" t="s">
        <v>615</v>
      </c>
      <c r="F542" s="3">
        <v>24</v>
      </c>
      <c r="G542" s="3" t="s">
        <v>653</v>
      </c>
      <c r="H542" s="3">
        <v>0</v>
      </c>
    </row>
    <row r="543" spans="1:8" x14ac:dyDescent="0.3">
      <c r="A543" s="4">
        <v>38163</v>
      </c>
      <c r="B543" s="3">
        <v>2004</v>
      </c>
      <c r="C543" s="3">
        <v>6</v>
      </c>
      <c r="D543" s="3" t="s">
        <v>663</v>
      </c>
      <c r="E543" s="3" t="s">
        <v>615</v>
      </c>
      <c r="F543" s="3">
        <v>25</v>
      </c>
      <c r="G543" s="3" t="s">
        <v>654</v>
      </c>
      <c r="H543" s="3">
        <v>0</v>
      </c>
    </row>
    <row r="544" spans="1:8" x14ac:dyDescent="0.3">
      <c r="A544" s="4">
        <v>38164</v>
      </c>
      <c r="B544" s="3">
        <v>2004</v>
      </c>
      <c r="C544" s="3">
        <v>6</v>
      </c>
      <c r="D544" s="3" t="s">
        <v>663</v>
      </c>
      <c r="E544" s="3" t="s">
        <v>615</v>
      </c>
      <c r="F544" s="3">
        <v>26</v>
      </c>
      <c r="G544" s="3" t="s">
        <v>655</v>
      </c>
      <c r="H544" s="3">
        <v>1</v>
      </c>
    </row>
    <row r="545" spans="1:8" x14ac:dyDescent="0.3">
      <c r="A545" s="4">
        <v>38165</v>
      </c>
      <c r="B545" s="3">
        <v>2004</v>
      </c>
      <c r="C545" s="3">
        <v>6</v>
      </c>
      <c r="D545" s="3" t="s">
        <v>663</v>
      </c>
      <c r="E545" s="3" t="s">
        <v>615</v>
      </c>
      <c r="F545" s="3">
        <v>27</v>
      </c>
      <c r="G545" s="3" t="s">
        <v>656</v>
      </c>
      <c r="H545" s="3">
        <v>1</v>
      </c>
    </row>
    <row r="546" spans="1:8" x14ac:dyDescent="0.3">
      <c r="A546" s="4">
        <v>38166</v>
      </c>
      <c r="B546" s="3">
        <v>2004</v>
      </c>
      <c r="C546" s="3">
        <v>6</v>
      </c>
      <c r="D546" s="3" t="s">
        <v>663</v>
      </c>
      <c r="E546" s="3" t="s">
        <v>615</v>
      </c>
      <c r="F546" s="3">
        <v>28</v>
      </c>
      <c r="G546" s="3" t="s">
        <v>657</v>
      </c>
      <c r="H546" s="3">
        <v>0</v>
      </c>
    </row>
    <row r="547" spans="1:8" x14ac:dyDescent="0.3">
      <c r="A547" s="4">
        <v>38167</v>
      </c>
      <c r="B547" s="3">
        <v>2004</v>
      </c>
      <c r="C547" s="3">
        <v>6</v>
      </c>
      <c r="D547" s="3" t="s">
        <v>663</v>
      </c>
      <c r="E547" s="3" t="s">
        <v>615</v>
      </c>
      <c r="F547" s="3">
        <v>29</v>
      </c>
      <c r="G547" s="3" t="s">
        <v>658</v>
      </c>
      <c r="H547" s="3">
        <v>0</v>
      </c>
    </row>
    <row r="548" spans="1:8" x14ac:dyDescent="0.3">
      <c r="A548" s="4">
        <v>38168</v>
      </c>
      <c r="B548" s="3">
        <v>2004</v>
      </c>
      <c r="C548" s="3">
        <v>6</v>
      </c>
      <c r="D548" s="3" t="s">
        <v>663</v>
      </c>
      <c r="E548" s="3" t="s">
        <v>615</v>
      </c>
      <c r="F548" s="3">
        <v>30</v>
      </c>
      <c r="G548" s="3" t="s">
        <v>652</v>
      </c>
      <c r="H548" s="3">
        <v>0</v>
      </c>
    </row>
    <row r="549" spans="1:8" x14ac:dyDescent="0.3">
      <c r="A549" s="4">
        <v>38169</v>
      </c>
      <c r="B549" s="3">
        <v>2004</v>
      </c>
      <c r="C549" s="3">
        <v>7</v>
      </c>
      <c r="D549" s="3" t="s">
        <v>664</v>
      </c>
      <c r="E549" s="3" t="s">
        <v>616</v>
      </c>
      <c r="F549" s="3">
        <v>1</v>
      </c>
      <c r="G549" s="3" t="s">
        <v>653</v>
      </c>
      <c r="H549" s="3">
        <v>0</v>
      </c>
    </row>
    <row r="550" spans="1:8" x14ac:dyDescent="0.3">
      <c r="A550" s="4">
        <v>38170</v>
      </c>
      <c r="B550" s="3">
        <v>2004</v>
      </c>
      <c r="C550" s="3">
        <v>7</v>
      </c>
      <c r="D550" s="3" t="s">
        <v>664</v>
      </c>
      <c r="E550" s="3" t="s">
        <v>616</v>
      </c>
      <c r="F550" s="3">
        <v>2</v>
      </c>
      <c r="G550" s="3" t="s">
        <v>654</v>
      </c>
      <c r="H550" s="3">
        <v>0</v>
      </c>
    </row>
    <row r="551" spans="1:8" x14ac:dyDescent="0.3">
      <c r="A551" s="4">
        <v>38171</v>
      </c>
      <c r="B551" s="3">
        <v>2004</v>
      </c>
      <c r="C551" s="3">
        <v>7</v>
      </c>
      <c r="D551" s="3" t="s">
        <v>664</v>
      </c>
      <c r="E551" s="3" t="s">
        <v>616</v>
      </c>
      <c r="F551" s="3">
        <v>3</v>
      </c>
      <c r="G551" s="3" t="s">
        <v>655</v>
      </c>
      <c r="H551" s="3">
        <v>1</v>
      </c>
    </row>
    <row r="552" spans="1:8" x14ac:dyDescent="0.3">
      <c r="A552" s="4">
        <v>38172</v>
      </c>
      <c r="B552" s="3">
        <v>2004</v>
      </c>
      <c r="C552" s="3">
        <v>7</v>
      </c>
      <c r="D552" s="3" t="s">
        <v>664</v>
      </c>
      <c r="E552" s="3" t="s">
        <v>616</v>
      </c>
      <c r="F552" s="3">
        <v>4</v>
      </c>
      <c r="G552" s="3" t="s">
        <v>656</v>
      </c>
      <c r="H552" s="3">
        <v>1</v>
      </c>
    </row>
    <row r="553" spans="1:8" x14ac:dyDescent="0.3">
      <c r="A553" s="4">
        <v>38173</v>
      </c>
      <c r="B553" s="3">
        <v>2004</v>
      </c>
      <c r="C553" s="3">
        <v>7</v>
      </c>
      <c r="D553" s="3" t="s">
        <v>664</v>
      </c>
      <c r="E553" s="3" t="s">
        <v>616</v>
      </c>
      <c r="F553" s="3">
        <v>5</v>
      </c>
      <c r="G553" s="3" t="s">
        <v>657</v>
      </c>
      <c r="H553" s="3">
        <v>0</v>
      </c>
    </row>
    <row r="554" spans="1:8" x14ac:dyDescent="0.3">
      <c r="A554" s="4">
        <v>38174</v>
      </c>
      <c r="B554" s="3">
        <v>2004</v>
      </c>
      <c r="C554" s="3">
        <v>7</v>
      </c>
      <c r="D554" s="3" t="s">
        <v>664</v>
      </c>
      <c r="E554" s="3" t="s">
        <v>616</v>
      </c>
      <c r="F554" s="3">
        <v>6</v>
      </c>
      <c r="G554" s="3" t="s">
        <v>658</v>
      </c>
      <c r="H554" s="3">
        <v>0</v>
      </c>
    </row>
    <row r="555" spans="1:8" x14ac:dyDescent="0.3">
      <c r="A555" s="4">
        <v>38175</v>
      </c>
      <c r="B555" s="3">
        <v>2004</v>
      </c>
      <c r="C555" s="3">
        <v>7</v>
      </c>
      <c r="D555" s="3" t="s">
        <v>664</v>
      </c>
      <c r="E555" s="3" t="s">
        <v>616</v>
      </c>
      <c r="F555" s="3">
        <v>7</v>
      </c>
      <c r="G555" s="3" t="s">
        <v>652</v>
      </c>
      <c r="H555" s="3">
        <v>0</v>
      </c>
    </row>
    <row r="556" spans="1:8" x14ac:dyDescent="0.3">
      <c r="A556" s="4">
        <v>38176</v>
      </c>
      <c r="B556" s="3">
        <v>2004</v>
      </c>
      <c r="C556" s="3">
        <v>7</v>
      </c>
      <c r="D556" s="3" t="s">
        <v>664</v>
      </c>
      <c r="E556" s="3" t="s">
        <v>616</v>
      </c>
      <c r="F556" s="3">
        <v>8</v>
      </c>
      <c r="G556" s="3" t="s">
        <v>653</v>
      </c>
      <c r="H556" s="3">
        <v>0</v>
      </c>
    </row>
    <row r="557" spans="1:8" x14ac:dyDescent="0.3">
      <c r="A557" s="4">
        <v>38177</v>
      </c>
      <c r="B557" s="3">
        <v>2004</v>
      </c>
      <c r="C557" s="3">
        <v>7</v>
      </c>
      <c r="D557" s="3" t="s">
        <v>664</v>
      </c>
      <c r="E557" s="3" t="s">
        <v>616</v>
      </c>
      <c r="F557" s="3">
        <v>9</v>
      </c>
      <c r="G557" s="3" t="s">
        <v>654</v>
      </c>
      <c r="H557" s="3">
        <v>0</v>
      </c>
    </row>
    <row r="558" spans="1:8" x14ac:dyDescent="0.3">
      <c r="A558" s="4">
        <v>38178</v>
      </c>
      <c r="B558" s="3">
        <v>2004</v>
      </c>
      <c r="C558" s="3">
        <v>7</v>
      </c>
      <c r="D558" s="3" t="s">
        <v>664</v>
      </c>
      <c r="E558" s="3" t="s">
        <v>616</v>
      </c>
      <c r="F558" s="3">
        <v>10</v>
      </c>
      <c r="G558" s="3" t="s">
        <v>655</v>
      </c>
      <c r="H558" s="3">
        <v>1</v>
      </c>
    </row>
    <row r="559" spans="1:8" x14ac:dyDescent="0.3">
      <c r="A559" s="4">
        <v>38179</v>
      </c>
      <c r="B559" s="3">
        <v>2004</v>
      </c>
      <c r="C559" s="3">
        <v>7</v>
      </c>
      <c r="D559" s="3" t="s">
        <v>664</v>
      </c>
      <c r="E559" s="3" t="s">
        <v>616</v>
      </c>
      <c r="F559" s="3">
        <v>11</v>
      </c>
      <c r="G559" s="3" t="s">
        <v>656</v>
      </c>
      <c r="H559" s="3">
        <v>1</v>
      </c>
    </row>
    <row r="560" spans="1:8" x14ac:dyDescent="0.3">
      <c r="A560" s="4">
        <v>38180</v>
      </c>
      <c r="B560" s="3">
        <v>2004</v>
      </c>
      <c r="C560" s="3">
        <v>7</v>
      </c>
      <c r="D560" s="3" t="s">
        <v>664</v>
      </c>
      <c r="E560" s="3" t="s">
        <v>616</v>
      </c>
      <c r="F560" s="3">
        <v>12</v>
      </c>
      <c r="G560" s="3" t="s">
        <v>657</v>
      </c>
      <c r="H560" s="3">
        <v>0</v>
      </c>
    </row>
    <row r="561" spans="1:8" x14ac:dyDescent="0.3">
      <c r="A561" s="4">
        <v>38181</v>
      </c>
      <c r="B561" s="3">
        <v>2004</v>
      </c>
      <c r="C561" s="3">
        <v>7</v>
      </c>
      <c r="D561" s="3" t="s">
        <v>664</v>
      </c>
      <c r="E561" s="3" t="s">
        <v>616</v>
      </c>
      <c r="F561" s="3">
        <v>13</v>
      </c>
      <c r="G561" s="3" t="s">
        <v>658</v>
      </c>
      <c r="H561" s="3">
        <v>0</v>
      </c>
    </row>
    <row r="562" spans="1:8" x14ac:dyDescent="0.3">
      <c r="A562" s="4">
        <v>38182</v>
      </c>
      <c r="B562" s="3">
        <v>2004</v>
      </c>
      <c r="C562" s="3">
        <v>7</v>
      </c>
      <c r="D562" s="3" t="s">
        <v>664</v>
      </c>
      <c r="E562" s="3" t="s">
        <v>616</v>
      </c>
      <c r="F562" s="3">
        <v>14</v>
      </c>
      <c r="G562" s="3" t="s">
        <v>652</v>
      </c>
      <c r="H562" s="3">
        <v>0</v>
      </c>
    </row>
    <row r="563" spans="1:8" x14ac:dyDescent="0.3">
      <c r="A563" s="4">
        <v>38183</v>
      </c>
      <c r="B563" s="3">
        <v>2004</v>
      </c>
      <c r="C563" s="3">
        <v>7</v>
      </c>
      <c r="D563" s="3" t="s">
        <v>664</v>
      </c>
      <c r="E563" s="3" t="s">
        <v>616</v>
      </c>
      <c r="F563" s="3">
        <v>15</v>
      </c>
      <c r="G563" s="3" t="s">
        <v>653</v>
      </c>
      <c r="H563" s="3">
        <v>0</v>
      </c>
    </row>
    <row r="564" spans="1:8" x14ac:dyDescent="0.3">
      <c r="A564" s="4">
        <v>38184</v>
      </c>
      <c r="B564" s="3">
        <v>2004</v>
      </c>
      <c r="C564" s="3">
        <v>7</v>
      </c>
      <c r="D564" s="3" t="s">
        <v>664</v>
      </c>
      <c r="E564" s="3" t="s">
        <v>616</v>
      </c>
      <c r="F564" s="3">
        <v>16</v>
      </c>
      <c r="G564" s="3" t="s">
        <v>654</v>
      </c>
      <c r="H564" s="3">
        <v>0</v>
      </c>
    </row>
    <row r="565" spans="1:8" x14ac:dyDescent="0.3">
      <c r="A565" s="4">
        <v>38185</v>
      </c>
      <c r="B565" s="3">
        <v>2004</v>
      </c>
      <c r="C565" s="3">
        <v>7</v>
      </c>
      <c r="D565" s="3" t="s">
        <v>664</v>
      </c>
      <c r="E565" s="3" t="s">
        <v>616</v>
      </c>
      <c r="F565" s="3">
        <v>17</v>
      </c>
      <c r="G565" s="3" t="s">
        <v>655</v>
      </c>
      <c r="H565" s="3">
        <v>1</v>
      </c>
    </row>
    <row r="566" spans="1:8" x14ac:dyDescent="0.3">
      <c r="A566" s="4">
        <v>38186</v>
      </c>
      <c r="B566" s="3">
        <v>2004</v>
      </c>
      <c r="C566" s="3">
        <v>7</v>
      </c>
      <c r="D566" s="3" t="s">
        <v>664</v>
      </c>
      <c r="E566" s="3" t="s">
        <v>616</v>
      </c>
      <c r="F566" s="3">
        <v>18</v>
      </c>
      <c r="G566" s="3" t="s">
        <v>656</v>
      </c>
      <c r="H566" s="3">
        <v>1</v>
      </c>
    </row>
    <row r="567" spans="1:8" x14ac:dyDescent="0.3">
      <c r="A567" s="4">
        <v>38187</v>
      </c>
      <c r="B567" s="3">
        <v>2004</v>
      </c>
      <c r="C567" s="3">
        <v>7</v>
      </c>
      <c r="D567" s="3" t="s">
        <v>664</v>
      </c>
      <c r="E567" s="3" t="s">
        <v>616</v>
      </c>
      <c r="F567" s="3">
        <v>19</v>
      </c>
      <c r="G567" s="3" t="s">
        <v>657</v>
      </c>
      <c r="H567" s="3">
        <v>0</v>
      </c>
    </row>
    <row r="568" spans="1:8" x14ac:dyDescent="0.3">
      <c r="A568" s="4">
        <v>38188</v>
      </c>
      <c r="B568" s="3">
        <v>2004</v>
      </c>
      <c r="C568" s="3">
        <v>7</v>
      </c>
      <c r="D568" s="3" t="s">
        <v>664</v>
      </c>
      <c r="E568" s="3" t="s">
        <v>616</v>
      </c>
      <c r="F568" s="3">
        <v>20</v>
      </c>
      <c r="G568" s="3" t="s">
        <v>658</v>
      </c>
      <c r="H568" s="3">
        <v>0</v>
      </c>
    </row>
    <row r="569" spans="1:8" x14ac:dyDescent="0.3">
      <c r="A569" s="4">
        <v>38189</v>
      </c>
      <c r="B569" s="3">
        <v>2004</v>
      </c>
      <c r="C569" s="3">
        <v>7</v>
      </c>
      <c r="D569" s="3" t="s">
        <v>664</v>
      </c>
      <c r="E569" s="3" t="s">
        <v>616</v>
      </c>
      <c r="F569" s="3">
        <v>21</v>
      </c>
      <c r="G569" s="3" t="s">
        <v>652</v>
      </c>
      <c r="H569" s="3">
        <v>0</v>
      </c>
    </row>
    <row r="570" spans="1:8" x14ac:dyDescent="0.3">
      <c r="A570" s="4">
        <v>38190</v>
      </c>
      <c r="B570" s="3">
        <v>2004</v>
      </c>
      <c r="C570" s="3">
        <v>7</v>
      </c>
      <c r="D570" s="3" t="s">
        <v>664</v>
      </c>
      <c r="E570" s="3" t="s">
        <v>616</v>
      </c>
      <c r="F570" s="3">
        <v>22</v>
      </c>
      <c r="G570" s="3" t="s">
        <v>653</v>
      </c>
      <c r="H570" s="3">
        <v>0</v>
      </c>
    </row>
    <row r="571" spans="1:8" x14ac:dyDescent="0.3">
      <c r="A571" s="4">
        <v>38191</v>
      </c>
      <c r="B571" s="3">
        <v>2004</v>
      </c>
      <c r="C571" s="3">
        <v>7</v>
      </c>
      <c r="D571" s="3" t="s">
        <v>664</v>
      </c>
      <c r="E571" s="3" t="s">
        <v>616</v>
      </c>
      <c r="F571" s="3">
        <v>23</v>
      </c>
      <c r="G571" s="3" t="s">
        <v>654</v>
      </c>
      <c r="H571" s="3">
        <v>0</v>
      </c>
    </row>
    <row r="572" spans="1:8" x14ac:dyDescent="0.3">
      <c r="A572" s="4">
        <v>38192</v>
      </c>
      <c r="B572" s="3">
        <v>2004</v>
      </c>
      <c r="C572" s="3">
        <v>7</v>
      </c>
      <c r="D572" s="3" t="s">
        <v>664</v>
      </c>
      <c r="E572" s="3" t="s">
        <v>616</v>
      </c>
      <c r="F572" s="3">
        <v>24</v>
      </c>
      <c r="G572" s="3" t="s">
        <v>655</v>
      </c>
      <c r="H572" s="3">
        <v>1</v>
      </c>
    </row>
    <row r="573" spans="1:8" x14ac:dyDescent="0.3">
      <c r="A573" s="4">
        <v>38193</v>
      </c>
      <c r="B573" s="3">
        <v>2004</v>
      </c>
      <c r="C573" s="3">
        <v>7</v>
      </c>
      <c r="D573" s="3" t="s">
        <v>664</v>
      </c>
      <c r="E573" s="3" t="s">
        <v>616</v>
      </c>
      <c r="F573" s="3">
        <v>25</v>
      </c>
      <c r="G573" s="3" t="s">
        <v>656</v>
      </c>
      <c r="H573" s="3">
        <v>1</v>
      </c>
    </row>
    <row r="574" spans="1:8" x14ac:dyDescent="0.3">
      <c r="A574" s="4">
        <v>38194</v>
      </c>
      <c r="B574" s="3">
        <v>2004</v>
      </c>
      <c r="C574" s="3">
        <v>7</v>
      </c>
      <c r="D574" s="3" t="s">
        <v>664</v>
      </c>
      <c r="E574" s="3" t="s">
        <v>616</v>
      </c>
      <c r="F574" s="3">
        <v>26</v>
      </c>
      <c r="G574" s="3" t="s">
        <v>657</v>
      </c>
      <c r="H574" s="3">
        <v>0</v>
      </c>
    </row>
    <row r="575" spans="1:8" x14ac:dyDescent="0.3">
      <c r="A575" s="4">
        <v>38195</v>
      </c>
      <c r="B575" s="3">
        <v>2004</v>
      </c>
      <c r="C575" s="3">
        <v>7</v>
      </c>
      <c r="D575" s="3" t="s">
        <v>664</v>
      </c>
      <c r="E575" s="3" t="s">
        <v>616</v>
      </c>
      <c r="F575" s="3">
        <v>27</v>
      </c>
      <c r="G575" s="3" t="s">
        <v>658</v>
      </c>
      <c r="H575" s="3">
        <v>0</v>
      </c>
    </row>
    <row r="576" spans="1:8" x14ac:dyDescent="0.3">
      <c r="A576" s="4">
        <v>38196</v>
      </c>
      <c r="B576" s="3">
        <v>2004</v>
      </c>
      <c r="C576" s="3">
        <v>7</v>
      </c>
      <c r="D576" s="3" t="s">
        <v>664</v>
      </c>
      <c r="E576" s="3" t="s">
        <v>616</v>
      </c>
      <c r="F576" s="3">
        <v>28</v>
      </c>
      <c r="G576" s="3" t="s">
        <v>652</v>
      </c>
      <c r="H576" s="3">
        <v>0</v>
      </c>
    </row>
    <row r="577" spans="1:8" x14ac:dyDescent="0.3">
      <c r="A577" s="4">
        <v>38197</v>
      </c>
      <c r="B577" s="3">
        <v>2004</v>
      </c>
      <c r="C577" s="3">
        <v>7</v>
      </c>
      <c r="D577" s="3" t="s">
        <v>664</v>
      </c>
      <c r="E577" s="3" t="s">
        <v>616</v>
      </c>
      <c r="F577" s="3">
        <v>29</v>
      </c>
      <c r="G577" s="3" t="s">
        <v>653</v>
      </c>
      <c r="H577" s="3">
        <v>0</v>
      </c>
    </row>
    <row r="578" spans="1:8" x14ac:dyDescent="0.3">
      <c r="A578" s="4">
        <v>38198</v>
      </c>
      <c r="B578" s="3">
        <v>2004</v>
      </c>
      <c r="C578" s="3">
        <v>7</v>
      </c>
      <c r="D578" s="3" t="s">
        <v>664</v>
      </c>
      <c r="E578" s="3" t="s">
        <v>616</v>
      </c>
      <c r="F578" s="3">
        <v>30</v>
      </c>
      <c r="G578" s="3" t="s">
        <v>654</v>
      </c>
      <c r="H578" s="3">
        <v>0</v>
      </c>
    </row>
    <row r="579" spans="1:8" x14ac:dyDescent="0.3">
      <c r="A579" s="4">
        <v>38199</v>
      </c>
      <c r="B579" s="3">
        <v>2004</v>
      </c>
      <c r="C579" s="3">
        <v>7</v>
      </c>
      <c r="D579" s="3" t="s">
        <v>664</v>
      </c>
      <c r="E579" s="3" t="s">
        <v>616</v>
      </c>
      <c r="F579" s="3">
        <v>31</v>
      </c>
      <c r="G579" s="3" t="s">
        <v>655</v>
      </c>
      <c r="H579" s="3">
        <v>1</v>
      </c>
    </row>
    <row r="580" spans="1:8" x14ac:dyDescent="0.3">
      <c r="A580" s="4">
        <v>38200</v>
      </c>
      <c r="B580" s="3">
        <v>2004</v>
      </c>
      <c r="C580" s="3">
        <v>8</v>
      </c>
      <c r="D580" s="3" t="s">
        <v>665</v>
      </c>
      <c r="E580" s="3" t="s">
        <v>616</v>
      </c>
      <c r="F580" s="3">
        <v>1</v>
      </c>
      <c r="G580" s="3" t="s">
        <v>656</v>
      </c>
      <c r="H580" s="3">
        <v>1</v>
      </c>
    </row>
    <row r="581" spans="1:8" x14ac:dyDescent="0.3">
      <c r="A581" s="4">
        <v>38201</v>
      </c>
      <c r="B581" s="3">
        <v>2004</v>
      </c>
      <c r="C581" s="3">
        <v>8</v>
      </c>
      <c r="D581" s="3" t="s">
        <v>665</v>
      </c>
      <c r="E581" s="3" t="s">
        <v>616</v>
      </c>
      <c r="F581" s="3">
        <v>2</v>
      </c>
      <c r="G581" s="3" t="s">
        <v>657</v>
      </c>
      <c r="H581" s="3">
        <v>0</v>
      </c>
    </row>
    <row r="582" spans="1:8" x14ac:dyDescent="0.3">
      <c r="A582" s="4">
        <v>38202</v>
      </c>
      <c r="B582" s="3">
        <v>2004</v>
      </c>
      <c r="C582" s="3">
        <v>8</v>
      </c>
      <c r="D582" s="3" t="s">
        <v>665</v>
      </c>
      <c r="E582" s="3" t="s">
        <v>616</v>
      </c>
      <c r="F582" s="3">
        <v>3</v>
      </c>
      <c r="G582" s="3" t="s">
        <v>658</v>
      </c>
      <c r="H582" s="3">
        <v>0</v>
      </c>
    </row>
    <row r="583" spans="1:8" x14ac:dyDescent="0.3">
      <c r="A583" s="4">
        <v>38203</v>
      </c>
      <c r="B583" s="3">
        <v>2004</v>
      </c>
      <c r="C583" s="3">
        <v>8</v>
      </c>
      <c r="D583" s="3" t="s">
        <v>665</v>
      </c>
      <c r="E583" s="3" t="s">
        <v>616</v>
      </c>
      <c r="F583" s="3">
        <v>4</v>
      </c>
      <c r="G583" s="3" t="s">
        <v>652</v>
      </c>
      <c r="H583" s="3">
        <v>0</v>
      </c>
    </row>
    <row r="584" spans="1:8" x14ac:dyDescent="0.3">
      <c r="A584" s="4">
        <v>38204</v>
      </c>
      <c r="B584" s="3">
        <v>2004</v>
      </c>
      <c r="C584" s="3">
        <v>8</v>
      </c>
      <c r="D584" s="3" t="s">
        <v>665</v>
      </c>
      <c r="E584" s="3" t="s">
        <v>616</v>
      </c>
      <c r="F584" s="3">
        <v>5</v>
      </c>
      <c r="G584" s="3" t="s">
        <v>653</v>
      </c>
      <c r="H584" s="3">
        <v>0</v>
      </c>
    </row>
    <row r="585" spans="1:8" x14ac:dyDescent="0.3">
      <c r="A585" s="4">
        <v>38205</v>
      </c>
      <c r="B585" s="3">
        <v>2004</v>
      </c>
      <c r="C585" s="3">
        <v>8</v>
      </c>
      <c r="D585" s="3" t="s">
        <v>665</v>
      </c>
      <c r="E585" s="3" t="s">
        <v>616</v>
      </c>
      <c r="F585" s="3">
        <v>6</v>
      </c>
      <c r="G585" s="3" t="s">
        <v>654</v>
      </c>
      <c r="H585" s="3">
        <v>0</v>
      </c>
    </row>
    <row r="586" spans="1:8" x14ac:dyDescent="0.3">
      <c r="A586" s="4">
        <v>38206</v>
      </c>
      <c r="B586" s="3">
        <v>2004</v>
      </c>
      <c r="C586" s="3">
        <v>8</v>
      </c>
      <c r="D586" s="3" t="s">
        <v>665</v>
      </c>
      <c r="E586" s="3" t="s">
        <v>616</v>
      </c>
      <c r="F586" s="3">
        <v>7</v>
      </c>
      <c r="G586" s="3" t="s">
        <v>655</v>
      </c>
      <c r="H586" s="3">
        <v>1</v>
      </c>
    </row>
    <row r="587" spans="1:8" x14ac:dyDescent="0.3">
      <c r="A587" s="4">
        <v>38207</v>
      </c>
      <c r="B587" s="3">
        <v>2004</v>
      </c>
      <c r="C587" s="3">
        <v>8</v>
      </c>
      <c r="D587" s="3" t="s">
        <v>665</v>
      </c>
      <c r="E587" s="3" t="s">
        <v>616</v>
      </c>
      <c r="F587" s="3">
        <v>8</v>
      </c>
      <c r="G587" s="3" t="s">
        <v>656</v>
      </c>
      <c r="H587" s="3">
        <v>1</v>
      </c>
    </row>
    <row r="588" spans="1:8" x14ac:dyDescent="0.3">
      <c r="A588" s="4">
        <v>38208</v>
      </c>
      <c r="B588" s="3">
        <v>2004</v>
      </c>
      <c r="C588" s="3">
        <v>8</v>
      </c>
      <c r="D588" s="3" t="s">
        <v>665</v>
      </c>
      <c r="E588" s="3" t="s">
        <v>616</v>
      </c>
      <c r="F588" s="3">
        <v>9</v>
      </c>
      <c r="G588" s="3" t="s">
        <v>657</v>
      </c>
      <c r="H588" s="3">
        <v>0</v>
      </c>
    </row>
    <row r="589" spans="1:8" x14ac:dyDescent="0.3">
      <c r="A589" s="4">
        <v>38209</v>
      </c>
      <c r="B589" s="3">
        <v>2004</v>
      </c>
      <c r="C589" s="3">
        <v>8</v>
      </c>
      <c r="D589" s="3" t="s">
        <v>665</v>
      </c>
      <c r="E589" s="3" t="s">
        <v>616</v>
      </c>
      <c r="F589" s="3">
        <v>10</v>
      </c>
      <c r="G589" s="3" t="s">
        <v>658</v>
      </c>
      <c r="H589" s="3">
        <v>0</v>
      </c>
    </row>
    <row r="590" spans="1:8" x14ac:dyDescent="0.3">
      <c r="A590" s="4">
        <v>38210</v>
      </c>
      <c r="B590" s="3">
        <v>2004</v>
      </c>
      <c r="C590" s="3">
        <v>8</v>
      </c>
      <c r="D590" s="3" t="s">
        <v>665</v>
      </c>
      <c r="E590" s="3" t="s">
        <v>616</v>
      </c>
      <c r="F590" s="3">
        <v>11</v>
      </c>
      <c r="G590" s="3" t="s">
        <v>652</v>
      </c>
      <c r="H590" s="3">
        <v>0</v>
      </c>
    </row>
    <row r="591" spans="1:8" x14ac:dyDescent="0.3">
      <c r="A591" s="4">
        <v>38211</v>
      </c>
      <c r="B591" s="3">
        <v>2004</v>
      </c>
      <c r="C591" s="3">
        <v>8</v>
      </c>
      <c r="D591" s="3" t="s">
        <v>665</v>
      </c>
      <c r="E591" s="3" t="s">
        <v>616</v>
      </c>
      <c r="F591" s="3">
        <v>12</v>
      </c>
      <c r="G591" s="3" t="s">
        <v>653</v>
      </c>
      <c r="H591" s="3">
        <v>0</v>
      </c>
    </row>
    <row r="592" spans="1:8" x14ac:dyDescent="0.3">
      <c r="A592" s="4">
        <v>38212</v>
      </c>
      <c r="B592" s="3">
        <v>2004</v>
      </c>
      <c r="C592" s="3">
        <v>8</v>
      </c>
      <c r="D592" s="3" t="s">
        <v>665</v>
      </c>
      <c r="E592" s="3" t="s">
        <v>616</v>
      </c>
      <c r="F592" s="3">
        <v>13</v>
      </c>
      <c r="G592" s="3" t="s">
        <v>654</v>
      </c>
      <c r="H592" s="3">
        <v>0</v>
      </c>
    </row>
    <row r="593" spans="1:8" x14ac:dyDescent="0.3">
      <c r="A593" s="4">
        <v>38213</v>
      </c>
      <c r="B593" s="3">
        <v>2004</v>
      </c>
      <c r="C593" s="3">
        <v>8</v>
      </c>
      <c r="D593" s="3" t="s">
        <v>665</v>
      </c>
      <c r="E593" s="3" t="s">
        <v>616</v>
      </c>
      <c r="F593" s="3">
        <v>14</v>
      </c>
      <c r="G593" s="3" t="s">
        <v>655</v>
      </c>
      <c r="H593" s="3">
        <v>1</v>
      </c>
    </row>
    <row r="594" spans="1:8" x14ac:dyDescent="0.3">
      <c r="A594" s="4">
        <v>38214</v>
      </c>
      <c r="B594" s="3">
        <v>2004</v>
      </c>
      <c r="C594" s="3">
        <v>8</v>
      </c>
      <c r="D594" s="3" t="s">
        <v>665</v>
      </c>
      <c r="E594" s="3" t="s">
        <v>616</v>
      </c>
      <c r="F594" s="3">
        <v>15</v>
      </c>
      <c r="G594" s="3" t="s">
        <v>656</v>
      </c>
      <c r="H594" s="3">
        <v>1</v>
      </c>
    </row>
    <row r="595" spans="1:8" x14ac:dyDescent="0.3">
      <c r="A595" s="4">
        <v>38215</v>
      </c>
      <c r="B595" s="3">
        <v>2004</v>
      </c>
      <c r="C595" s="3">
        <v>8</v>
      </c>
      <c r="D595" s="3" t="s">
        <v>665</v>
      </c>
      <c r="E595" s="3" t="s">
        <v>616</v>
      </c>
      <c r="F595" s="3">
        <v>16</v>
      </c>
      <c r="G595" s="3" t="s">
        <v>657</v>
      </c>
      <c r="H595" s="3">
        <v>0</v>
      </c>
    </row>
    <row r="596" spans="1:8" x14ac:dyDescent="0.3">
      <c r="A596" s="4">
        <v>38216</v>
      </c>
      <c r="B596" s="3">
        <v>2004</v>
      </c>
      <c r="C596" s="3">
        <v>8</v>
      </c>
      <c r="D596" s="3" t="s">
        <v>665</v>
      </c>
      <c r="E596" s="3" t="s">
        <v>616</v>
      </c>
      <c r="F596" s="3">
        <v>17</v>
      </c>
      <c r="G596" s="3" t="s">
        <v>658</v>
      </c>
      <c r="H596" s="3">
        <v>0</v>
      </c>
    </row>
    <row r="597" spans="1:8" x14ac:dyDescent="0.3">
      <c r="A597" s="4">
        <v>38217</v>
      </c>
      <c r="B597" s="3">
        <v>2004</v>
      </c>
      <c r="C597" s="3">
        <v>8</v>
      </c>
      <c r="D597" s="3" t="s">
        <v>665</v>
      </c>
      <c r="E597" s="3" t="s">
        <v>616</v>
      </c>
      <c r="F597" s="3">
        <v>18</v>
      </c>
      <c r="G597" s="3" t="s">
        <v>652</v>
      </c>
      <c r="H597" s="3">
        <v>0</v>
      </c>
    </row>
    <row r="598" spans="1:8" x14ac:dyDescent="0.3">
      <c r="A598" s="4">
        <v>38218</v>
      </c>
      <c r="B598" s="3">
        <v>2004</v>
      </c>
      <c r="C598" s="3">
        <v>8</v>
      </c>
      <c r="D598" s="3" t="s">
        <v>665</v>
      </c>
      <c r="E598" s="3" t="s">
        <v>616</v>
      </c>
      <c r="F598" s="3">
        <v>19</v>
      </c>
      <c r="G598" s="3" t="s">
        <v>653</v>
      </c>
      <c r="H598" s="3">
        <v>0</v>
      </c>
    </row>
    <row r="599" spans="1:8" x14ac:dyDescent="0.3">
      <c r="A599" s="4">
        <v>38219</v>
      </c>
      <c r="B599" s="3">
        <v>2004</v>
      </c>
      <c r="C599" s="3">
        <v>8</v>
      </c>
      <c r="D599" s="3" t="s">
        <v>665</v>
      </c>
      <c r="E599" s="3" t="s">
        <v>616</v>
      </c>
      <c r="F599" s="3">
        <v>20</v>
      </c>
      <c r="G599" s="3" t="s">
        <v>654</v>
      </c>
      <c r="H599" s="3">
        <v>0</v>
      </c>
    </row>
    <row r="600" spans="1:8" x14ac:dyDescent="0.3">
      <c r="A600" s="4">
        <v>38220</v>
      </c>
      <c r="B600" s="3">
        <v>2004</v>
      </c>
      <c r="C600" s="3">
        <v>8</v>
      </c>
      <c r="D600" s="3" t="s">
        <v>665</v>
      </c>
      <c r="E600" s="3" t="s">
        <v>616</v>
      </c>
      <c r="F600" s="3">
        <v>21</v>
      </c>
      <c r="G600" s="3" t="s">
        <v>655</v>
      </c>
      <c r="H600" s="3">
        <v>1</v>
      </c>
    </row>
    <row r="601" spans="1:8" x14ac:dyDescent="0.3">
      <c r="A601" s="4">
        <v>38221</v>
      </c>
      <c r="B601" s="3">
        <v>2004</v>
      </c>
      <c r="C601" s="3">
        <v>8</v>
      </c>
      <c r="D601" s="3" t="s">
        <v>665</v>
      </c>
      <c r="E601" s="3" t="s">
        <v>616</v>
      </c>
      <c r="F601" s="3">
        <v>22</v>
      </c>
      <c r="G601" s="3" t="s">
        <v>656</v>
      </c>
      <c r="H601" s="3">
        <v>1</v>
      </c>
    </row>
    <row r="602" spans="1:8" x14ac:dyDescent="0.3">
      <c r="A602" s="4">
        <v>38222</v>
      </c>
      <c r="B602" s="3">
        <v>2004</v>
      </c>
      <c r="C602" s="3">
        <v>8</v>
      </c>
      <c r="D602" s="3" t="s">
        <v>665</v>
      </c>
      <c r="E602" s="3" t="s">
        <v>616</v>
      </c>
      <c r="F602" s="3">
        <v>23</v>
      </c>
      <c r="G602" s="3" t="s">
        <v>657</v>
      </c>
      <c r="H602" s="3">
        <v>0</v>
      </c>
    </row>
    <row r="603" spans="1:8" x14ac:dyDescent="0.3">
      <c r="A603" s="4">
        <v>38223</v>
      </c>
      <c r="B603" s="3">
        <v>2004</v>
      </c>
      <c r="C603" s="3">
        <v>8</v>
      </c>
      <c r="D603" s="3" t="s">
        <v>665</v>
      </c>
      <c r="E603" s="3" t="s">
        <v>616</v>
      </c>
      <c r="F603" s="3">
        <v>24</v>
      </c>
      <c r="G603" s="3" t="s">
        <v>658</v>
      </c>
      <c r="H603" s="3">
        <v>0</v>
      </c>
    </row>
    <row r="604" spans="1:8" x14ac:dyDescent="0.3">
      <c r="A604" s="4">
        <v>38224</v>
      </c>
      <c r="B604" s="3">
        <v>2004</v>
      </c>
      <c r="C604" s="3">
        <v>8</v>
      </c>
      <c r="D604" s="3" t="s">
        <v>665</v>
      </c>
      <c r="E604" s="3" t="s">
        <v>616</v>
      </c>
      <c r="F604" s="3">
        <v>25</v>
      </c>
      <c r="G604" s="3" t="s">
        <v>652</v>
      </c>
      <c r="H604" s="3">
        <v>0</v>
      </c>
    </row>
    <row r="605" spans="1:8" x14ac:dyDescent="0.3">
      <c r="A605" s="4">
        <v>38225</v>
      </c>
      <c r="B605" s="3">
        <v>2004</v>
      </c>
      <c r="C605" s="3">
        <v>8</v>
      </c>
      <c r="D605" s="3" t="s">
        <v>665</v>
      </c>
      <c r="E605" s="3" t="s">
        <v>616</v>
      </c>
      <c r="F605" s="3">
        <v>26</v>
      </c>
      <c r="G605" s="3" t="s">
        <v>653</v>
      </c>
      <c r="H605" s="3">
        <v>0</v>
      </c>
    </row>
    <row r="606" spans="1:8" x14ac:dyDescent="0.3">
      <c r="A606" s="4">
        <v>38226</v>
      </c>
      <c r="B606" s="3">
        <v>2004</v>
      </c>
      <c r="C606" s="3">
        <v>8</v>
      </c>
      <c r="D606" s="3" t="s">
        <v>665</v>
      </c>
      <c r="E606" s="3" t="s">
        <v>616</v>
      </c>
      <c r="F606" s="3">
        <v>27</v>
      </c>
      <c r="G606" s="3" t="s">
        <v>654</v>
      </c>
      <c r="H606" s="3">
        <v>0</v>
      </c>
    </row>
    <row r="607" spans="1:8" x14ac:dyDescent="0.3">
      <c r="A607" s="4">
        <v>38227</v>
      </c>
      <c r="B607" s="3">
        <v>2004</v>
      </c>
      <c r="C607" s="3">
        <v>8</v>
      </c>
      <c r="D607" s="3" t="s">
        <v>665</v>
      </c>
      <c r="E607" s="3" t="s">
        <v>616</v>
      </c>
      <c r="F607" s="3">
        <v>28</v>
      </c>
      <c r="G607" s="3" t="s">
        <v>655</v>
      </c>
      <c r="H607" s="3">
        <v>1</v>
      </c>
    </row>
    <row r="608" spans="1:8" x14ac:dyDescent="0.3">
      <c r="A608" s="4">
        <v>38228</v>
      </c>
      <c r="B608" s="3">
        <v>2004</v>
      </c>
      <c r="C608" s="3">
        <v>8</v>
      </c>
      <c r="D608" s="3" t="s">
        <v>665</v>
      </c>
      <c r="E608" s="3" t="s">
        <v>616</v>
      </c>
      <c r="F608" s="3">
        <v>29</v>
      </c>
      <c r="G608" s="3" t="s">
        <v>656</v>
      </c>
      <c r="H608" s="3">
        <v>1</v>
      </c>
    </row>
    <row r="609" spans="1:8" x14ac:dyDescent="0.3">
      <c r="A609" s="4">
        <v>38229</v>
      </c>
      <c r="B609" s="3">
        <v>2004</v>
      </c>
      <c r="C609" s="3">
        <v>8</v>
      </c>
      <c r="D609" s="3" t="s">
        <v>665</v>
      </c>
      <c r="E609" s="3" t="s">
        <v>616</v>
      </c>
      <c r="F609" s="3">
        <v>30</v>
      </c>
      <c r="G609" s="3" t="s">
        <v>657</v>
      </c>
      <c r="H609" s="3">
        <v>0</v>
      </c>
    </row>
    <row r="610" spans="1:8" x14ac:dyDescent="0.3">
      <c r="A610" s="4">
        <v>38230</v>
      </c>
      <c r="B610" s="3">
        <v>2004</v>
      </c>
      <c r="C610" s="3">
        <v>8</v>
      </c>
      <c r="D610" s="3" t="s">
        <v>665</v>
      </c>
      <c r="E610" s="3" t="s">
        <v>616</v>
      </c>
      <c r="F610" s="3">
        <v>31</v>
      </c>
      <c r="G610" s="3" t="s">
        <v>658</v>
      </c>
      <c r="H610" s="3">
        <v>0</v>
      </c>
    </row>
    <row r="611" spans="1:8" x14ac:dyDescent="0.3">
      <c r="A611" s="4">
        <v>38231</v>
      </c>
      <c r="B611" s="3">
        <v>2004</v>
      </c>
      <c r="C611" s="3">
        <v>9</v>
      </c>
      <c r="D611" s="3" t="s">
        <v>666</v>
      </c>
      <c r="E611" s="3" t="s">
        <v>616</v>
      </c>
      <c r="F611" s="3">
        <v>1</v>
      </c>
      <c r="G611" s="3" t="s">
        <v>652</v>
      </c>
      <c r="H611" s="3">
        <v>0</v>
      </c>
    </row>
    <row r="612" spans="1:8" x14ac:dyDescent="0.3">
      <c r="A612" s="4">
        <v>38232</v>
      </c>
      <c r="B612" s="3">
        <v>2004</v>
      </c>
      <c r="C612" s="3">
        <v>9</v>
      </c>
      <c r="D612" s="3" t="s">
        <v>666</v>
      </c>
      <c r="E612" s="3" t="s">
        <v>616</v>
      </c>
      <c r="F612" s="3">
        <v>2</v>
      </c>
      <c r="G612" s="3" t="s">
        <v>653</v>
      </c>
      <c r="H612" s="3">
        <v>0</v>
      </c>
    </row>
    <row r="613" spans="1:8" x14ac:dyDescent="0.3">
      <c r="A613" s="4">
        <v>38233</v>
      </c>
      <c r="B613" s="3">
        <v>2004</v>
      </c>
      <c r="C613" s="3">
        <v>9</v>
      </c>
      <c r="D613" s="3" t="s">
        <v>666</v>
      </c>
      <c r="E613" s="3" t="s">
        <v>616</v>
      </c>
      <c r="F613" s="3">
        <v>3</v>
      </c>
      <c r="G613" s="3" t="s">
        <v>654</v>
      </c>
      <c r="H613" s="3">
        <v>0</v>
      </c>
    </row>
    <row r="614" spans="1:8" x14ac:dyDescent="0.3">
      <c r="A614" s="4">
        <v>38234</v>
      </c>
      <c r="B614" s="3">
        <v>2004</v>
      </c>
      <c r="C614" s="3">
        <v>9</v>
      </c>
      <c r="D614" s="3" t="s">
        <v>666</v>
      </c>
      <c r="E614" s="3" t="s">
        <v>616</v>
      </c>
      <c r="F614" s="3">
        <v>4</v>
      </c>
      <c r="G614" s="3" t="s">
        <v>655</v>
      </c>
      <c r="H614" s="3">
        <v>1</v>
      </c>
    </row>
    <row r="615" spans="1:8" x14ac:dyDescent="0.3">
      <c r="A615" s="4">
        <v>38235</v>
      </c>
      <c r="B615" s="3">
        <v>2004</v>
      </c>
      <c r="C615" s="3">
        <v>9</v>
      </c>
      <c r="D615" s="3" t="s">
        <v>666</v>
      </c>
      <c r="E615" s="3" t="s">
        <v>616</v>
      </c>
      <c r="F615" s="3">
        <v>5</v>
      </c>
      <c r="G615" s="3" t="s">
        <v>656</v>
      </c>
      <c r="H615" s="3">
        <v>1</v>
      </c>
    </row>
    <row r="616" spans="1:8" x14ac:dyDescent="0.3">
      <c r="A616" s="4">
        <v>38236</v>
      </c>
      <c r="B616" s="3">
        <v>2004</v>
      </c>
      <c r="C616" s="3">
        <v>9</v>
      </c>
      <c r="D616" s="3" t="s">
        <v>666</v>
      </c>
      <c r="E616" s="3" t="s">
        <v>616</v>
      </c>
      <c r="F616" s="3">
        <v>6</v>
      </c>
      <c r="G616" s="3" t="s">
        <v>657</v>
      </c>
      <c r="H616" s="3">
        <v>0</v>
      </c>
    </row>
    <row r="617" spans="1:8" x14ac:dyDescent="0.3">
      <c r="A617" s="4">
        <v>38237</v>
      </c>
      <c r="B617" s="3">
        <v>2004</v>
      </c>
      <c r="C617" s="3">
        <v>9</v>
      </c>
      <c r="D617" s="3" t="s">
        <v>666</v>
      </c>
      <c r="E617" s="3" t="s">
        <v>616</v>
      </c>
      <c r="F617" s="3">
        <v>7</v>
      </c>
      <c r="G617" s="3" t="s">
        <v>658</v>
      </c>
      <c r="H617" s="3">
        <v>0</v>
      </c>
    </row>
    <row r="618" spans="1:8" x14ac:dyDescent="0.3">
      <c r="A618" s="4">
        <v>38238</v>
      </c>
      <c r="B618" s="3">
        <v>2004</v>
      </c>
      <c r="C618" s="3">
        <v>9</v>
      </c>
      <c r="D618" s="3" t="s">
        <v>666</v>
      </c>
      <c r="E618" s="3" t="s">
        <v>616</v>
      </c>
      <c r="F618" s="3">
        <v>8</v>
      </c>
      <c r="G618" s="3" t="s">
        <v>652</v>
      </c>
      <c r="H618" s="3">
        <v>0</v>
      </c>
    </row>
    <row r="619" spans="1:8" x14ac:dyDescent="0.3">
      <c r="A619" s="4">
        <v>38239</v>
      </c>
      <c r="B619" s="3">
        <v>2004</v>
      </c>
      <c r="C619" s="3">
        <v>9</v>
      </c>
      <c r="D619" s="3" t="s">
        <v>666</v>
      </c>
      <c r="E619" s="3" t="s">
        <v>616</v>
      </c>
      <c r="F619" s="3">
        <v>9</v>
      </c>
      <c r="G619" s="3" t="s">
        <v>653</v>
      </c>
      <c r="H619" s="3">
        <v>0</v>
      </c>
    </row>
    <row r="620" spans="1:8" x14ac:dyDescent="0.3">
      <c r="A620" s="4">
        <v>38240</v>
      </c>
      <c r="B620" s="3">
        <v>2004</v>
      </c>
      <c r="C620" s="3">
        <v>9</v>
      </c>
      <c r="D620" s="3" t="s">
        <v>666</v>
      </c>
      <c r="E620" s="3" t="s">
        <v>616</v>
      </c>
      <c r="F620" s="3">
        <v>10</v>
      </c>
      <c r="G620" s="3" t="s">
        <v>654</v>
      </c>
      <c r="H620" s="3">
        <v>0</v>
      </c>
    </row>
    <row r="621" spans="1:8" x14ac:dyDescent="0.3">
      <c r="A621" s="4">
        <v>38241</v>
      </c>
      <c r="B621" s="3">
        <v>2004</v>
      </c>
      <c r="C621" s="3">
        <v>9</v>
      </c>
      <c r="D621" s="3" t="s">
        <v>666</v>
      </c>
      <c r="E621" s="3" t="s">
        <v>616</v>
      </c>
      <c r="F621" s="3">
        <v>11</v>
      </c>
      <c r="G621" s="3" t="s">
        <v>655</v>
      </c>
      <c r="H621" s="3">
        <v>1</v>
      </c>
    </row>
    <row r="622" spans="1:8" x14ac:dyDescent="0.3">
      <c r="A622" s="4">
        <v>38242</v>
      </c>
      <c r="B622" s="3">
        <v>2004</v>
      </c>
      <c r="C622" s="3">
        <v>9</v>
      </c>
      <c r="D622" s="3" t="s">
        <v>666</v>
      </c>
      <c r="E622" s="3" t="s">
        <v>616</v>
      </c>
      <c r="F622" s="3">
        <v>12</v>
      </c>
      <c r="G622" s="3" t="s">
        <v>656</v>
      </c>
      <c r="H622" s="3">
        <v>1</v>
      </c>
    </row>
    <row r="623" spans="1:8" x14ac:dyDescent="0.3">
      <c r="A623" s="4">
        <v>38243</v>
      </c>
      <c r="B623" s="3">
        <v>2004</v>
      </c>
      <c r="C623" s="3">
        <v>9</v>
      </c>
      <c r="D623" s="3" t="s">
        <v>666</v>
      </c>
      <c r="E623" s="3" t="s">
        <v>616</v>
      </c>
      <c r="F623" s="3">
        <v>13</v>
      </c>
      <c r="G623" s="3" t="s">
        <v>657</v>
      </c>
      <c r="H623" s="3">
        <v>0</v>
      </c>
    </row>
    <row r="624" spans="1:8" x14ac:dyDescent="0.3">
      <c r="A624" s="4">
        <v>38244</v>
      </c>
      <c r="B624" s="3">
        <v>2004</v>
      </c>
      <c r="C624" s="3">
        <v>9</v>
      </c>
      <c r="D624" s="3" t="s">
        <v>666</v>
      </c>
      <c r="E624" s="3" t="s">
        <v>616</v>
      </c>
      <c r="F624" s="3">
        <v>14</v>
      </c>
      <c r="G624" s="3" t="s">
        <v>658</v>
      </c>
      <c r="H624" s="3">
        <v>0</v>
      </c>
    </row>
    <row r="625" spans="1:8" x14ac:dyDescent="0.3">
      <c r="A625" s="4">
        <v>38245</v>
      </c>
      <c r="B625" s="3">
        <v>2004</v>
      </c>
      <c r="C625" s="3">
        <v>9</v>
      </c>
      <c r="D625" s="3" t="s">
        <v>666</v>
      </c>
      <c r="E625" s="3" t="s">
        <v>616</v>
      </c>
      <c r="F625" s="3">
        <v>15</v>
      </c>
      <c r="G625" s="3" t="s">
        <v>652</v>
      </c>
      <c r="H625" s="3">
        <v>0</v>
      </c>
    </row>
    <row r="626" spans="1:8" x14ac:dyDescent="0.3">
      <c r="A626" s="4">
        <v>38246</v>
      </c>
      <c r="B626" s="3">
        <v>2004</v>
      </c>
      <c r="C626" s="3">
        <v>9</v>
      </c>
      <c r="D626" s="3" t="s">
        <v>666</v>
      </c>
      <c r="E626" s="3" t="s">
        <v>616</v>
      </c>
      <c r="F626" s="3">
        <v>16</v>
      </c>
      <c r="G626" s="3" t="s">
        <v>653</v>
      </c>
      <c r="H626" s="3">
        <v>0</v>
      </c>
    </row>
    <row r="627" spans="1:8" x14ac:dyDescent="0.3">
      <c r="A627" s="4">
        <v>38247</v>
      </c>
      <c r="B627" s="3">
        <v>2004</v>
      </c>
      <c r="C627" s="3">
        <v>9</v>
      </c>
      <c r="D627" s="3" t="s">
        <v>666</v>
      </c>
      <c r="E627" s="3" t="s">
        <v>616</v>
      </c>
      <c r="F627" s="3">
        <v>17</v>
      </c>
      <c r="G627" s="3" t="s">
        <v>654</v>
      </c>
      <c r="H627" s="3">
        <v>0</v>
      </c>
    </row>
    <row r="628" spans="1:8" x14ac:dyDescent="0.3">
      <c r="A628" s="4">
        <v>38248</v>
      </c>
      <c r="B628" s="3">
        <v>2004</v>
      </c>
      <c r="C628" s="3">
        <v>9</v>
      </c>
      <c r="D628" s="3" t="s">
        <v>666</v>
      </c>
      <c r="E628" s="3" t="s">
        <v>616</v>
      </c>
      <c r="F628" s="3">
        <v>18</v>
      </c>
      <c r="G628" s="3" t="s">
        <v>655</v>
      </c>
      <c r="H628" s="3">
        <v>1</v>
      </c>
    </row>
    <row r="629" spans="1:8" x14ac:dyDescent="0.3">
      <c r="A629" s="4">
        <v>38249</v>
      </c>
      <c r="B629" s="3">
        <v>2004</v>
      </c>
      <c r="C629" s="3">
        <v>9</v>
      </c>
      <c r="D629" s="3" t="s">
        <v>666</v>
      </c>
      <c r="E629" s="3" t="s">
        <v>616</v>
      </c>
      <c r="F629" s="3">
        <v>19</v>
      </c>
      <c r="G629" s="3" t="s">
        <v>656</v>
      </c>
      <c r="H629" s="3">
        <v>1</v>
      </c>
    </row>
    <row r="630" spans="1:8" x14ac:dyDescent="0.3">
      <c r="A630" s="4">
        <v>38250</v>
      </c>
      <c r="B630" s="3">
        <v>2004</v>
      </c>
      <c r="C630" s="3">
        <v>9</v>
      </c>
      <c r="D630" s="3" t="s">
        <v>666</v>
      </c>
      <c r="E630" s="3" t="s">
        <v>616</v>
      </c>
      <c r="F630" s="3">
        <v>20</v>
      </c>
      <c r="G630" s="3" t="s">
        <v>657</v>
      </c>
      <c r="H630" s="3">
        <v>0</v>
      </c>
    </row>
    <row r="631" spans="1:8" x14ac:dyDescent="0.3">
      <c r="A631" s="4">
        <v>38251</v>
      </c>
      <c r="B631" s="3">
        <v>2004</v>
      </c>
      <c r="C631" s="3">
        <v>9</v>
      </c>
      <c r="D631" s="3" t="s">
        <v>666</v>
      </c>
      <c r="E631" s="3" t="s">
        <v>616</v>
      </c>
      <c r="F631" s="3">
        <v>21</v>
      </c>
      <c r="G631" s="3" t="s">
        <v>658</v>
      </c>
      <c r="H631" s="3">
        <v>0</v>
      </c>
    </row>
    <row r="632" spans="1:8" x14ac:dyDescent="0.3">
      <c r="A632" s="4">
        <v>38252</v>
      </c>
      <c r="B632" s="3">
        <v>2004</v>
      </c>
      <c r="C632" s="3">
        <v>9</v>
      </c>
      <c r="D632" s="3" t="s">
        <v>666</v>
      </c>
      <c r="E632" s="3" t="s">
        <v>616</v>
      </c>
      <c r="F632" s="3">
        <v>22</v>
      </c>
      <c r="G632" s="3" t="s">
        <v>652</v>
      </c>
      <c r="H632" s="3">
        <v>0</v>
      </c>
    </row>
    <row r="633" spans="1:8" x14ac:dyDescent="0.3">
      <c r="A633" s="4">
        <v>38253</v>
      </c>
      <c r="B633" s="3">
        <v>2004</v>
      </c>
      <c r="C633" s="3">
        <v>9</v>
      </c>
      <c r="D633" s="3" t="s">
        <v>666</v>
      </c>
      <c r="E633" s="3" t="s">
        <v>616</v>
      </c>
      <c r="F633" s="3">
        <v>23</v>
      </c>
      <c r="G633" s="3" t="s">
        <v>653</v>
      </c>
      <c r="H633" s="3">
        <v>0</v>
      </c>
    </row>
    <row r="634" spans="1:8" x14ac:dyDescent="0.3">
      <c r="A634" s="4">
        <v>38254</v>
      </c>
      <c r="B634" s="3">
        <v>2004</v>
      </c>
      <c r="C634" s="3">
        <v>9</v>
      </c>
      <c r="D634" s="3" t="s">
        <v>666</v>
      </c>
      <c r="E634" s="3" t="s">
        <v>616</v>
      </c>
      <c r="F634" s="3">
        <v>24</v>
      </c>
      <c r="G634" s="3" t="s">
        <v>654</v>
      </c>
      <c r="H634" s="3">
        <v>0</v>
      </c>
    </row>
    <row r="635" spans="1:8" x14ac:dyDescent="0.3">
      <c r="A635" s="4">
        <v>38255</v>
      </c>
      <c r="B635" s="3">
        <v>2004</v>
      </c>
      <c r="C635" s="3">
        <v>9</v>
      </c>
      <c r="D635" s="3" t="s">
        <v>666</v>
      </c>
      <c r="E635" s="3" t="s">
        <v>616</v>
      </c>
      <c r="F635" s="3">
        <v>25</v>
      </c>
      <c r="G635" s="3" t="s">
        <v>655</v>
      </c>
      <c r="H635" s="3">
        <v>1</v>
      </c>
    </row>
    <row r="636" spans="1:8" x14ac:dyDescent="0.3">
      <c r="A636" s="4">
        <v>38256</v>
      </c>
      <c r="B636" s="3">
        <v>2004</v>
      </c>
      <c r="C636" s="3">
        <v>9</v>
      </c>
      <c r="D636" s="3" t="s">
        <v>666</v>
      </c>
      <c r="E636" s="3" t="s">
        <v>616</v>
      </c>
      <c r="F636" s="3">
        <v>26</v>
      </c>
      <c r="G636" s="3" t="s">
        <v>656</v>
      </c>
      <c r="H636" s="3">
        <v>1</v>
      </c>
    </row>
    <row r="637" spans="1:8" x14ac:dyDescent="0.3">
      <c r="A637" s="4">
        <v>38257</v>
      </c>
      <c r="B637" s="3">
        <v>2004</v>
      </c>
      <c r="C637" s="3">
        <v>9</v>
      </c>
      <c r="D637" s="3" t="s">
        <v>666</v>
      </c>
      <c r="E637" s="3" t="s">
        <v>616</v>
      </c>
      <c r="F637" s="3">
        <v>27</v>
      </c>
      <c r="G637" s="3" t="s">
        <v>657</v>
      </c>
      <c r="H637" s="3">
        <v>0</v>
      </c>
    </row>
    <row r="638" spans="1:8" x14ac:dyDescent="0.3">
      <c r="A638" s="4">
        <v>38258</v>
      </c>
      <c r="B638" s="3">
        <v>2004</v>
      </c>
      <c r="C638" s="3">
        <v>9</v>
      </c>
      <c r="D638" s="3" t="s">
        <v>666</v>
      </c>
      <c r="E638" s="3" t="s">
        <v>616</v>
      </c>
      <c r="F638" s="3">
        <v>28</v>
      </c>
      <c r="G638" s="3" t="s">
        <v>658</v>
      </c>
      <c r="H638" s="3">
        <v>0</v>
      </c>
    </row>
    <row r="639" spans="1:8" x14ac:dyDescent="0.3">
      <c r="A639" s="4">
        <v>38259</v>
      </c>
      <c r="B639" s="3">
        <v>2004</v>
      </c>
      <c r="C639" s="3">
        <v>9</v>
      </c>
      <c r="D639" s="3" t="s">
        <v>666</v>
      </c>
      <c r="E639" s="3" t="s">
        <v>616</v>
      </c>
      <c r="F639" s="3">
        <v>29</v>
      </c>
      <c r="G639" s="3" t="s">
        <v>652</v>
      </c>
      <c r="H639" s="3">
        <v>0</v>
      </c>
    </row>
    <row r="640" spans="1:8" x14ac:dyDescent="0.3">
      <c r="A640" s="4">
        <v>38260</v>
      </c>
      <c r="B640" s="3">
        <v>2004</v>
      </c>
      <c r="C640" s="3">
        <v>9</v>
      </c>
      <c r="D640" s="3" t="s">
        <v>666</v>
      </c>
      <c r="E640" s="3" t="s">
        <v>616</v>
      </c>
      <c r="F640" s="3">
        <v>30</v>
      </c>
      <c r="G640" s="3" t="s">
        <v>653</v>
      </c>
      <c r="H640" s="3">
        <v>0</v>
      </c>
    </row>
    <row r="641" spans="1:8" x14ac:dyDescent="0.3">
      <c r="A641" s="4">
        <v>38261</v>
      </c>
      <c r="B641" s="3">
        <v>2004</v>
      </c>
      <c r="C641" s="3">
        <v>10</v>
      </c>
      <c r="D641" s="3" t="s">
        <v>667</v>
      </c>
      <c r="E641" s="3" t="s">
        <v>617</v>
      </c>
      <c r="F641" s="3">
        <v>1</v>
      </c>
      <c r="G641" s="3" t="s">
        <v>654</v>
      </c>
      <c r="H641" s="3">
        <v>0</v>
      </c>
    </row>
    <row r="642" spans="1:8" x14ac:dyDescent="0.3">
      <c r="A642" s="4">
        <v>38262</v>
      </c>
      <c r="B642" s="3">
        <v>2004</v>
      </c>
      <c r="C642" s="3">
        <v>10</v>
      </c>
      <c r="D642" s="3" t="s">
        <v>667</v>
      </c>
      <c r="E642" s="3" t="s">
        <v>617</v>
      </c>
      <c r="F642" s="3">
        <v>2</v>
      </c>
      <c r="G642" s="3" t="s">
        <v>655</v>
      </c>
      <c r="H642" s="3">
        <v>1</v>
      </c>
    </row>
    <row r="643" spans="1:8" x14ac:dyDescent="0.3">
      <c r="A643" s="4">
        <v>38263</v>
      </c>
      <c r="B643" s="3">
        <v>2004</v>
      </c>
      <c r="C643" s="3">
        <v>10</v>
      </c>
      <c r="D643" s="3" t="s">
        <v>667</v>
      </c>
      <c r="E643" s="3" t="s">
        <v>617</v>
      </c>
      <c r="F643" s="3">
        <v>3</v>
      </c>
      <c r="G643" s="3" t="s">
        <v>656</v>
      </c>
      <c r="H643" s="3">
        <v>1</v>
      </c>
    </row>
    <row r="644" spans="1:8" x14ac:dyDescent="0.3">
      <c r="A644" s="4">
        <v>38264</v>
      </c>
      <c r="B644" s="3">
        <v>2004</v>
      </c>
      <c r="C644" s="3">
        <v>10</v>
      </c>
      <c r="D644" s="3" t="s">
        <v>667</v>
      </c>
      <c r="E644" s="3" t="s">
        <v>617</v>
      </c>
      <c r="F644" s="3">
        <v>4</v>
      </c>
      <c r="G644" s="3" t="s">
        <v>657</v>
      </c>
      <c r="H644" s="3">
        <v>0</v>
      </c>
    </row>
    <row r="645" spans="1:8" x14ac:dyDescent="0.3">
      <c r="A645" s="4">
        <v>38265</v>
      </c>
      <c r="B645" s="3">
        <v>2004</v>
      </c>
      <c r="C645" s="3">
        <v>10</v>
      </c>
      <c r="D645" s="3" t="s">
        <v>667</v>
      </c>
      <c r="E645" s="3" t="s">
        <v>617</v>
      </c>
      <c r="F645" s="3">
        <v>5</v>
      </c>
      <c r="G645" s="3" t="s">
        <v>658</v>
      </c>
      <c r="H645" s="3">
        <v>0</v>
      </c>
    </row>
    <row r="646" spans="1:8" x14ac:dyDescent="0.3">
      <c r="A646" s="4">
        <v>38266</v>
      </c>
      <c r="B646" s="3">
        <v>2004</v>
      </c>
      <c r="C646" s="3">
        <v>10</v>
      </c>
      <c r="D646" s="3" t="s">
        <v>667</v>
      </c>
      <c r="E646" s="3" t="s">
        <v>617</v>
      </c>
      <c r="F646" s="3">
        <v>6</v>
      </c>
      <c r="G646" s="3" t="s">
        <v>652</v>
      </c>
      <c r="H646" s="3">
        <v>0</v>
      </c>
    </row>
    <row r="647" spans="1:8" x14ac:dyDescent="0.3">
      <c r="A647" s="4">
        <v>38267</v>
      </c>
      <c r="B647" s="3">
        <v>2004</v>
      </c>
      <c r="C647" s="3">
        <v>10</v>
      </c>
      <c r="D647" s="3" t="s">
        <v>667</v>
      </c>
      <c r="E647" s="3" t="s">
        <v>617</v>
      </c>
      <c r="F647" s="3">
        <v>7</v>
      </c>
      <c r="G647" s="3" t="s">
        <v>653</v>
      </c>
      <c r="H647" s="3">
        <v>0</v>
      </c>
    </row>
    <row r="648" spans="1:8" x14ac:dyDescent="0.3">
      <c r="A648" s="4">
        <v>38268</v>
      </c>
      <c r="B648" s="3">
        <v>2004</v>
      </c>
      <c r="C648" s="3">
        <v>10</v>
      </c>
      <c r="D648" s="3" t="s">
        <v>667</v>
      </c>
      <c r="E648" s="3" t="s">
        <v>617</v>
      </c>
      <c r="F648" s="3">
        <v>8</v>
      </c>
      <c r="G648" s="3" t="s">
        <v>654</v>
      </c>
      <c r="H648" s="3">
        <v>0</v>
      </c>
    </row>
    <row r="649" spans="1:8" x14ac:dyDescent="0.3">
      <c r="A649" s="4">
        <v>38269</v>
      </c>
      <c r="B649" s="3">
        <v>2004</v>
      </c>
      <c r="C649" s="3">
        <v>10</v>
      </c>
      <c r="D649" s="3" t="s">
        <v>667</v>
      </c>
      <c r="E649" s="3" t="s">
        <v>617</v>
      </c>
      <c r="F649" s="3">
        <v>9</v>
      </c>
      <c r="G649" s="3" t="s">
        <v>655</v>
      </c>
      <c r="H649" s="3">
        <v>1</v>
      </c>
    </row>
    <row r="650" spans="1:8" x14ac:dyDescent="0.3">
      <c r="A650" s="4">
        <v>38270</v>
      </c>
      <c r="B650" s="3">
        <v>2004</v>
      </c>
      <c r="C650" s="3">
        <v>10</v>
      </c>
      <c r="D650" s="3" t="s">
        <v>667</v>
      </c>
      <c r="E650" s="3" t="s">
        <v>617</v>
      </c>
      <c r="F650" s="3">
        <v>10</v>
      </c>
      <c r="G650" s="3" t="s">
        <v>656</v>
      </c>
      <c r="H650" s="3">
        <v>1</v>
      </c>
    </row>
    <row r="651" spans="1:8" x14ac:dyDescent="0.3">
      <c r="A651" s="4">
        <v>38271</v>
      </c>
      <c r="B651" s="3">
        <v>2004</v>
      </c>
      <c r="C651" s="3">
        <v>10</v>
      </c>
      <c r="D651" s="3" t="s">
        <v>667</v>
      </c>
      <c r="E651" s="3" t="s">
        <v>617</v>
      </c>
      <c r="F651" s="3">
        <v>11</v>
      </c>
      <c r="G651" s="3" t="s">
        <v>657</v>
      </c>
      <c r="H651" s="3">
        <v>0</v>
      </c>
    </row>
    <row r="652" spans="1:8" x14ac:dyDescent="0.3">
      <c r="A652" s="4">
        <v>38272</v>
      </c>
      <c r="B652" s="3">
        <v>2004</v>
      </c>
      <c r="C652" s="3">
        <v>10</v>
      </c>
      <c r="D652" s="3" t="s">
        <v>667</v>
      </c>
      <c r="E652" s="3" t="s">
        <v>617</v>
      </c>
      <c r="F652" s="3">
        <v>12</v>
      </c>
      <c r="G652" s="3" t="s">
        <v>658</v>
      </c>
      <c r="H652" s="3">
        <v>0</v>
      </c>
    </row>
    <row r="653" spans="1:8" x14ac:dyDescent="0.3">
      <c r="A653" s="4">
        <v>38273</v>
      </c>
      <c r="B653" s="3">
        <v>2004</v>
      </c>
      <c r="C653" s="3">
        <v>10</v>
      </c>
      <c r="D653" s="3" t="s">
        <v>667</v>
      </c>
      <c r="E653" s="3" t="s">
        <v>617</v>
      </c>
      <c r="F653" s="3">
        <v>13</v>
      </c>
      <c r="G653" s="3" t="s">
        <v>652</v>
      </c>
      <c r="H653" s="3">
        <v>0</v>
      </c>
    </row>
    <row r="654" spans="1:8" x14ac:dyDescent="0.3">
      <c r="A654" s="4">
        <v>38274</v>
      </c>
      <c r="B654" s="3">
        <v>2004</v>
      </c>
      <c r="C654" s="3">
        <v>10</v>
      </c>
      <c r="D654" s="3" t="s">
        <v>667</v>
      </c>
      <c r="E654" s="3" t="s">
        <v>617</v>
      </c>
      <c r="F654" s="3">
        <v>14</v>
      </c>
      <c r="G654" s="3" t="s">
        <v>653</v>
      </c>
      <c r="H654" s="3">
        <v>0</v>
      </c>
    </row>
    <row r="655" spans="1:8" x14ac:dyDescent="0.3">
      <c r="A655" s="4">
        <v>38275</v>
      </c>
      <c r="B655" s="3">
        <v>2004</v>
      </c>
      <c r="C655" s="3">
        <v>10</v>
      </c>
      <c r="D655" s="3" t="s">
        <v>667</v>
      </c>
      <c r="E655" s="3" t="s">
        <v>617</v>
      </c>
      <c r="F655" s="3">
        <v>15</v>
      </c>
      <c r="G655" s="3" t="s">
        <v>654</v>
      </c>
      <c r="H655" s="3">
        <v>0</v>
      </c>
    </row>
    <row r="656" spans="1:8" x14ac:dyDescent="0.3">
      <c r="A656" s="4">
        <v>38276</v>
      </c>
      <c r="B656" s="3">
        <v>2004</v>
      </c>
      <c r="C656" s="3">
        <v>10</v>
      </c>
      <c r="D656" s="3" t="s">
        <v>667</v>
      </c>
      <c r="E656" s="3" t="s">
        <v>617</v>
      </c>
      <c r="F656" s="3">
        <v>16</v>
      </c>
      <c r="G656" s="3" t="s">
        <v>655</v>
      </c>
      <c r="H656" s="3">
        <v>1</v>
      </c>
    </row>
    <row r="657" spans="1:8" x14ac:dyDescent="0.3">
      <c r="A657" s="4">
        <v>38277</v>
      </c>
      <c r="B657" s="3">
        <v>2004</v>
      </c>
      <c r="C657" s="3">
        <v>10</v>
      </c>
      <c r="D657" s="3" t="s">
        <v>667</v>
      </c>
      <c r="E657" s="3" t="s">
        <v>617</v>
      </c>
      <c r="F657" s="3">
        <v>17</v>
      </c>
      <c r="G657" s="3" t="s">
        <v>656</v>
      </c>
      <c r="H657" s="3">
        <v>1</v>
      </c>
    </row>
    <row r="658" spans="1:8" x14ac:dyDescent="0.3">
      <c r="A658" s="4">
        <v>38278</v>
      </c>
      <c r="B658" s="3">
        <v>2004</v>
      </c>
      <c r="C658" s="3">
        <v>10</v>
      </c>
      <c r="D658" s="3" t="s">
        <v>667</v>
      </c>
      <c r="E658" s="3" t="s">
        <v>617</v>
      </c>
      <c r="F658" s="3">
        <v>18</v>
      </c>
      <c r="G658" s="3" t="s">
        <v>657</v>
      </c>
      <c r="H658" s="3">
        <v>0</v>
      </c>
    </row>
    <row r="659" spans="1:8" x14ac:dyDescent="0.3">
      <c r="A659" s="4">
        <v>38279</v>
      </c>
      <c r="B659" s="3">
        <v>2004</v>
      </c>
      <c r="C659" s="3">
        <v>10</v>
      </c>
      <c r="D659" s="3" t="s">
        <v>667</v>
      </c>
      <c r="E659" s="3" t="s">
        <v>617</v>
      </c>
      <c r="F659" s="3">
        <v>19</v>
      </c>
      <c r="G659" s="3" t="s">
        <v>658</v>
      </c>
      <c r="H659" s="3">
        <v>0</v>
      </c>
    </row>
    <row r="660" spans="1:8" x14ac:dyDescent="0.3">
      <c r="A660" s="4">
        <v>38280</v>
      </c>
      <c r="B660" s="3">
        <v>2004</v>
      </c>
      <c r="C660" s="3">
        <v>10</v>
      </c>
      <c r="D660" s="3" t="s">
        <v>667</v>
      </c>
      <c r="E660" s="3" t="s">
        <v>617</v>
      </c>
      <c r="F660" s="3">
        <v>20</v>
      </c>
      <c r="G660" s="3" t="s">
        <v>652</v>
      </c>
      <c r="H660" s="3">
        <v>0</v>
      </c>
    </row>
    <row r="661" spans="1:8" x14ac:dyDescent="0.3">
      <c r="A661" s="4">
        <v>38281</v>
      </c>
      <c r="B661" s="3">
        <v>2004</v>
      </c>
      <c r="C661" s="3">
        <v>10</v>
      </c>
      <c r="D661" s="3" t="s">
        <v>667</v>
      </c>
      <c r="E661" s="3" t="s">
        <v>617</v>
      </c>
      <c r="F661" s="3">
        <v>21</v>
      </c>
      <c r="G661" s="3" t="s">
        <v>653</v>
      </c>
      <c r="H661" s="3">
        <v>0</v>
      </c>
    </row>
    <row r="662" spans="1:8" x14ac:dyDescent="0.3">
      <c r="A662" s="4">
        <v>38282</v>
      </c>
      <c r="B662" s="3">
        <v>2004</v>
      </c>
      <c r="C662" s="3">
        <v>10</v>
      </c>
      <c r="D662" s="3" t="s">
        <v>667</v>
      </c>
      <c r="E662" s="3" t="s">
        <v>617</v>
      </c>
      <c r="F662" s="3">
        <v>22</v>
      </c>
      <c r="G662" s="3" t="s">
        <v>654</v>
      </c>
      <c r="H662" s="3">
        <v>0</v>
      </c>
    </row>
    <row r="663" spans="1:8" x14ac:dyDescent="0.3">
      <c r="A663" s="4">
        <v>38283</v>
      </c>
      <c r="B663" s="3">
        <v>2004</v>
      </c>
      <c r="C663" s="3">
        <v>10</v>
      </c>
      <c r="D663" s="3" t="s">
        <v>667</v>
      </c>
      <c r="E663" s="3" t="s">
        <v>617</v>
      </c>
      <c r="F663" s="3">
        <v>23</v>
      </c>
      <c r="G663" s="3" t="s">
        <v>655</v>
      </c>
      <c r="H663" s="3">
        <v>1</v>
      </c>
    </row>
    <row r="664" spans="1:8" x14ac:dyDescent="0.3">
      <c r="A664" s="4">
        <v>38284</v>
      </c>
      <c r="B664" s="3">
        <v>2004</v>
      </c>
      <c r="C664" s="3">
        <v>10</v>
      </c>
      <c r="D664" s="3" t="s">
        <v>667</v>
      </c>
      <c r="E664" s="3" t="s">
        <v>617</v>
      </c>
      <c r="F664" s="3">
        <v>24</v>
      </c>
      <c r="G664" s="3" t="s">
        <v>656</v>
      </c>
      <c r="H664" s="3">
        <v>1</v>
      </c>
    </row>
    <row r="665" spans="1:8" x14ac:dyDescent="0.3">
      <c r="A665" s="4">
        <v>38285</v>
      </c>
      <c r="B665" s="3">
        <v>2004</v>
      </c>
      <c r="C665" s="3">
        <v>10</v>
      </c>
      <c r="D665" s="3" t="s">
        <v>667</v>
      </c>
      <c r="E665" s="3" t="s">
        <v>617</v>
      </c>
      <c r="F665" s="3">
        <v>25</v>
      </c>
      <c r="G665" s="3" t="s">
        <v>657</v>
      </c>
      <c r="H665" s="3">
        <v>0</v>
      </c>
    </row>
    <row r="666" spans="1:8" x14ac:dyDescent="0.3">
      <c r="A666" s="4">
        <v>38286</v>
      </c>
      <c r="B666" s="3">
        <v>2004</v>
      </c>
      <c r="C666" s="3">
        <v>10</v>
      </c>
      <c r="D666" s="3" t="s">
        <v>667</v>
      </c>
      <c r="E666" s="3" t="s">
        <v>617</v>
      </c>
      <c r="F666" s="3">
        <v>26</v>
      </c>
      <c r="G666" s="3" t="s">
        <v>658</v>
      </c>
      <c r="H666" s="3">
        <v>0</v>
      </c>
    </row>
    <row r="667" spans="1:8" x14ac:dyDescent="0.3">
      <c r="A667" s="4">
        <v>38287</v>
      </c>
      <c r="B667" s="3">
        <v>2004</v>
      </c>
      <c r="C667" s="3">
        <v>10</v>
      </c>
      <c r="D667" s="3" t="s">
        <v>667</v>
      </c>
      <c r="E667" s="3" t="s">
        <v>617</v>
      </c>
      <c r="F667" s="3">
        <v>27</v>
      </c>
      <c r="G667" s="3" t="s">
        <v>652</v>
      </c>
      <c r="H667" s="3">
        <v>0</v>
      </c>
    </row>
    <row r="668" spans="1:8" x14ac:dyDescent="0.3">
      <c r="A668" s="4">
        <v>38288</v>
      </c>
      <c r="B668" s="3">
        <v>2004</v>
      </c>
      <c r="C668" s="3">
        <v>10</v>
      </c>
      <c r="D668" s="3" t="s">
        <v>667</v>
      </c>
      <c r="E668" s="3" t="s">
        <v>617</v>
      </c>
      <c r="F668" s="3">
        <v>28</v>
      </c>
      <c r="G668" s="3" t="s">
        <v>653</v>
      </c>
      <c r="H668" s="3">
        <v>0</v>
      </c>
    </row>
    <row r="669" spans="1:8" x14ac:dyDescent="0.3">
      <c r="A669" s="4">
        <v>38289</v>
      </c>
      <c r="B669" s="3">
        <v>2004</v>
      </c>
      <c r="C669" s="3">
        <v>10</v>
      </c>
      <c r="D669" s="3" t="s">
        <v>667</v>
      </c>
      <c r="E669" s="3" t="s">
        <v>617</v>
      </c>
      <c r="F669" s="3">
        <v>29</v>
      </c>
      <c r="G669" s="3" t="s">
        <v>654</v>
      </c>
      <c r="H669" s="3">
        <v>0</v>
      </c>
    </row>
    <row r="670" spans="1:8" x14ac:dyDescent="0.3">
      <c r="A670" s="4">
        <v>38290</v>
      </c>
      <c r="B670" s="3">
        <v>2004</v>
      </c>
      <c r="C670" s="3">
        <v>10</v>
      </c>
      <c r="D670" s="3" t="s">
        <v>667</v>
      </c>
      <c r="E670" s="3" t="s">
        <v>617</v>
      </c>
      <c r="F670" s="3">
        <v>30</v>
      </c>
      <c r="G670" s="3" t="s">
        <v>655</v>
      </c>
      <c r="H670" s="3">
        <v>1</v>
      </c>
    </row>
    <row r="671" spans="1:8" x14ac:dyDescent="0.3">
      <c r="A671" s="4">
        <v>38291</v>
      </c>
      <c r="B671" s="3">
        <v>2004</v>
      </c>
      <c r="C671" s="3">
        <v>10</v>
      </c>
      <c r="D671" s="3" t="s">
        <v>667</v>
      </c>
      <c r="E671" s="3" t="s">
        <v>617</v>
      </c>
      <c r="F671" s="3">
        <v>31</v>
      </c>
      <c r="G671" s="3" t="s">
        <v>656</v>
      </c>
      <c r="H671" s="3">
        <v>1</v>
      </c>
    </row>
    <row r="672" spans="1:8" x14ac:dyDescent="0.3">
      <c r="A672" s="4">
        <v>38292</v>
      </c>
      <c r="B672" s="3">
        <v>2004</v>
      </c>
      <c r="C672" s="3">
        <v>11</v>
      </c>
      <c r="D672" s="3" t="s">
        <v>668</v>
      </c>
      <c r="E672" s="3" t="s">
        <v>617</v>
      </c>
      <c r="F672" s="3">
        <v>1</v>
      </c>
      <c r="G672" s="3" t="s">
        <v>657</v>
      </c>
      <c r="H672" s="3">
        <v>0</v>
      </c>
    </row>
    <row r="673" spans="1:8" x14ac:dyDescent="0.3">
      <c r="A673" s="4">
        <v>38293</v>
      </c>
      <c r="B673" s="3">
        <v>2004</v>
      </c>
      <c r="C673" s="3">
        <v>11</v>
      </c>
      <c r="D673" s="3" t="s">
        <v>668</v>
      </c>
      <c r="E673" s="3" t="s">
        <v>617</v>
      </c>
      <c r="F673" s="3">
        <v>2</v>
      </c>
      <c r="G673" s="3" t="s">
        <v>658</v>
      </c>
      <c r="H673" s="3">
        <v>0</v>
      </c>
    </row>
    <row r="674" spans="1:8" x14ac:dyDescent="0.3">
      <c r="A674" s="4">
        <v>38294</v>
      </c>
      <c r="B674" s="3">
        <v>2004</v>
      </c>
      <c r="C674" s="3">
        <v>11</v>
      </c>
      <c r="D674" s="3" t="s">
        <v>668</v>
      </c>
      <c r="E674" s="3" t="s">
        <v>617</v>
      </c>
      <c r="F674" s="3">
        <v>3</v>
      </c>
      <c r="G674" s="3" t="s">
        <v>652</v>
      </c>
      <c r="H674" s="3">
        <v>0</v>
      </c>
    </row>
    <row r="675" spans="1:8" x14ac:dyDescent="0.3">
      <c r="A675" s="4">
        <v>38295</v>
      </c>
      <c r="B675" s="3">
        <v>2004</v>
      </c>
      <c r="C675" s="3">
        <v>11</v>
      </c>
      <c r="D675" s="3" t="s">
        <v>668</v>
      </c>
      <c r="E675" s="3" t="s">
        <v>617</v>
      </c>
      <c r="F675" s="3">
        <v>4</v>
      </c>
      <c r="G675" s="3" t="s">
        <v>653</v>
      </c>
      <c r="H675" s="3">
        <v>0</v>
      </c>
    </row>
    <row r="676" spans="1:8" x14ac:dyDescent="0.3">
      <c r="A676" s="4">
        <v>38296</v>
      </c>
      <c r="B676" s="3">
        <v>2004</v>
      </c>
      <c r="C676" s="3">
        <v>11</v>
      </c>
      <c r="D676" s="3" t="s">
        <v>668</v>
      </c>
      <c r="E676" s="3" t="s">
        <v>617</v>
      </c>
      <c r="F676" s="3">
        <v>5</v>
      </c>
      <c r="G676" s="3" t="s">
        <v>654</v>
      </c>
      <c r="H676" s="3">
        <v>0</v>
      </c>
    </row>
    <row r="677" spans="1:8" x14ac:dyDescent="0.3">
      <c r="A677" s="4">
        <v>38297</v>
      </c>
      <c r="B677" s="3">
        <v>2004</v>
      </c>
      <c r="C677" s="3">
        <v>11</v>
      </c>
      <c r="D677" s="3" t="s">
        <v>668</v>
      </c>
      <c r="E677" s="3" t="s">
        <v>617</v>
      </c>
      <c r="F677" s="3">
        <v>6</v>
      </c>
      <c r="G677" s="3" t="s">
        <v>655</v>
      </c>
      <c r="H677" s="3">
        <v>1</v>
      </c>
    </row>
    <row r="678" spans="1:8" x14ac:dyDescent="0.3">
      <c r="A678" s="4">
        <v>38298</v>
      </c>
      <c r="B678" s="3">
        <v>2004</v>
      </c>
      <c r="C678" s="3">
        <v>11</v>
      </c>
      <c r="D678" s="3" t="s">
        <v>668</v>
      </c>
      <c r="E678" s="3" t="s">
        <v>617</v>
      </c>
      <c r="F678" s="3">
        <v>7</v>
      </c>
      <c r="G678" s="3" t="s">
        <v>656</v>
      </c>
      <c r="H678" s="3">
        <v>1</v>
      </c>
    </row>
    <row r="679" spans="1:8" x14ac:dyDescent="0.3">
      <c r="A679" s="4">
        <v>38299</v>
      </c>
      <c r="B679" s="3">
        <v>2004</v>
      </c>
      <c r="C679" s="3">
        <v>11</v>
      </c>
      <c r="D679" s="3" t="s">
        <v>668</v>
      </c>
      <c r="E679" s="3" t="s">
        <v>617</v>
      </c>
      <c r="F679" s="3">
        <v>8</v>
      </c>
      <c r="G679" s="3" t="s">
        <v>657</v>
      </c>
      <c r="H679" s="3">
        <v>0</v>
      </c>
    </row>
    <row r="680" spans="1:8" x14ac:dyDescent="0.3">
      <c r="A680" s="4">
        <v>38300</v>
      </c>
      <c r="B680" s="3">
        <v>2004</v>
      </c>
      <c r="C680" s="3">
        <v>11</v>
      </c>
      <c r="D680" s="3" t="s">
        <v>668</v>
      </c>
      <c r="E680" s="3" t="s">
        <v>617</v>
      </c>
      <c r="F680" s="3">
        <v>9</v>
      </c>
      <c r="G680" s="3" t="s">
        <v>658</v>
      </c>
      <c r="H680" s="3">
        <v>0</v>
      </c>
    </row>
    <row r="681" spans="1:8" x14ac:dyDescent="0.3">
      <c r="A681" s="4">
        <v>38301</v>
      </c>
      <c r="B681" s="3">
        <v>2004</v>
      </c>
      <c r="C681" s="3">
        <v>11</v>
      </c>
      <c r="D681" s="3" t="s">
        <v>668</v>
      </c>
      <c r="E681" s="3" t="s">
        <v>617</v>
      </c>
      <c r="F681" s="3">
        <v>10</v>
      </c>
      <c r="G681" s="3" t="s">
        <v>652</v>
      </c>
      <c r="H681" s="3">
        <v>0</v>
      </c>
    </row>
    <row r="682" spans="1:8" x14ac:dyDescent="0.3">
      <c r="A682" s="4">
        <v>38302</v>
      </c>
      <c r="B682" s="3">
        <v>2004</v>
      </c>
      <c r="C682" s="3">
        <v>11</v>
      </c>
      <c r="D682" s="3" t="s">
        <v>668</v>
      </c>
      <c r="E682" s="3" t="s">
        <v>617</v>
      </c>
      <c r="F682" s="3">
        <v>11</v>
      </c>
      <c r="G682" s="3" t="s">
        <v>653</v>
      </c>
      <c r="H682" s="3">
        <v>0</v>
      </c>
    </row>
    <row r="683" spans="1:8" x14ac:dyDescent="0.3">
      <c r="A683" s="4">
        <v>38303</v>
      </c>
      <c r="B683" s="3">
        <v>2004</v>
      </c>
      <c r="C683" s="3">
        <v>11</v>
      </c>
      <c r="D683" s="3" t="s">
        <v>668</v>
      </c>
      <c r="E683" s="3" t="s">
        <v>617</v>
      </c>
      <c r="F683" s="3">
        <v>12</v>
      </c>
      <c r="G683" s="3" t="s">
        <v>654</v>
      </c>
      <c r="H683" s="3">
        <v>0</v>
      </c>
    </row>
    <row r="684" spans="1:8" x14ac:dyDescent="0.3">
      <c r="A684" s="4">
        <v>38304</v>
      </c>
      <c r="B684" s="3">
        <v>2004</v>
      </c>
      <c r="C684" s="3">
        <v>11</v>
      </c>
      <c r="D684" s="3" t="s">
        <v>668</v>
      </c>
      <c r="E684" s="3" t="s">
        <v>617</v>
      </c>
      <c r="F684" s="3">
        <v>13</v>
      </c>
      <c r="G684" s="3" t="s">
        <v>655</v>
      </c>
      <c r="H684" s="3">
        <v>1</v>
      </c>
    </row>
    <row r="685" spans="1:8" x14ac:dyDescent="0.3">
      <c r="A685" s="4">
        <v>38305</v>
      </c>
      <c r="B685" s="3">
        <v>2004</v>
      </c>
      <c r="C685" s="3">
        <v>11</v>
      </c>
      <c r="D685" s="3" t="s">
        <v>668</v>
      </c>
      <c r="E685" s="3" t="s">
        <v>617</v>
      </c>
      <c r="F685" s="3">
        <v>14</v>
      </c>
      <c r="G685" s="3" t="s">
        <v>656</v>
      </c>
      <c r="H685" s="3">
        <v>1</v>
      </c>
    </row>
    <row r="686" spans="1:8" x14ac:dyDescent="0.3">
      <c r="A686" s="4">
        <v>38306</v>
      </c>
      <c r="B686" s="3">
        <v>2004</v>
      </c>
      <c r="C686" s="3">
        <v>11</v>
      </c>
      <c r="D686" s="3" t="s">
        <v>668</v>
      </c>
      <c r="E686" s="3" t="s">
        <v>617</v>
      </c>
      <c r="F686" s="3">
        <v>15</v>
      </c>
      <c r="G686" s="3" t="s">
        <v>657</v>
      </c>
      <c r="H686" s="3">
        <v>0</v>
      </c>
    </row>
    <row r="687" spans="1:8" x14ac:dyDescent="0.3">
      <c r="A687" s="4">
        <v>38307</v>
      </c>
      <c r="B687" s="3">
        <v>2004</v>
      </c>
      <c r="C687" s="3">
        <v>11</v>
      </c>
      <c r="D687" s="3" t="s">
        <v>668</v>
      </c>
      <c r="E687" s="3" t="s">
        <v>617</v>
      </c>
      <c r="F687" s="3">
        <v>16</v>
      </c>
      <c r="G687" s="3" t="s">
        <v>658</v>
      </c>
      <c r="H687" s="3">
        <v>0</v>
      </c>
    </row>
    <row r="688" spans="1:8" x14ac:dyDescent="0.3">
      <c r="A688" s="4">
        <v>38308</v>
      </c>
      <c r="B688" s="3">
        <v>2004</v>
      </c>
      <c r="C688" s="3">
        <v>11</v>
      </c>
      <c r="D688" s="3" t="s">
        <v>668</v>
      </c>
      <c r="E688" s="3" t="s">
        <v>617</v>
      </c>
      <c r="F688" s="3">
        <v>17</v>
      </c>
      <c r="G688" s="3" t="s">
        <v>652</v>
      </c>
      <c r="H688" s="3">
        <v>0</v>
      </c>
    </row>
    <row r="689" spans="1:8" x14ac:dyDescent="0.3">
      <c r="A689" s="4">
        <v>38309</v>
      </c>
      <c r="B689" s="3">
        <v>2004</v>
      </c>
      <c r="C689" s="3">
        <v>11</v>
      </c>
      <c r="D689" s="3" t="s">
        <v>668</v>
      </c>
      <c r="E689" s="3" t="s">
        <v>617</v>
      </c>
      <c r="F689" s="3">
        <v>18</v>
      </c>
      <c r="G689" s="3" t="s">
        <v>653</v>
      </c>
      <c r="H689" s="3">
        <v>0</v>
      </c>
    </row>
    <row r="690" spans="1:8" x14ac:dyDescent="0.3">
      <c r="A690" s="4">
        <v>38310</v>
      </c>
      <c r="B690" s="3">
        <v>2004</v>
      </c>
      <c r="C690" s="3">
        <v>11</v>
      </c>
      <c r="D690" s="3" t="s">
        <v>668</v>
      </c>
      <c r="E690" s="3" t="s">
        <v>617</v>
      </c>
      <c r="F690" s="3">
        <v>19</v>
      </c>
      <c r="G690" s="3" t="s">
        <v>654</v>
      </c>
      <c r="H690" s="3">
        <v>0</v>
      </c>
    </row>
    <row r="691" spans="1:8" x14ac:dyDescent="0.3">
      <c r="A691" s="4">
        <v>38311</v>
      </c>
      <c r="B691" s="3">
        <v>2004</v>
      </c>
      <c r="C691" s="3">
        <v>11</v>
      </c>
      <c r="D691" s="3" t="s">
        <v>668</v>
      </c>
      <c r="E691" s="3" t="s">
        <v>617</v>
      </c>
      <c r="F691" s="3">
        <v>20</v>
      </c>
      <c r="G691" s="3" t="s">
        <v>655</v>
      </c>
      <c r="H691" s="3">
        <v>1</v>
      </c>
    </row>
    <row r="692" spans="1:8" x14ac:dyDescent="0.3">
      <c r="A692" s="4">
        <v>38312</v>
      </c>
      <c r="B692" s="3">
        <v>2004</v>
      </c>
      <c r="C692" s="3">
        <v>11</v>
      </c>
      <c r="D692" s="3" t="s">
        <v>668</v>
      </c>
      <c r="E692" s="3" t="s">
        <v>617</v>
      </c>
      <c r="F692" s="3">
        <v>21</v>
      </c>
      <c r="G692" s="3" t="s">
        <v>656</v>
      </c>
      <c r="H692" s="3">
        <v>1</v>
      </c>
    </row>
    <row r="693" spans="1:8" x14ac:dyDescent="0.3">
      <c r="A693" s="4">
        <v>38313</v>
      </c>
      <c r="B693" s="3">
        <v>2004</v>
      </c>
      <c r="C693" s="3">
        <v>11</v>
      </c>
      <c r="D693" s="3" t="s">
        <v>668</v>
      </c>
      <c r="E693" s="3" t="s">
        <v>617</v>
      </c>
      <c r="F693" s="3">
        <v>22</v>
      </c>
      <c r="G693" s="3" t="s">
        <v>657</v>
      </c>
      <c r="H693" s="3">
        <v>0</v>
      </c>
    </row>
    <row r="694" spans="1:8" x14ac:dyDescent="0.3">
      <c r="A694" s="4">
        <v>38314</v>
      </c>
      <c r="B694" s="3">
        <v>2004</v>
      </c>
      <c r="C694" s="3">
        <v>11</v>
      </c>
      <c r="D694" s="3" t="s">
        <v>668</v>
      </c>
      <c r="E694" s="3" t="s">
        <v>617</v>
      </c>
      <c r="F694" s="3">
        <v>23</v>
      </c>
      <c r="G694" s="3" t="s">
        <v>658</v>
      </c>
      <c r="H694" s="3">
        <v>0</v>
      </c>
    </row>
    <row r="695" spans="1:8" x14ac:dyDescent="0.3">
      <c r="A695" s="4">
        <v>38315</v>
      </c>
      <c r="B695" s="3">
        <v>2004</v>
      </c>
      <c r="C695" s="3">
        <v>11</v>
      </c>
      <c r="D695" s="3" t="s">
        <v>668</v>
      </c>
      <c r="E695" s="3" t="s">
        <v>617</v>
      </c>
      <c r="F695" s="3">
        <v>24</v>
      </c>
      <c r="G695" s="3" t="s">
        <v>652</v>
      </c>
      <c r="H695" s="3">
        <v>0</v>
      </c>
    </row>
    <row r="696" spans="1:8" x14ac:dyDescent="0.3">
      <c r="A696" s="4">
        <v>38316</v>
      </c>
      <c r="B696" s="3">
        <v>2004</v>
      </c>
      <c r="C696" s="3">
        <v>11</v>
      </c>
      <c r="D696" s="3" t="s">
        <v>668</v>
      </c>
      <c r="E696" s="3" t="s">
        <v>617</v>
      </c>
      <c r="F696" s="3">
        <v>25</v>
      </c>
      <c r="G696" s="3" t="s">
        <v>653</v>
      </c>
      <c r="H696" s="3">
        <v>0</v>
      </c>
    </row>
    <row r="697" spans="1:8" x14ac:dyDescent="0.3">
      <c r="A697" s="4">
        <v>38317</v>
      </c>
      <c r="B697" s="3">
        <v>2004</v>
      </c>
      <c r="C697" s="3">
        <v>11</v>
      </c>
      <c r="D697" s="3" t="s">
        <v>668</v>
      </c>
      <c r="E697" s="3" t="s">
        <v>617</v>
      </c>
      <c r="F697" s="3">
        <v>26</v>
      </c>
      <c r="G697" s="3" t="s">
        <v>654</v>
      </c>
      <c r="H697" s="3">
        <v>0</v>
      </c>
    </row>
    <row r="698" spans="1:8" x14ac:dyDescent="0.3">
      <c r="A698" s="4">
        <v>38318</v>
      </c>
      <c r="B698" s="3">
        <v>2004</v>
      </c>
      <c r="C698" s="3">
        <v>11</v>
      </c>
      <c r="D698" s="3" t="s">
        <v>668</v>
      </c>
      <c r="E698" s="3" t="s">
        <v>617</v>
      </c>
      <c r="F698" s="3">
        <v>27</v>
      </c>
      <c r="G698" s="3" t="s">
        <v>655</v>
      </c>
      <c r="H698" s="3">
        <v>1</v>
      </c>
    </row>
    <row r="699" spans="1:8" x14ac:dyDescent="0.3">
      <c r="A699" s="4">
        <v>38319</v>
      </c>
      <c r="B699" s="3">
        <v>2004</v>
      </c>
      <c r="C699" s="3">
        <v>11</v>
      </c>
      <c r="D699" s="3" t="s">
        <v>668</v>
      </c>
      <c r="E699" s="3" t="s">
        <v>617</v>
      </c>
      <c r="F699" s="3">
        <v>28</v>
      </c>
      <c r="G699" s="3" t="s">
        <v>656</v>
      </c>
      <c r="H699" s="3">
        <v>1</v>
      </c>
    </row>
    <row r="700" spans="1:8" x14ac:dyDescent="0.3">
      <c r="A700" s="4">
        <v>38320</v>
      </c>
      <c r="B700" s="3">
        <v>2004</v>
      </c>
      <c r="C700" s="3">
        <v>11</v>
      </c>
      <c r="D700" s="3" t="s">
        <v>668</v>
      </c>
      <c r="E700" s="3" t="s">
        <v>617</v>
      </c>
      <c r="F700" s="3">
        <v>29</v>
      </c>
      <c r="G700" s="3" t="s">
        <v>657</v>
      </c>
      <c r="H700" s="3">
        <v>0</v>
      </c>
    </row>
    <row r="701" spans="1:8" x14ac:dyDescent="0.3">
      <c r="A701" s="4">
        <v>38321</v>
      </c>
      <c r="B701" s="3">
        <v>2004</v>
      </c>
      <c r="C701" s="3">
        <v>11</v>
      </c>
      <c r="D701" s="3" t="s">
        <v>668</v>
      </c>
      <c r="E701" s="3" t="s">
        <v>617</v>
      </c>
      <c r="F701" s="3">
        <v>30</v>
      </c>
      <c r="G701" s="3" t="s">
        <v>658</v>
      </c>
      <c r="H701" s="3">
        <v>0</v>
      </c>
    </row>
    <row r="702" spans="1:8" x14ac:dyDescent="0.3">
      <c r="A702" s="4">
        <v>38322</v>
      </c>
      <c r="B702" s="3">
        <v>2004</v>
      </c>
      <c r="C702" s="3">
        <v>12</v>
      </c>
      <c r="D702" s="3" t="s">
        <v>669</v>
      </c>
      <c r="E702" s="3" t="s">
        <v>617</v>
      </c>
      <c r="F702" s="3">
        <v>1</v>
      </c>
      <c r="G702" s="3" t="s">
        <v>652</v>
      </c>
      <c r="H702" s="3">
        <v>0</v>
      </c>
    </row>
    <row r="703" spans="1:8" x14ac:dyDescent="0.3">
      <c r="A703" s="4">
        <v>38323</v>
      </c>
      <c r="B703" s="3">
        <v>2004</v>
      </c>
      <c r="C703" s="3">
        <v>12</v>
      </c>
      <c r="D703" s="3" t="s">
        <v>669</v>
      </c>
      <c r="E703" s="3" t="s">
        <v>617</v>
      </c>
      <c r="F703" s="3">
        <v>2</v>
      </c>
      <c r="G703" s="3" t="s">
        <v>653</v>
      </c>
      <c r="H703" s="3">
        <v>0</v>
      </c>
    </row>
    <row r="704" spans="1:8" x14ac:dyDescent="0.3">
      <c r="A704" s="4">
        <v>38324</v>
      </c>
      <c r="B704" s="3">
        <v>2004</v>
      </c>
      <c r="C704" s="3">
        <v>12</v>
      </c>
      <c r="D704" s="3" t="s">
        <v>669</v>
      </c>
      <c r="E704" s="3" t="s">
        <v>617</v>
      </c>
      <c r="F704" s="3">
        <v>3</v>
      </c>
      <c r="G704" s="3" t="s">
        <v>654</v>
      </c>
      <c r="H704" s="3">
        <v>0</v>
      </c>
    </row>
    <row r="705" spans="1:8" x14ac:dyDescent="0.3">
      <c r="A705" s="4">
        <v>38325</v>
      </c>
      <c r="B705" s="3">
        <v>2004</v>
      </c>
      <c r="C705" s="3">
        <v>12</v>
      </c>
      <c r="D705" s="3" t="s">
        <v>669</v>
      </c>
      <c r="E705" s="3" t="s">
        <v>617</v>
      </c>
      <c r="F705" s="3">
        <v>4</v>
      </c>
      <c r="G705" s="3" t="s">
        <v>655</v>
      </c>
      <c r="H705" s="3">
        <v>1</v>
      </c>
    </row>
    <row r="706" spans="1:8" x14ac:dyDescent="0.3">
      <c r="A706" s="4">
        <v>38326</v>
      </c>
      <c r="B706" s="3">
        <v>2004</v>
      </c>
      <c r="C706" s="3">
        <v>12</v>
      </c>
      <c r="D706" s="3" t="s">
        <v>669</v>
      </c>
      <c r="E706" s="3" t="s">
        <v>617</v>
      </c>
      <c r="F706" s="3">
        <v>5</v>
      </c>
      <c r="G706" s="3" t="s">
        <v>656</v>
      </c>
      <c r="H706" s="3">
        <v>1</v>
      </c>
    </row>
    <row r="707" spans="1:8" x14ac:dyDescent="0.3">
      <c r="A707" s="4">
        <v>38327</v>
      </c>
      <c r="B707" s="3">
        <v>2004</v>
      </c>
      <c r="C707" s="3">
        <v>12</v>
      </c>
      <c r="D707" s="3" t="s">
        <v>669</v>
      </c>
      <c r="E707" s="3" t="s">
        <v>617</v>
      </c>
      <c r="F707" s="3">
        <v>6</v>
      </c>
      <c r="G707" s="3" t="s">
        <v>657</v>
      </c>
      <c r="H707" s="3">
        <v>0</v>
      </c>
    </row>
    <row r="708" spans="1:8" x14ac:dyDescent="0.3">
      <c r="A708" s="4">
        <v>38328</v>
      </c>
      <c r="B708" s="3">
        <v>2004</v>
      </c>
      <c r="C708" s="3">
        <v>12</v>
      </c>
      <c r="D708" s="3" t="s">
        <v>669</v>
      </c>
      <c r="E708" s="3" t="s">
        <v>617</v>
      </c>
      <c r="F708" s="3">
        <v>7</v>
      </c>
      <c r="G708" s="3" t="s">
        <v>658</v>
      </c>
      <c r="H708" s="3">
        <v>0</v>
      </c>
    </row>
    <row r="709" spans="1:8" x14ac:dyDescent="0.3">
      <c r="A709" s="4">
        <v>38329</v>
      </c>
      <c r="B709" s="3">
        <v>2004</v>
      </c>
      <c r="C709" s="3">
        <v>12</v>
      </c>
      <c r="D709" s="3" t="s">
        <v>669</v>
      </c>
      <c r="E709" s="3" t="s">
        <v>617</v>
      </c>
      <c r="F709" s="3">
        <v>8</v>
      </c>
      <c r="G709" s="3" t="s">
        <v>652</v>
      </c>
      <c r="H709" s="3">
        <v>0</v>
      </c>
    </row>
    <row r="710" spans="1:8" x14ac:dyDescent="0.3">
      <c r="A710" s="4">
        <v>38330</v>
      </c>
      <c r="B710" s="3">
        <v>2004</v>
      </c>
      <c r="C710" s="3">
        <v>12</v>
      </c>
      <c r="D710" s="3" t="s">
        <v>669</v>
      </c>
      <c r="E710" s="3" t="s">
        <v>617</v>
      </c>
      <c r="F710" s="3">
        <v>9</v>
      </c>
      <c r="G710" s="3" t="s">
        <v>653</v>
      </c>
      <c r="H710" s="3">
        <v>0</v>
      </c>
    </row>
    <row r="711" spans="1:8" x14ac:dyDescent="0.3">
      <c r="A711" s="4">
        <v>38331</v>
      </c>
      <c r="B711" s="3">
        <v>2004</v>
      </c>
      <c r="C711" s="3">
        <v>12</v>
      </c>
      <c r="D711" s="3" t="s">
        <v>669</v>
      </c>
      <c r="E711" s="3" t="s">
        <v>617</v>
      </c>
      <c r="F711" s="3">
        <v>10</v>
      </c>
      <c r="G711" s="3" t="s">
        <v>654</v>
      </c>
      <c r="H711" s="3">
        <v>0</v>
      </c>
    </row>
    <row r="712" spans="1:8" x14ac:dyDescent="0.3">
      <c r="A712" s="4">
        <v>38332</v>
      </c>
      <c r="B712" s="3">
        <v>2004</v>
      </c>
      <c r="C712" s="3">
        <v>12</v>
      </c>
      <c r="D712" s="3" t="s">
        <v>669</v>
      </c>
      <c r="E712" s="3" t="s">
        <v>617</v>
      </c>
      <c r="F712" s="3">
        <v>11</v>
      </c>
      <c r="G712" s="3" t="s">
        <v>655</v>
      </c>
      <c r="H712" s="3">
        <v>1</v>
      </c>
    </row>
    <row r="713" spans="1:8" x14ac:dyDescent="0.3">
      <c r="A713" s="4">
        <v>38333</v>
      </c>
      <c r="B713" s="3">
        <v>2004</v>
      </c>
      <c r="C713" s="3">
        <v>12</v>
      </c>
      <c r="D713" s="3" t="s">
        <v>669</v>
      </c>
      <c r="E713" s="3" t="s">
        <v>617</v>
      </c>
      <c r="F713" s="3">
        <v>12</v>
      </c>
      <c r="G713" s="3" t="s">
        <v>656</v>
      </c>
      <c r="H713" s="3">
        <v>1</v>
      </c>
    </row>
    <row r="714" spans="1:8" x14ac:dyDescent="0.3">
      <c r="A714" s="4">
        <v>38334</v>
      </c>
      <c r="B714" s="3">
        <v>2004</v>
      </c>
      <c r="C714" s="3">
        <v>12</v>
      </c>
      <c r="D714" s="3" t="s">
        <v>669</v>
      </c>
      <c r="E714" s="3" t="s">
        <v>617</v>
      </c>
      <c r="F714" s="3">
        <v>13</v>
      </c>
      <c r="G714" s="3" t="s">
        <v>657</v>
      </c>
      <c r="H714" s="3">
        <v>0</v>
      </c>
    </row>
    <row r="715" spans="1:8" x14ac:dyDescent="0.3">
      <c r="A715" s="4">
        <v>38335</v>
      </c>
      <c r="B715" s="3">
        <v>2004</v>
      </c>
      <c r="C715" s="3">
        <v>12</v>
      </c>
      <c r="D715" s="3" t="s">
        <v>669</v>
      </c>
      <c r="E715" s="3" t="s">
        <v>617</v>
      </c>
      <c r="F715" s="3">
        <v>14</v>
      </c>
      <c r="G715" s="3" t="s">
        <v>658</v>
      </c>
      <c r="H715" s="3">
        <v>0</v>
      </c>
    </row>
    <row r="716" spans="1:8" x14ac:dyDescent="0.3">
      <c r="A716" s="4">
        <v>38336</v>
      </c>
      <c r="B716" s="3">
        <v>2004</v>
      </c>
      <c r="C716" s="3">
        <v>12</v>
      </c>
      <c r="D716" s="3" t="s">
        <v>669</v>
      </c>
      <c r="E716" s="3" t="s">
        <v>617</v>
      </c>
      <c r="F716" s="3">
        <v>15</v>
      </c>
      <c r="G716" s="3" t="s">
        <v>652</v>
      </c>
      <c r="H716" s="3">
        <v>0</v>
      </c>
    </row>
    <row r="717" spans="1:8" x14ac:dyDescent="0.3">
      <c r="A717" s="4">
        <v>38337</v>
      </c>
      <c r="B717" s="3">
        <v>2004</v>
      </c>
      <c r="C717" s="3">
        <v>12</v>
      </c>
      <c r="D717" s="3" t="s">
        <v>669</v>
      </c>
      <c r="E717" s="3" t="s">
        <v>617</v>
      </c>
      <c r="F717" s="3">
        <v>16</v>
      </c>
      <c r="G717" s="3" t="s">
        <v>653</v>
      </c>
      <c r="H717" s="3">
        <v>0</v>
      </c>
    </row>
    <row r="718" spans="1:8" x14ac:dyDescent="0.3">
      <c r="A718" s="4">
        <v>38338</v>
      </c>
      <c r="B718" s="3">
        <v>2004</v>
      </c>
      <c r="C718" s="3">
        <v>12</v>
      </c>
      <c r="D718" s="3" t="s">
        <v>669</v>
      </c>
      <c r="E718" s="3" t="s">
        <v>617</v>
      </c>
      <c r="F718" s="3">
        <v>17</v>
      </c>
      <c r="G718" s="3" t="s">
        <v>654</v>
      </c>
      <c r="H718" s="3">
        <v>0</v>
      </c>
    </row>
    <row r="719" spans="1:8" x14ac:dyDescent="0.3">
      <c r="A719" s="4">
        <v>38339</v>
      </c>
      <c r="B719" s="3">
        <v>2004</v>
      </c>
      <c r="C719" s="3">
        <v>12</v>
      </c>
      <c r="D719" s="3" t="s">
        <v>669</v>
      </c>
      <c r="E719" s="3" t="s">
        <v>617</v>
      </c>
      <c r="F719" s="3">
        <v>18</v>
      </c>
      <c r="G719" s="3" t="s">
        <v>655</v>
      </c>
      <c r="H719" s="3">
        <v>1</v>
      </c>
    </row>
    <row r="720" spans="1:8" x14ac:dyDescent="0.3">
      <c r="A720" s="4">
        <v>38340</v>
      </c>
      <c r="B720" s="3">
        <v>2004</v>
      </c>
      <c r="C720" s="3">
        <v>12</v>
      </c>
      <c r="D720" s="3" t="s">
        <v>669</v>
      </c>
      <c r="E720" s="3" t="s">
        <v>617</v>
      </c>
      <c r="F720" s="3">
        <v>19</v>
      </c>
      <c r="G720" s="3" t="s">
        <v>656</v>
      </c>
      <c r="H720" s="3">
        <v>1</v>
      </c>
    </row>
    <row r="721" spans="1:8" x14ac:dyDescent="0.3">
      <c r="A721" s="4">
        <v>38341</v>
      </c>
      <c r="B721" s="3">
        <v>2004</v>
      </c>
      <c r="C721" s="3">
        <v>12</v>
      </c>
      <c r="D721" s="3" t="s">
        <v>669</v>
      </c>
      <c r="E721" s="3" t="s">
        <v>617</v>
      </c>
      <c r="F721" s="3">
        <v>20</v>
      </c>
      <c r="G721" s="3" t="s">
        <v>657</v>
      </c>
      <c r="H721" s="3">
        <v>0</v>
      </c>
    </row>
    <row r="722" spans="1:8" x14ac:dyDescent="0.3">
      <c r="A722" s="4">
        <v>38342</v>
      </c>
      <c r="B722" s="3">
        <v>2004</v>
      </c>
      <c r="C722" s="3">
        <v>12</v>
      </c>
      <c r="D722" s="3" t="s">
        <v>669</v>
      </c>
      <c r="E722" s="3" t="s">
        <v>617</v>
      </c>
      <c r="F722" s="3">
        <v>21</v>
      </c>
      <c r="G722" s="3" t="s">
        <v>658</v>
      </c>
      <c r="H722" s="3">
        <v>0</v>
      </c>
    </row>
    <row r="723" spans="1:8" x14ac:dyDescent="0.3">
      <c r="A723" s="4">
        <v>38343</v>
      </c>
      <c r="B723" s="3">
        <v>2004</v>
      </c>
      <c r="C723" s="3">
        <v>12</v>
      </c>
      <c r="D723" s="3" t="s">
        <v>669</v>
      </c>
      <c r="E723" s="3" t="s">
        <v>617</v>
      </c>
      <c r="F723" s="3">
        <v>22</v>
      </c>
      <c r="G723" s="3" t="s">
        <v>652</v>
      </c>
      <c r="H723" s="3">
        <v>0</v>
      </c>
    </row>
    <row r="724" spans="1:8" x14ac:dyDescent="0.3">
      <c r="A724" s="4">
        <v>38344</v>
      </c>
      <c r="B724" s="3">
        <v>2004</v>
      </c>
      <c r="C724" s="3">
        <v>12</v>
      </c>
      <c r="D724" s="3" t="s">
        <v>669</v>
      </c>
      <c r="E724" s="3" t="s">
        <v>617</v>
      </c>
      <c r="F724" s="3">
        <v>23</v>
      </c>
      <c r="G724" s="3" t="s">
        <v>653</v>
      </c>
      <c r="H724" s="3">
        <v>0</v>
      </c>
    </row>
    <row r="725" spans="1:8" x14ac:dyDescent="0.3">
      <c r="A725" s="4">
        <v>38345</v>
      </c>
      <c r="B725" s="3">
        <v>2004</v>
      </c>
      <c r="C725" s="3">
        <v>12</v>
      </c>
      <c r="D725" s="3" t="s">
        <v>669</v>
      </c>
      <c r="E725" s="3" t="s">
        <v>617</v>
      </c>
      <c r="F725" s="3">
        <v>24</v>
      </c>
      <c r="G725" s="3" t="s">
        <v>654</v>
      </c>
      <c r="H725" s="3">
        <v>0</v>
      </c>
    </row>
    <row r="726" spans="1:8" x14ac:dyDescent="0.3">
      <c r="A726" s="4">
        <v>38346</v>
      </c>
      <c r="B726" s="3">
        <v>2004</v>
      </c>
      <c r="C726" s="3">
        <v>12</v>
      </c>
      <c r="D726" s="3" t="s">
        <v>669</v>
      </c>
      <c r="E726" s="3" t="s">
        <v>617</v>
      </c>
      <c r="F726" s="3">
        <v>25</v>
      </c>
      <c r="G726" s="3" t="s">
        <v>655</v>
      </c>
      <c r="H726" s="3">
        <v>1</v>
      </c>
    </row>
    <row r="727" spans="1:8" x14ac:dyDescent="0.3">
      <c r="A727" s="4">
        <v>38347</v>
      </c>
      <c r="B727" s="3">
        <v>2004</v>
      </c>
      <c r="C727" s="3">
        <v>12</v>
      </c>
      <c r="D727" s="3" t="s">
        <v>669</v>
      </c>
      <c r="E727" s="3" t="s">
        <v>617</v>
      </c>
      <c r="F727" s="3">
        <v>26</v>
      </c>
      <c r="G727" s="3" t="s">
        <v>656</v>
      </c>
      <c r="H727" s="3">
        <v>1</v>
      </c>
    </row>
    <row r="728" spans="1:8" x14ac:dyDescent="0.3">
      <c r="A728" s="4">
        <v>38348</v>
      </c>
      <c r="B728" s="3">
        <v>2004</v>
      </c>
      <c r="C728" s="3">
        <v>12</v>
      </c>
      <c r="D728" s="3" t="s">
        <v>669</v>
      </c>
      <c r="E728" s="3" t="s">
        <v>617</v>
      </c>
      <c r="F728" s="3">
        <v>27</v>
      </c>
      <c r="G728" s="3" t="s">
        <v>657</v>
      </c>
      <c r="H728" s="3">
        <v>0</v>
      </c>
    </row>
    <row r="729" spans="1:8" x14ac:dyDescent="0.3">
      <c r="A729" s="4">
        <v>38349</v>
      </c>
      <c r="B729" s="3">
        <v>2004</v>
      </c>
      <c r="C729" s="3">
        <v>12</v>
      </c>
      <c r="D729" s="3" t="s">
        <v>669</v>
      </c>
      <c r="E729" s="3" t="s">
        <v>617</v>
      </c>
      <c r="F729" s="3">
        <v>28</v>
      </c>
      <c r="G729" s="3" t="s">
        <v>658</v>
      </c>
      <c r="H729" s="3">
        <v>0</v>
      </c>
    </row>
    <row r="730" spans="1:8" x14ac:dyDescent="0.3">
      <c r="A730" s="4">
        <v>38350</v>
      </c>
      <c r="B730" s="3">
        <v>2004</v>
      </c>
      <c r="C730" s="3">
        <v>12</v>
      </c>
      <c r="D730" s="3" t="s">
        <v>669</v>
      </c>
      <c r="E730" s="3" t="s">
        <v>617</v>
      </c>
      <c r="F730" s="3">
        <v>29</v>
      </c>
      <c r="G730" s="3" t="s">
        <v>652</v>
      </c>
      <c r="H730" s="3">
        <v>0</v>
      </c>
    </row>
    <row r="731" spans="1:8" x14ac:dyDescent="0.3">
      <c r="A731" s="4">
        <v>38351</v>
      </c>
      <c r="B731" s="3">
        <v>2004</v>
      </c>
      <c r="C731" s="3">
        <v>12</v>
      </c>
      <c r="D731" s="3" t="s">
        <v>669</v>
      </c>
      <c r="E731" s="3" t="s">
        <v>617</v>
      </c>
      <c r="F731" s="3">
        <v>30</v>
      </c>
      <c r="G731" s="3" t="s">
        <v>653</v>
      </c>
      <c r="H731" s="3">
        <v>0</v>
      </c>
    </row>
    <row r="732" spans="1:8" x14ac:dyDescent="0.3">
      <c r="A732" s="4">
        <v>38352</v>
      </c>
      <c r="B732" s="3">
        <v>2004</v>
      </c>
      <c r="C732" s="3">
        <v>12</v>
      </c>
      <c r="D732" s="3" t="s">
        <v>669</v>
      </c>
      <c r="E732" s="3" t="s">
        <v>617</v>
      </c>
      <c r="F732" s="3">
        <v>31</v>
      </c>
      <c r="G732" s="3" t="s">
        <v>654</v>
      </c>
      <c r="H732" s="3">
        <v>0</v>
      </c>
    </row>
    <row r="733" spans="1:8" x14ac:dyDescent="0.3">
      <c r="A733" s="4">
        <v>38353</v>
      </c>
      <c r="B733" s="3">
        <v>2005</v>
      </c>
      <c r="C733" s="3">
        <v>1</v>
      </c>
      <c r="D733" s="3" t="s">
        <v>651</v>
      </c>
      <c r="E733" s="3" t="s">
        <v>614</v>
      </c>
      <c r="F733" s="3">
        <v>1</v>
      </c>
      <c r="G733" s="3" t="s">
        <v>655</v>
      </c>
      <c r="H733" s="3">
        <v>1</v>
      </c>
    </row>
    <row r="734" spans="1:8" x14ac:dyDescent="0.3">
      <c r="A734" s="4">
        <v>38354</v>
      </c>
      <c r="B734" s="3">
        <v>2005</v>
      </c>
      <c r="C734" s="3">
        <v>1</v>
      </c>
      <c r="D734" s="3" t="s">
        <v>651</v>
      </c>
      <c r="E734" s="3" t="s">
        <v>614</v>
      </c>
      <c r="F734" s="3">
        <v>2</v>
      </c>
      <c r="G734" s="3" t="s">
        <v>656</v>
      </c>
      <c r="H734" s="3">
        <v>1</v>
      </c>
    </row>
    <row r="735" spans="1:8" x14ac:dyDescent="0.3">
      <c r="A735" s="4">
        <v>38355</v>
      </c>
      <c r="B735" s="3">
        <v>2005</v>
      </c>
      <c r="C735" s="3">
        <v>1</v>
      </c>
      <c r="D735" s="3" t="s">
        <v>651</v>
      </c>
      <c r="E735" s="3" t="s">
        <v>614</v>
      </c>
      <c r="F735" s="3">
        <v>3</v>
      </c>
      <c r="G735" s="3" t="s">
        <v>657</v>
      </c>
      <c r="H735" s="3">
        <v>0</v>
      </c>
    </row>
    <row r="736" spans="1:8" x14ac:dyDescent="0.3">
      <c r="A736" s="4">
        <v>38356</v>
      </c>
      <c r="B736" s="3">
        <v>2005</v>
      </c>
      <c r="C736" s="3">
        <v>1</v>
      </c>
      <c r="D736" s="3" t="s">
        <v>651</v>
      </c>
      <c r="E736" s="3" t="s">
        <v>614</v>
      </c>
      <c r="F736" s="3">
        <v>4</v>
      </c>
      <c r="G736" s="3" t="s">
        <v>658</v>
      </c>
      <c r="H736" s="3">
        <v>0</v>
      </c>
    </row>
    <row r="737" spans="1:8" x14ac:dyDescent="0.3">
      <c r="A737" s="4">
        <v>38357</v>
      </c>
      <c r="B737" s="3">
        <v>2005</v>
      </c>
      <c r="C737" s="3">
        <v>1</v>
      </c>
      <c r="D737" s="3" t="s">
        <v>651</v>
      </c>
      <c r="E737" s="3" t="s">
        <v>614</v>
      </c>
      <c r="F737" s="3">
        <v>5</v>
      </c>
      <c r="G737" s="3" t="s">
        <v>652</v>
      </c>
      <c r="H737" s="3">
        <v>0</v>
      </c>
    </row>
    <row r="738" spans="1:8" x14ac:dyDescent="0.3">
      <c r="A738" s="4">
        <v>38358</v>
      </c>
      <c r="B738" s="3">
        <v>2005</v>
      </c>
      <c r="C738" s="3">
        <v>1</v>
      </c>
      <c r="D738" s="3" t="s">
        <v>651</v>
      </c>
      <c r="E738" s="3" t="s">
        <v>614</v>
      </c>
      <c r="F738" s="3">
        <v>6</v>
      </c>
      <c r="G738" s="3" t="s">
        <v>653</v>
      </c>
      <c r="H738" s="3">
        <v>0</v>
      </c>
    </row>
    <row r="739" spans="1:8" x14ac:dyDescent="0.3">
      <c r="A739" s="4">
        <v>38359</v>
      </c>
      <c r="B739" s="3">
        <v>2005</v>
      </c>
      <c r="C739" s="3">
        <v>1</v>
      </c>
      <c r="D739" s="3" t="s">
        <v>651</v>
      </c>
      <c r="E739" s="3" t="s">
        <v>614</v>
      </c>
      <c r="F739" s="3">
        <v>7</v>
      </c>
      <c r="G739" s="3" t="s">
        <v>654</v>
      </c>
      <c r="H739" s="3">
        <v>0</v>
      </c>
    </row>
    <row r="740" spans="1:8" x14ac:dyDescent="0.3">
      <c r="A740" s="4">
        <v>38360</v>
      </c>
      <c r="B740" s="3">
        <v>2005</v>
      </c>
      <c r="C740" s="3">
        <v>1</v>
      </c>
      <c r="D740" s="3" t="s">
        <v>651</v>
      </c>
      <c r="E740" s="3" t="s">
        <v>614</v>
      </c>
      <c r="F740" s="3">
        <v>8</v>
      </c>
      <c r="G740" s="3" t="s">
        <v>655</v>
      </c>
      <c r="H740" s="3">
        <v>1</v>
      </c>
    </row>
    <row r="741" spans="1:8" x14ac:dyDescent="0.3">
      <c r="A741" s="4">
        <v>38361</v>
      </c>
      <c r="B741" s="3">
        <v>2005</v>
      </c>
      <c r="C741" s="3">
        <v>1</v>
      </c>
      <c r="D741" s="3" t="s">
        <v>651</v>
      </c>
      <c r="E741" s="3" t="s">
        <v>614</v>
      </c>
      <c r="F741" s="3">
        <v>9</v>
      </c>
      <c r="G741" s="3" t="s">
        <v>656</v>
      </c>
      <c r="H741" s="3">
        <v>1</v>
      </c>
    </row>
    <row r="742" spans="1:8" x14ac:dyDescent="0.3">
      <c r="A742" s="4">
        <v>38362</v>
      </c>
      <c r="B742" s="3">
        <v>2005</v>
      </c>
      <c r="C742" s="3">
        <v>1</v>
      </c>
      <c r="D742" s="3" t="s">
        <v>651</v>
      </c>
      <c r="E742" s="3" t="s">
        <v>614</v>
      </c>
      <c r="F742" s="3">
        <v>10</v>
      </c>
      <c r="G742" s="3" t="s">
        <v>657</v>
      </c>
      <c r="H742" s="3">
        <v>0</v>
      </c>
    </row>
    <row r="743" spans="1:8" x14ac:dyDescent="0.3">
      <c r="A743" s="4">
        <v>38363</v>
      </c>
      <c r="B743" s="3">
        <v>2005</v>
      </c>
      <c r="C743" s="3">
        <v>1</v>
      </c>
      <c r="D743" s="3" t="s">
        <v>651</v>
      </c>
      <c r="E743" s="3" t="s">
        <v>614</v>
      </c>
      <c r="F743" s="3">
        <v>11</v>
      </c>
      <c r="G743" s="3" t="s">
        <v>658</v>
      </c>
      <c r="H743" s="3">
        <v>0</v>
      </c>
    </row>
    <row r="744" spans="1:8" x14ac:dyDescent="0.3">
      <c r="A744" s="4">
        <v>38364</v>
      </c>
      <c r="B744" s="3">
        <v>2005</v>
      </c>
      <c r="C744" s="3">
        <v>1</v>
      </c>
      <c r="D744" s="3" t="s">
        <v>651</v>
      </c>
      <c r="E744" s="3" t="s">
        <v>614</v>
      </c>
      <c r="F744" s="3">
        <v>12</v>
      </c>
      <c r="G744" s="3" t="s">
        <v>652</v>
      </c>
      <c r="H744" s="3">
        <v>0</v>
      </c>
    </row>
    <row r="745" spans="1:8" x14ac:dyDescent="0.3">
      <c r="A745" s="4">
        <v>38365</v>
      </c>
      <c r="B745" s="3">
        <v>2005</v>
      </c>
      <c r="C745" s="3">
        <v>1</v>
      </c>
      <c r="D745" s="3" t="s">
        <v>651</v>
      </c>
      <c r="E745" s="3" t="s">
        <v>614</v>
      </c>
      <c r="F745" s="3">
        <v>13</v>
      </c>
      <c r="G745" s="3" t="s">
        <v>653</v>
      </c>
      <c r="H745" s="3">
        <v>0</v>
      </c>
    </row>
    <row r="746" spans="1:8" x14ac:dyDescent="0.3">
      <c r="A746" s="4">
        <v>38366</v>
      </c>
      <c r="B746" s="3">
        <v>2005</v>
      </c>
      <c r="C746" s="3">
        <v>1</v>
      </c>
      <c r="D746" s="3" t="s">
        <v>651</v>
      </c>
      <c r="E746" s="3" t="s">
        <v>614</v>
      </c>
      <c r="F746" s="3">
        <v>14</v>
      </c>
      <c r="G746" s="3" t="s">
        <v>654</v>
      </c>
      <c r="H746" s="3">
        <v>0</v>
      </c>
    </row>
    <row r="747" spans="1:8" x14ac:dyDescent="0.3">
      <c r="A747" s="4">
        <v>38367</v>
      </c>
      <c r="B747" s="3">
        <v>2005</v>
      </c>
      <c r="C747" s="3">
        <v>1</v>
      </c>
      <c r="D747" s="3" t="s">
        <v>651</v>
      </c>
      <c r="E747" s="3" t="s">
        <v>614</v>
      </c>
      <c r="F747" s="3">
        <v>15</v>
      </c>
      <c r="G747" s="3" t="s">
        <v>655</v>
      </c>
      <c r="H747" s="3">
        <v>1</v>
      </c>
    </row>
    <row r="748" spans="1:8" x14ac:dyDescent="0.3">
      <c r="A748" s="4">
        <v>38368</v>
      </c>
      <c r="B748" s="3">
        <v>2005</v>
      </c>
      <c r="C748" s="3">
        <v>1</v>
      </c>
      <c r="D748" s="3" t="s">
        <v>651</v>
      </c>
      <c r="E748" s="3" t="s">
        <v>614</v>
      </c>
      <c r="F748" s="3">
        <v>16</v>
      </c>
      <c r="G748" s="3" t="s">
        <v>656</v>
      </c>
      <c r="H748" s="3">
        <v>1</v>
      </c>
    </row>
    <row r="749" spans="1:8" x14ac:dyDescent="0.3">
      <c r="A749" s="4">
        <v>38369</v>
      </c>
      <c r="B749" s="3">
        <v>2005</v>
      </c>
      <c r="C749" s="3">
        <v>1</v>
      </c>
      <c r="D749" s="3" t="s">
        <v>651</v>
      </c>
      <c r="E749" s="3" t="s">
        <v>614</v>
      </c>
      <c r="F749" s="3">
        <v>17</v>
      </c>
      <c r="G749" s="3" t="s">
        <v>657</v>
      </c>
      <c r="H749" s="3">
        <v>0</v>
      </c>
    </row>
    <row r="750" spans="1:8" x14ac:dyDescent="0.3">
      <c r="A750" s="4">
        <v>38370</v>
      </c>
      <c r="B750" s="3">
        <v>2005</v>
      </c>
      <c r="C750" s="3">
        <v>1</v>
      </c>
      <c r="D750" s="3" t="s">
        <v>651</v>
      </c>
      <c r="E750" s="3" t="s">
        <v>614</v>
      </c>
      <c r="F750" s="3">
        <v>18</v>
      </c>
      <c r="G750" s="3" t="s">
        <v>658</v>
      </c>
      <c r="H750" s="3">
        <v>0</v>
      </c>
    </row>
    <row r="751" spans="1:8" x14ac:dyDescent="0.3">
      <c r="A751" s="4">
        <v>38371</v>
      </c>
      <c r="B751" s="3">
        <v>2005</v>
      </c>
      <c r="C751" s="3">
        <v>1</v>
      </c>
      <c r="D751" s="3" t="s">
        <v>651</v>
      </c>
      <c r="E751" s="3" t="s">
        <v>614</v>
      </c>
      <c r="F751" s="3">
        <v>19</v>
      </c>
      <c r="G751" s="3" t="s">
        <v>652</v>
      </c>
      <c r="H751" s="3">
        <v>0</v>
      </c>
    </row>
    <row r="752" spans="1:8" x14ac:dyDescent="0.3">
      <c r="A752" s="4">
        <v>38372</v>
      </c>
      <c r="B752" s="3">
        <v>2005</v>
      </c>
      <c r="C752" s="3">
        <v>1</v>
      </c>
      <c r="D752" s="3" t="s">
        <v>651</v>
      </c>
      <c r="E752" s="3" t="s">
        <v>614</v>
      </c>
      <c r="F752" s="3">
        <v>20</v>
      </c>
      <c r="G752" s="3" t="s">
        <v>653</v>
      </c>
      <c r="H752" s="3">
        <v>0</v>
      </c>
    </row>
    <row r="753" spans="1:8" x14ac:dyDescent="0.3">
      <c r="A753" s="4">
        <v>38373</v>
      </c>
      <c r="B753" s="3">
        <v>2005</v>
      </c>
      <c r="C753" s="3">
        <v>1</v>
      </c>
      <c r="D753" s="3" t="s">
        <v>651</v>
      </c>
      <c r="E753" s="3" t="s">
        <v>614</v>
      </c>
      <c r="F753" s="3">
        <v>21</v>
      </c>
      <c r="G753" s="3" t="s">
        <v>654</v>
      </c>
      <c r="H753" s="3">
        <v>0</v>
      </c>
    </row>
    <row r="754" spans="1:8" x14ac:dyDescent="0.3">
      <c r="A754" s="4">
        <v>38374</v>
      </c>
      <c r="B754" s="3">
        <v>2005</v>
      </c>
      <c r="C754" s="3">
        <v>1</v>
      </c>
      <c r="D754" s="3" t="s">
        <v>651</v>
      </c>
      <c r="E754" s="3" t="s">
        <v>614</v>
      </c>
      <c r="F754" s="3">
        <v>22</v>
      </c>
      <c r="G754" s="3" t="s">
        <v>655</v>
      </c>
      <c r="H754" s="3">
        <v>1</v>
      </c>
    </row>
    <row r="755" spans="1:8" x14ac:dyDescent="0.3">
      <c r="A755" s="4">
        <v>38375</v>
      </c>
      <c r="B755" s="3">
        <v>2005</v>
      </c>
      <c r="C755" s="3">
        <v>1</v>
      </c>
      <c r="D755" s="3" t="s">
        <v>651</v>
      </c>
      <c r="E755" s="3" t="s">
        <v>614</v>
      </c>
      <c r="F755" s="3">
        <v>23</v>
      </c>
      <c r="G755" s="3" t="s">
        <v>656</v>
      </c>
      <c r="H755" s="3">
        <v>1</v>
      </c>
    </row>
    <row r="756" spans="1:8" x14ac:dyDescent="0.3">
      <c r="A756" s="4">
        <v>38376</v>
      </c>
      <c r="B756" s="3">
        <v>2005</v>
      </c>
      <c r="C756" s="3">
        <v>1</v>
      </c>
      <c r="D756" s="3" t="s">
        <v>651</v>
      </c>
      <c r="E756" s="3" t="s">
        <v>614</v>
      </c>
      <c r="F756" s="3">
        <v>24</v>
      </c>
      <c r="G756" s="3" t="s">
        <v>657</v>
      </c>
      <c r="H756" s="3">
        <v>0</v>
      </c>
    </row>
    <row r="757" spans="1:8" x14ac:dyDescent="0.3">
      <c r="A757" s="4">
        <v>38377</v>
      </c>
      <c r="B757" s="3">
        <v>2005</v>
      </c>
      <c r="C757" s="3">
        <v>1</v>
      </c>
      <c r="D757" s="3" t="s">
        <v>651</v>
      </c>
      <c r="E757" s="3" t="s">
        <v>614</v>
      </c>
      <c r="F757" s="3">
        <v>25</v>
      </c>
      <c r="G757" s="3" t="s">
        <v>658</v>
      </c>
      <c r="H757" s="3">
        <v>0</v>
      </c>
    </row>
    <row r="758" spans="1:8" x14ac:dyDescent="0.3">
      <c r="A758" s="4">
        <v>38378</v>
      </c>
      <c r="B758" s="3">
        <v>2005</v>
      </c>
      <c r="C758" s="3">
        <v>1</v>
      </c>
      <c r="D758" s="3" t="s">
        <v>651</v>
      </c>
      <c r="E758" s="3" t="s">
        <v>614</v>
      </c>
      <c r="F758" s="3">
        <v>26</v>
      </c>
      <c r="G758" s="3" t="s">
        <v>652</v>
      </c>
      <c r="H758" s="3">
        <v>0</v>
      </c>
    </row>
    <row r="759" spans="1:8" x14ac:dyDescent="0.3">
      <c r="A759" s="4">
        <v>38379</v>
      </c>
      <c r="B759" s="3">
        <v>2005</v>
      </c>
      <c r="C759" s="3">
        <v>1</v>
      </c>
      <c r="D759" s="3" t="s">
        <v>651</v>
      </c>
      <c r="E759" s="3" t="s">
        <v>614</v>
      </c>
      <c r="F759" s="3">
        <v>27</v>
      </c>
      <c r="G759" s="3" t="s">
        <v>653</v>
      </c>
      <c r="H759" s="3">
        <v>0</v>
      </c>
    </row>
    <row r="760" spans="1:8" x14ac:dyDescent="0.3">
      <c r="A760" s="4">
        <v>38380</v>
      </c>
      <c r="B760" s="3">
        <v>2005</v>
      </c>
      <c r="C760" s="3">
        <v>1</v>
      </c>
      <c r="D760" s="3" t="s">
        <v>651</v>
      </c>
      <c r="E760" s="3" t="s">
        <v>614</v>
      </c>
      <c r="F760" s="3">
        <v>28</v>
      </c>
      <c r="G760" s="3" t="s">
        <v>654</v>
      </c>
      <c r="H760" s="3">
        <v>0</v>
      </c>
    </row>
    <row r="761" spans="1:8" x14ac:dyDescent="0.3">
      <c r="A761" s="4">
        <v>38381</v>
      </c>
      <c r="B761" s="3">
        <v>2005</v>
      </c>
      <c r="C761" s="3">
        <v>1</v>
      </c>
      <c r="D761" s="3" t="s">
        <v>651</v>
      </c>
      <c r="E761" s="3" t="s">
        <v>614</v>
      </c>
      <c r="F761" s="3">
        <v>29</v>
      </c>
      <c r="G761" s="3" t="s">
        <v>655</v>
      </c>
      <c r="H761" s="3">
        <v>1</v>
      </c>
    </row>
    <row r="762" spans="1:8" x14ac:dyDescent="0.3">
      <c r="A762" s="4">
        <v>38382</v>
      </c>
      <c r="B762" s="3">
        <v>2005</v>
      </c>
      <c r="C762" s="3">
        <v>1</v>
      </c>
      <c r="D762" s="3" t="s">
        <v>651</v>
      </c>
      <c r="E762" s="3" t="s">
        <v>614</v>
      </c>
      <c r="F762" s="3">
        <v>30</v>
      </c>
      <c r="G762" s="3" t="s">
        <v>656</v>
      </c>
      <c r="H762" s="3">
        <v>1</v>
      </c>
    </row>
    <row r="763" spans="1:8" x14ac:dyDescent="0.3">
      <c r="A763" s="4">
        <v>38383</v>
      </c>
      <c r="B763" s="3">
        <v>2005</v>
      </c>
      <c r="C763" s="3">
        <v>1</v>
      </c>
      <c r="D763" s="3" t="s">
        <v>651</v>
      </c>
      <c r="E763" s="3" t="s">
        <v>614</v>
      </c>
      <c r="F763" s="3">
        <v>31</v>
      </c>
      <c r="G763" s="3" t="s">
        <v>657</v>
      </c>
      <c r="H763" s="3">
        <v>0</v>
      </c>
    </row>
    <row r="764" spans="1:8" x14ac:dyDescent="0.3">
      <c r="A764" s="4">
        <v>38384</v>
      </c>
      <c r="B764" s="3">
        <v>2005</v>
      </c>
      <c r="C764" s="3">
        <v>2</v>
      </c>
      <c r="D764" s="3" t="s">
        <v>659</v>
      </c>
      <c r="E764" s="3" t="s">
        <v>614</v>
      </c>
      <c r="F764" s="3">
        <v>1</v>
      </c>
      <c r="G764" s="3" t="s">
        <v>658</v>
      </c>
      <c r="H764" s="3">
        <v>0</v>
      </c>
    </row>
    <row r="765" spans="1:8" x14ac:dyDescent="0.3">
      <c r="A765" s="4">
        <v>38385</v>
      </c>
      <c r="B765" s="3">
        <v>2005</v>
      </c>
      <c r="C765" s="3">
        <v>2</v>
      </c>
      <c r="D765" s="3" t="s">
        <v>659</v>
      </c>
      <c r="E765" s="3" t="s">
        <v>614</v>
      </c>
      <c r="F765" s="3">
        <v>2</v>
      </c>
      <c r="G765" s="3" t="s">
        <v>652</v>
      </c>
      <c r="H765" s="3">
        <v>0</v>
      </c>
    </row>
    <row r="766" spans="1:8" x14ac:dyDescent="0.3">
      <c r="A766" s="4">
        <v>38386</v>
      </c>
      <c r="B766" s="3">
        <v>2005</v>
      </c>
      <c r="C766" s="3">
        <v>2</v>
      </c>
      <c r="D766" s="3" t="s">
        <v>659</v>
      </c>
      <c r="E766" s="3" t="s">
        <v>614</v>
      </c>
      <c r="F766" s="3">
        <v>3</v>
      </c>
      <c r="G766" s="3" t="s">
        <v>653</v>
      </c>
      <c r="H766" s="3">
        <v>0</v>
      </c>
    </row>
    <row r="767" spans="1:8" x14ac:dyDescent="0.3">
      <c r="A767" s="4">
        <v>38387</v>
      </c>
      <c r="B767" s="3">
        <v>2005</v>
      </c>
      <c r="C767" s="3">
        <v>2</v>
      </c>
      <c r="D767" s="3" t="s">
        <v>659</v>
      </c>
      <c r="E767" s="3" t="s">
        <v>614</v>
      </c>
      <c r="F767" s="3">
        <v>4</v>
      </c>
      <c r="G767" s="3" t="s">
        <v>654</v>
      </c>
      <c r="H767" s="3">
        <v>0</v>
      </c>
    </row>
    <row r="768" spans="1:8" x14ac:dyDescent="0.3">
      <c r="A768" s="4">
        <v>38388</v>
      </c>
      <c r="B768" s="3">
        <v>2005</v>
      </c>
      <c r="C768" s="3">
        <v>2</v>
      </c>
      <c r="D768" s="3" t="s">
        <v>659</v>
      </c>
      <c r="E768" s="3" t="s">
        <v>614</v>
      </c>
      <c r="F768" s="3">
        <v>5</v>
      </c>
      <c r="G768" s="3" t="s">
        <v>655</v>
      </c>
      <c r="H768" s="3">
        <v>1</v>
      </c>
    </row>
    <row r="769" spans="1:8" x14ac:dyDescent="0.3">
      <c r="A769" s="4">
        <v>38389</v>
      </c>
      <c r="B769" s="3">
        <v>2005</v>
      </c>
      <c r="C769" s="3">
        <v>2</v>
      </c>
      <c r="D769" s="3" t="s">
        <v>659</v>
      </c>
      <c r="E769" s="3" t="s">
        <v>614</v>
      </c>
      <c r="F769" s="3">
        <v>6</v>
      </c>
      <c r="G769" s="3" t="s">
        <v>656</v>
      </c>
      <c r="H769" s="3">
        <v>1</v>
      </c>
    </row>
    <row r="770" spans="1:8" x14ac:dyDescent="0.3">
      <c r="A770" s="4">
        <v>38390</v>
      </c>
      <c r="B770" s="3">
        <v>2005</v>
      </c>
      <c r="C770" s="3">
        <v>2</v>
      </c>
      <c r="D770" s="3" t="s">
        <v>659</v>
      </c>
      <c r="E770" s="3" t="s">
        <v>614</v>
      </c>
      <c r="F770" s="3">
        <v>7</v>
      </c>
      <c r="G770" s="3" t="s">
        <v>657</v>
      </c>
      <c r="H770" s="3">
        <v>0</v>
      </c>
    </row>
    <row r="771" spans="1:8" x14ac:dyDescent="0.3">
      <c r="A771" s="4">
        <v>38391</v>
      </c>
      <c r="B771" s="3">
        <v>2005</v>
      </c>
      <c r="C771" s="3">
        <v>2</v>
      </c>
      <c r="D771" s="3" t="s">
        <v>659</v>
      </c>
      <c r="E771" s="3" t="s">
        <v>614</v>
      </c>
      <c r="F771" s="3">
        <v>8</v>
      </c>
      <c r="G771" s="3" t="s">
        <v>658</v>
      </c>
      <c r="H771" s="3">
        <v>0</v>
      </c>
    </row>
    <row r="772" spans="1:8" x14ac:dyDescent="0.3">
      <c r="A772" s="4">
        <v>38392</v>
      </c>
      <c r="B772" s="3">
        <v>2005</v>
      </c>
      <c r="C772" s="3">
        <v>2</v>
      </c>
      <c r="D772" s="3" t="s">
        <v>659</v>
      </c>
      <c r="E772" s="3" t="s">
        <v>614</v>
      </c>
      <c r="F772" s="3">
        <v>9</v>
      </c>
      <c r="G772" s="3" t="s">
        <v>652</v>
      </c>
      <c r="H772" s="3">
        <v>0</v>
      </c>
    </row>
    <row r="773" spans="1:8" x14ac:dyDescent="0.3">
      <c r="A773" s="4">
        <v>38393</v>
      </c>
      <c r="B773" s="3">
        <v>2005</v>
      </c>
      <c r="C773" s="3">
        <v>2</v>
      </c>
      <c r="D773" s="3" t="s">
        <v>659</v>
      </c>
      <c r="E773" s="3" t="s">
        <v>614</v>
      </c>
      <c r="F773" s="3">
        <v>10</v>
      </c>
      <c r="G773" s="3" t="s">
        <v>653</v>
      </c>
      <c r="H773" s="3">
        <v>0</v>
      </c>
    </row>
    <row r="774" spans="1:8" x14ac:dyDescent="0.3">
      <c r="A774" s="4">
        <v>38394</v>
      </c>
      <c r="B774" s="3">
        <v>2005</v>
      </c>
      <c r="C774" s="3">
        <v>2</v>
      </c>
      <c r="D774" s="3" t="s">
        <v>659</v>
      </c>
      <c r="E774" s="3" t="s">
        <v>614</v>
      </c>
      <c r="F774" s="3">
        <v>11</v>
      </c>
      <c r="G774" s="3" t="s">
        <v>654</v>
      </c>
      <c r="H774" s="3">
        <v>0</v>
      </c>
    </row>
    <row r="775" spans="1:8" x14ac:dyDescent="0.3">
      <c r="A775" s="4">
        <v>38395</v>
      </c>
      <c r="B775" s="3">
        <v>2005</v>
      </c>
      <c r="C775" s="3">
        <v>2</v>
      </c>
      <c r="D775" s="3" t="s">
        <v>659</v>
      </c>
      <c r="E775" s="3" t="s">
        <v>614</v>
      </c>
      <c r="F775" s="3">
        <v>12</v>
      </c>
      <c r="G775" s="3" t="s">
        <v>655</v>
      </c>
      <c r="H775" s="3">
        <v>1</v>
      </c>
    </row>
    <row r="776" spans="1:8" x14ac:dyDescent="0.3">
      <c r="A776" s="4">
        <v>38396</v>
      </c>
      <c r="B776" s="3">
        <v>2005</v>
      </c>
      <c r="C776" s="3">
        <v>2</v>
      </c>
      <c r="D776" s="3" t="s">
        <v>659</v>
      </c>
      <c r="E776" s="3" t="s">
        <v>614</v>
      </c>
      <c r="F776" s="3">
        <v>13</v>
      </c>
      <c r="G776" s="3" t="s">
        <v>656</v>
      </c>
      <c r="H776" s="3">
        <v>1</v>
      </c>
    </row>
    <row r="777" spans="1:8" x14ac:dyDescent="0.3">
      <c r="A777" s="4">
        <v>38397</v>
      </c>
      <c r="B777" s="3">
        <v>2005</v>
      </c>
      <c r="C777" s="3">
        <v>2</v>
      </c>
      <c r="D777" s="3" t="s">
        <v>659</v>
      </c>
      <c r="E777" s="3" t="s">
        <v>614</v>
      </c>
      <c r="F777" s="3">
        <v>14</v>
      </c>
      <c r="G777" s="3" t="s">
        <v>657</v>
      </c>
      <c r="H777" s="3">
        <v>0</v>
      </c>
    </row>
    <row r="778" spans="1:8" x14ac:dyDescent="0.3">
      <c r="A778" s="4">
        <v>38398</v>
      </c>
      <c r="B778" s="3">
        <v>2005</v>
      </c>
      <c r="C778" s="3">
        <v>2</v>
      </c>
      <c r="D778" s="3" t="s">
        <v>659</v>
      </c>
      <c r="E778" s="3" t="s">
        <v>614</v>
      </c>
      <c r="F778" s="3">
        <v>15</v>
      </c>
      <c r="G778" s="3" t="s">
        <v>658</v>
      </c>
      <c r="H778" s="3">
        <v>0</v>
      </c>
    </row>
    <row r="779" spans="1:8" x14ac:dyDescent="0.3">
      <c r="A779" s="4">
        <v>38399</v>
      </c>
      <c r="B779" s="3">
        <v>2005</v>
      </c>
      <c r="C779" s="3">
        <v>2</v>
      </c>
      <c r="D779" s="3" t="s">
        <v>659</v>
      </c>
      <c r="E779" s="3" t="s">
        <v>614</v>
      </c>
      <c r="F779" s="3">
        <v>16</v>
      </c>
      <c r="G779" s="3" t="s">
        <v>652</v>
      </c>
      <c r="H779" s="3">
        <v>0</v>
      </c>
    </row>
    <row r="780" spans="1:8" x14ac:dyDescent="0.3">
      <c r="A780" s="4">
        <v>38400</v>
      </c>
      <c r="B780" s="3">
        <v>2005</v>
      </c>
      <c r="C780" s="3">
        <v>2</v>
      </c>
      <c r="D780" s="3" t="s">
        <v>659</v>
      </c>
      <c r="E780" s="3" t="s">
        <v>614</v>
      </c>
      <c r="F780" s="3">
        <v>17</v>
      </c>
      <c r="G780" s="3" t="s">
        <v>653</v>
      </c>
      <c r="H780" s="3">
        <v>0</v>
      </c>
    </row>
    <row r="781" spans="1:8" x14ac:dyDescent="0.3">
      <c r="A781" s="4">
        <v>38401</v>
      </c>
      <c r="B781" s="3">
        <v>2005</v>
      </c>
      <c r="C781" s="3">
        <v>2</v>
      </c>
      <c r="D781" s="3" t="s">
        <v>659</v>
      </c>
      <c r="E781" s="3" t="s">
        <v>614</v>
      </c>
      <c r="F781" s="3">
        <v>18</v>
      </c>
      <c r="G781" s="3" t="s">
        <v>654</v>
      </c>
      <c r="H781" s="3">
        <v>0</v>
      </c>
    </row>
    <row r="782" spans="1:8" x14ac:dyDescent="0.3">
      <c r="A782" s="4">
        <v>38402</v>
      </c>
      <c r="B782" s="3">
        <v>2005</v>
      </c>
      <c r="C782" s="3">
        <v>2</v>
      </c>
      <c r="D782" s="3" t="s">
        <v>659</v>
      </c>
      <c r="E782" s="3" t="s">
        <v>614</v>
      </c>
      <c r="F782" s="3">
        <v>19</v>
      </c>
      <c r="G782" s="3" t="s">
        <v>655</v>
      </c>
      <c r="H782" s="3">
        <v>1</v>
      </c>
    </row>
    <row r="783" spans="1:8" x14ac:dyDescent="0.3">
      <c r="A783" s="4">
        <v>38403</v>
      </c>
      <c r="B783" s="3">
        <v>2005</v>
      </c>
      <c r="C783" s="3">
        <v>2</v>
      </c>
      <c r="D783" s="3" t="s">
        <v>659</v>
      </c>
      <c r="E783" s="3" t="s">
        <v>614</v>
      </c>
      <c r="F783" s="3">
        <v>20</v>
      </c>
      <c r="G783" s="3" t="s">
        <v>656</v>
      </c>
      <c r="H783" s="3">
        <v>1</v>
      </c>
    </row>
    <row r="784" spans="1:8" x14ac:dyDescent="0.3">
      <c r="A784" s="4">
        <v>38404</v>
      </c>
      <c r="B784" s="3">
        <v>2005</v>
      </c>
      <c r="C784" s="3">
        <v>2</v>
      </c>
      <c r="D784" s="3" t="s">
        <v>659</v>
      </c>
      <c r="E784" s="3" t="s">
        <v>614</v>
      </c>
      <c r="F784" s="3">
        <v>21</v>
      </c>
      <c r="G784" s="3" t="s">
        <v>657</v>
      </c>
      <c r="H784" s="3">
        <v>0</v>
      </c>
    </row>
    <row r="785" spans="1:8" x14ac:dyDescent="0.3">
      <c r="A785" s="4">
        <v>38405</v>
      </c>
      <c r="B785" s="3">
        <v>2005</v>
      </c>
      <c r="C785" s="3">
        <v>2</v>
      </c>
      <c r="D785" s="3" t="s">
        <v>659</v>
      </c>
      <c r="E785" s="3" t="s">
        <v>614</v>
      </c>
      <c r="F785" s="3">
        <v>22</v>
      </c>
      <c r="G785" s="3" t="s">
        <v>658</v>
      </c>
      <c r="H785" s="3">
        <v>0</v>
      </c>
    </row>
    <row r="786" spans="1:8" x14ac:dyDescent="0.3">
      <c r="A786" s="4">
        <v>38406</v>
      </c>
      <c r="B786" s="3">
        <v>2005</v>
      </c>
      <c r="C786" s="3">
        <v>2</v>
      </c>
      <c r="D786" s="3" t="s">
        <v>659</v>
      </c>
      <c r="E786" s="3" t="s">
        <v>614</v>
      </c>
      <c r="F786" s="3">
        <v>23</v>
      </c>
      <c r="G786" s="3" t="s">
        <v>652</v>
      </c>
      <c r="H786" s="3">
        <v>0</v>
      </c>
    </row>
    <row r="787" spans="1:8" x14ac:dyDescent="0.3">
      <c r="A787" s="4">
        <v>38407</v>
      </c>
      <c r="B787" s="3">
        <v>2005</v>
      </c>
      <c r="C787" s="3">
        <v>2</v>
      </c>
      <c r="D787" s="3" t="s">
        <v>659</v>
      </c>
      <c r="E787" s="3" t="s">
        <v>614</v>
      </c>
      <c r="F787" s="3">
        <v>24</v>
      </c>
      <c r="G787" s="3" t="s">
        <v>653</v>
      </c>
      <c r="H787" s="3">
        <v>0</v>
      </c>
    </row>
    <row r="788" spans="1:8" x14ac:dyDescent="0.3">
      <c r="A788" s="4">
        <v>38408</v>
      </c>
      <c r="B788" s="3">
        <v>2005</v>
      </c>
      <c r="C788" s="3">
        <v>2</v>
      </c>
      <c r="D788" s="3" t="s">
        <v>659</v>
      </c>
      <c r="E788" s="3" t="s">
        <v>614</v>
      </c>
      <c r="F788" s="3">
        <v>25</v>
      </c>
      <c r="G788" s="3" t="s">
        <v>654</v>
      </c>
      <c r="H788" s="3">
        <v>0</v>
      </c>
    </row>
    <row r="789" spans="1:8" x14ac:dyDescent="0.3">
      <c r="A789" s="4">
        <v>38409</v>
      </c>
      <c r="B789" s="3">
        <v>2005</v>
      </c>
      <c r="C789" s="3">
        <v>2</v>
      </c>
      <c r="D789" s="3" t="s">
        <v>659</v>
      </c>
      <c r="E789" s="3" t="s">
        <v>614</v>
      </c>
      <c r="F789" s="3">
        <v>26</v>
      </c>
      <c r="G789" s="3" t="s">
        <v>655</v>
      </c>
      <c r="H789" s="3">
        <v>1</v>
      </c>
    </row>
    <row r="790" spans="1:8" x14ac:dyDescent="0.3">
      <c r="A790" s="4">
        <v>38410</v>
      </c>
      <c r="B790" s="3">
        <v>2005</v>
      </c>
      <c r="C790" s="3">
        <v>2</v>
      </c>
      <c r="D790" s="3" t="s">
        <v>659</v>
      </c>
      <c r="E790" s="3" t="s">
        <v>614</v>
      </c>
      <c r="F790" s="3">
        <v>27</v>
      </c>
      <c r="G790" s="3" t="s">
        <v>656</v>
      </c>
      <c r="H790" s="3">
        <v>1</v>
      </c>
    </row>
    <row r="791" spans="1:8" x14ac:dyDescent="0.3">
      <c r="A791" s="4">
        <v>38411</v>
      </c>
      <c r="B791" s="3">
        <v>2005</v>
      </c>
      <c r="C791" s="3">
        <v>2</v>
      </c>
      <c r="D791" s="3" t="s">
        <v>659</v>
      </c>
      <c r="E791" s="3" t="s">
        <v>614</v>
      </c>
      <c r="F791" s="3">
        <v>28</v>
      </c>
      <c r="G791" s="3" t="s">
        <v>657</v>
      </c>
      <c r="H791" s="3">
        <v>0</v>
      </c>
    </row>
    <row r="792" spans="1:8" x14ac:dyDescent="0.3">
      <c r="A792" s="4">
        <v>38412</v>
      </c>
      <c r="B792" s="3">
        <v>2005</v>
      </c>
      <c r="C792" s="3">
        <v>3</v>
      </c>
      <c r="D792" s="3" t="s">
        <v>660</v>
      </c>
      <c r="E792" s="3" t="s">
        <v>614</v>
      </c>
      <c r="F792" s="3">
        <v>1</v>
      </c>
      <c r="G792" s="3" t="s">
        <v>658</v>
      </c>
      <c r="H792" s="3">
        <v>0</v>
      </c>
    </row>
    <row r="793" spans="1:8" x14ac:dyDescent="0.3">
      <c r="A793" s="4">
        <v>38413</v>
      </c>
      <c r="B793" s="3">
        <v>2005</v>
      </c>
      <c r="C793" s="3">
        <v>3</v>
      </c>
      <c r="D793" s="3" t="s">
        <v>660</v>
      </c>
      <c r="E793" s="3" t="s">
        <v>614</v>
      </c>
      <c r="F793" s="3">
        <v>2</v>
      </c>
      <c r="G793" s="3" t="s">
        <v>652</v>
      </c>
      <c r="H793" s="3">
        <v>0</v>
      </c>
    </row>
    <row r="794" spans="1:8" x14ac:dyDescent="0.3">
      <c r="A794" s="4">
        <v>38414</v>
      </c>
      <c r="B794" s="3">
        <v>2005</v>
      </c>
      <c r="C794" s="3">
        <v>3</v>
      </c>
      <c r="D794" s="3" t="s">
        <v>660</v>
      </c>
      <c r="E794" s="3" t="s">
        <v>614</v>
      </c>
      <c r="F794" s="3">
        <v>3</v>
      </c>
      <c r="G794" s="3" t="s">
        <v>653</v>
      </c>
      <c r="H794" s="3">
        <v>0</v>
      </c>
    </row>
    <row r="795" spans="1:8" x14ac:dyDescent="0.3">
      <c r="A795" s="4">
        <v>38415</v>
      </c>
      <c r="B795" s="3">
        <v>2005</v>
      </c>
      <c r="C795" s="3">
        <v>3</v>
      </c>
      <c r="D795" s="3" t="s">
        <v>660</v>
      </c>
      <c r="E795" s="3" t="s">
        <v>614</v>
      </c>
      <c r="F795" s="3">
        <v>4</v>
      </c>
      <c r="G795" s="3" t="s">
        <v>654</v>
      </c>
      <c r="H795" s="3">
        <v>0</v>
      </c>
    </row>
    <row r="796" spans="1:8" x14ac:dyDescent="0.3">
      <c r="A796" s="4">
        <v>38416</v>
      </c>
      <c r="B796" s="3">
        <v>2005</v>
      </c>
      <c r="C796" s="3">
        <v>3</v>
      </c>
      <c r="D796" s="3" t="s">
        <v>660</v>
      </c>
      <c r="E796" s="3" t="s">
        <v>614</v>
      </c>
      <c r="F796" s="3">
        <v>5</v>
      </c>
      <c r="G796" s="3" t="s">
        <v>655</v>
      </c>
      <c r="H796" s="3">
        <v>1</v>
      </c>
    </row>
    <row r="797" spans="1:8" x14ac:dyDescent="0.3">
      <c r="A797" s="4">
        <v>38417</v>
      </c>
      <c r="B797" s="3">
        <v>2005</v>
      </c>
      <c r="C797" s="3">
        <v>3</v>
      </c>
      <c r="D797" s="3" t="s">
        <v>660</v>
      </c>
      <c r="E797" s="3" t="s">
        <v>614</v>
      </c>
      <c r="F797" s="3">
        <v>6</v>
      </c>
      <c r="G797" s="3" t="s">
        <v>656</v>
      </c>
      <c r="H797" s="3">
        <v>1</v>
      </c>
    </row>
    <row r="798" spans="1:8" x14ac:dyDescent="0.3">
      <c r="A798" s="4">
        <v>38418</v>
      </c>
      <c r="B798" s="3">
        <v>2005</v>
      </c>
      <c r="C798" s="3">
        <v>3</v>
      </c>
      <c r="D798" s="3" t="s">
        <v>660</v>
      </c>
      <c r="E798" s="3" t="s">
        <v>614</v>
      </c>
      <c r="F798" s="3">
        <v>7</v>
      </c>
      <c r="G798" s="3" t="s">
        <v>657</v>
      </c>
      <c r="H798" s="3">
        <v>0</v>
      </c>
    </row>
    <row r="799" spans="1:8" x14ac:dyDescent="0.3">
      <c r="A799" s="4">
        <v>38419</v>
      </c>
      <c r="B799" s="3">
        <v>2005</v>
      </c>
      <c r="C799" s="3">
        <v>3</v>
      </c>
      <c r="D799" s="3" t="s">
        <v>660</v>
      </c>
      <c r="E799" s="3" t="s">
        <v>614</v>
      </c>
      <c r="F799" s="3">
        <v>8</v>
      </c>
      <c r="G799" s="3" t="s">
        <v>658</v>
      </c>
      <c r="H799" s="3">
        <v>0</v>
      </c>
    </row>
    <row r="800" spans="1:8" x14ac:dyDescent="0.3">
      <c r="A800" s="4">
        <v>38420</v>
      </c>
      <c r="B800" s="3">
        <v>2005</v>
      </c>
      <c r="C800" s="3">
        <v>3</v>
      </c>
      <c r="D800" s="3" t="s">
        <v>660</v>
      </c>
      <c r="E800" s="3" t="s">
        <v>614</v>
      </c>
      <c r="F800" s="3">
        <v>9</v>
      </c>
      <c r="G800" s="3" t="s">
        <v>652</v>
      </c>
      <c r="H800" s="3">
        <v>0</v>
      </c>
    </row>
    <row r="801" spans="1:8" x14ac:dyDescent="0.3">
      <c r="A801" s="4">
        <v>38421</v>
      </c>
      <c r="B801" s="3">
        <v>2005</v>
      </c>
      <c r="C801" s="3">
        <v>3</v>
      </c>
      <c r="D801" s="3" t="s">
        <v>660</v>
      </c>
      <c r="E801" s="3" t="s">
        <v>614</v>
      </c>
      <c r="F801" s="3">
        <v>10</v>
      </c>
      <c r="G801" s="3" t="s">
        <v>653</v>
      </c>
      <c r="H801" s="3">
        <v>0</v>
      </c>
    </row>
    <row r="802" spans="1:8" x14ac:dyDescent="0.3">
      <c r="A802" s="4">
        <v>38422</v>
      </c>
      <c r="B802" s="3">
        <v>2005</v>
      </c>
      <c r="C802" s="3">
        <v>3</v>
      </c>
      <c r="D802" s="3" t="s">
        <v>660</v>
      </c>
      <c r="E802" s="3" t="s">
        <v>614</v>
      </c>
      <c r="F802" s="3">
        <v>11</v>
      </c>
      <c r="G802" s="3" t="s">
        <v>654</v>
      </c>
      <c r="H802" s="3">
        <v>0</v>
      </c>
    </row>
    <row r="803" spans="1:8" x14ac:dyDescent="0.3">
      <c r="A803" s="4">
        <v>38423</v>
      </c>
      <c r="B803" s="3">
        <v>2005</v>
      </c>
      <c r="C803" s="3">
        <v>3</v>
      </c>
      <c r="D803" s="3" t="s">
        <v>660</v>
      </c>
      <c r="E803" s="3" t="s">
        <v>614</v>
      </c>
      <c r="F803" s="3">
        <v>12</v>
      </c>
      <c r="G803" s="3" t="s">
        <v>655</v>
      </c>
      <c r="H803" s="3">
        <v>1</v>
      </c>
    </row>
    <row r="804" spans="1:8" x14ac:dyDescent="0.3">
      <c r="A804" s="4">
        <v>38424</v>
      </c>
      <c r="B804" s="3">
        <v>2005</v>
      </c>
      <c r="C804" s="3">
        <v>3</v>
      </c>
      <c r="D804" s="3" t="s">
        <v>660</v>
      </c>
      <c r="E804" s="3" t="s">
        <v>614</v>
      </c>
      <c r="F804" s="3">
        <v>13</v>
      </c>
      <c r="G804" s="3" t="s">
        <v>656</v>
      </c>
      <c r="H804" s="3">
        <v>1</v>
      </c>
    </row>
    <row r="805" spans="1:8" x14ac:dyDescent="0.3">
      <c r="A805" s="4">
        <v>38425</v>
      </c>
      <c r="B805" s="3">
        <v>2005</v>
      </c>
      <c r="C805" s="3">
        <v>3</v>
      </c>
      <c r="D805" s="3" t="s">
        <v>660</v>
      </c>
      <c r="E805" s="3" t="s">
        <v>614</v>
      </c>
      <c r="F805" s="3">
        <v>14</v>
      </c>
      <c r="G805" s="3" t="s">
        <v>657</v>
      </c>
      <c r="H805" s="3">
        <v>0</v>
      </c>
    </row>
    <row r="806" spans="1:8" x14ac:dyDescent="0.3">
      <c r="A806" s="4">
        <v>38426</v>
      </c>
      <c r="B806" s="3">
        <v>2005</v>
      </c>
      <c r="C806" s="3">
        <v>3</v>
      </c>
      <c r="D806" s="3" t="s">
        <v>660</v>
      </c>
      <c r="E806" s="3" t="s">
        <v>614</v>
      </c>
      <c r="F806" s="3">
        <v>15</v>
      </c>
      <c r="G806" s="3" t="s">
        <v>658</v>
      </c>
      <c r="H806" s="3">
        <v>0</v>
      </c>
    </row>
    <row r="807" spans="1:8" x14ac:dyDescent="0.3">
      <c r="A807" s="4">
        <v>38427</v>
      </c>
      <c r="B807" s="3">
        <v>2005</v>
      </c>
      <c r="C807" s="3">
        <v>3</v>
      </c>
      <c r="D807" s="3" t="s">
        <v>660</v>
      </c>
      <c r="E807" s="3" t="s">
        <v>614</v>
      </c>
      <c r="F807" s="3">
        <v>16</v>
      </c>
      <c r="G807" s="3" t="s">
        <v>652</v>
      </c>
      <c r="H807" s="3">
        <v>0</v>
      </c>
    </row>
    <row r="808" spans="1:8" x14ac:dyDescent="0.3">
      <c r="A808" s="4">
        <v>38428</v>
      </c>
      <c r="B808" s="3">
        <v>2005</v>
      </c>
      <c r="C808" s="3">
        <v>3</v>
      </c>
      <c r="D808" s="3" t="s">
        <v>660</v>
      </c>
      <c r="E808" s="3" t="s">
        <v>614</v>
      </c>
      <c r="F808" s="3">
        <v>17</v>
      </c>
      <c r="G808" s="3" t="s">
        <v>653</v>
      </c>
      <c r="H808" s="3">
        <v>0</v>
      </c>
    </row>
    <row r="809" spans="1:8" x14ac:dyDescent="0.3">
      <c r="A809" s="4">
        <v>38429</v>
      </c>
      <c r="B809" s="3">
        <v>2005</v>
      </c>
      <c r="C809" s="3">
        <v>3</v>
      </c>
      <c r="D809" s="3" t="s">
        <v>660</v>
      </c>
      <c r="E809" s="3" t="s">
        <v>614</v>
      </c>
      <c r="F809" s="3">
        <v>18</v>
      </c>
      <c r="G809" s="3" t="s">
        <v>654</v>
      </c>
      <c r="H809" s="3">
        <v>0</v>
      </c>
    </row>
    <row r="810" spans="1:8" x14ac:dyDescent="0.3">
      <c r="A810" s="4">
        <v>38430</v>
      </c>
      <c r="B810" s="3">
        <v>2005</v>
      </c>
      <c r="C810" s="3">
        <v>3</v>
      </c>
      <c r="D810" s="3" t="s">
        <v>660</v>
      </c>
      <c r="E810" s="3" t="s">
        <v>614</v>
      </c>
      <c r="F810" s="3">
        <v>19</v>
      </c>
      <c r="G810" s="3" t="s">
        <v>655</v>
      </c>
      <c r="H810" s="3">
        <v>1</v>
      </c>
    </row>
    <row r="811" spans="1:8" x14ac:dyDescent="0.3">
      <c r="A811" s="4">
        <v>38431</v>
      </c>
      <c r="B811" s="3">
        <v>2005</v>
      </c>
      <c r="C811" s="3">
        <v>3</v>
      </c>
      <c r="D811" s="3" t="s">
        <v>660</v>
      </c>
      <c r="E811" s="3" t="s">
        <v>614</v>
      </c>
      <c r="F811" s="3">
        <v>20</v>
      </c>
      <c r="G811" s="3" t="s">
        <v>656</v>
      </c>
      <c r="H811" s="3">
        <v>1</v>
      </c>
    </row>
    <row r="812" spans="1:8" x14ac:dyDescent="0.3">
      <c r="A812" s="4">
        <v>38432</v>
      </c>
      <c r="B812" s="3">
        <v>2005</v>
      </c>
      <c r="C812" s="3">
        <v>3</v>
      </c>
      <c r="D812" s="3" t="s">
        <v>660</v>
      </c>
      <c r="E812" s="3" t="s">
        <v>614</v>
      </c>
      <c r="F812" s="3">
        <v>21</v>
      </c>
      <c r="G812" s="3" t="s">
        <v>657</v>
      </c>
      <c r="H812" s="3">
        <v>0</v>
      </c>
    </row>
    <row r="813" spans="1:8" x14ac:dyDescent="0.3">
      <c r="A813" s="4">
        <v>38433</v>
      </c>
      <c r="B813" s="3">
        <v>2005</v>
      </c>
      <c r="C813" s="3">
        <v>3</v>
      </c>
      <c r="D813" s="3" t="s">
        <v>660</v>
      </c>
      <c r="E813" s="3" t="s">
        <v>614</v>
      </c>
      <c r="F813" s="3">
        <v>22</v>
      </c>
      <c r="G813" s="3" t="s">
        <v>658</v>
      </c>
      <c r="H813" s="3">
        <v>0</v>
      </c>
    </row>
    <row r="814" spans="1:8" x14ac:dyDescent="0.3">
      <c r="A814" s="4">
        <v>38434</v>
      </c>
      <c r="B814" s="3">
        <v>2005</v>
      </c>
      <c r="C814" s="3">
        <v>3</v>
      </c>
      <c r="D814" s="3" t="s">
        <v>660</v>
      </c>
      <c r="E814" s="3" t="s">
        <v>614</v>
      </c>
      <c r="F814" s="3">
        <v>23</v>
      </c>
      <c r="G814" s="3" t="s">
        <v>652</v>
      </c>
      <c r="H814" s="3">
        <v>0</v>
      </c>
    </row>
    <row r="815" spans="1:8" x14ac:dyDescent="0.3">
      <c r="A815" s="4">
        <v>38435</v>
      </c>
      <c r="B815" s="3">
        <v>2005</v>
      </c>
      <c r="C815" s="3">
        <v>3</v>
      </c>
      <c r="D815" s="3" t="s">
        <v>660</v>
      </c>
      <c r="E815" s="3" t="s">
        <v>614</v>
      </c>
      <c r="F815" s="3">
        <v>24</v>
      </c>
      <c r="G815" s="3" t="s">
        <v>653</v>
      </c>
      <c r="H815" s="3">
        <v>0</v>
      </c>
    </row>
    <row r="816" spans="1:8" x14ac:dyDescent="0.3">
      <c r="A816" s="4">
        <v>38436</v>
      </c>
      <c r="B816" s="3">
        <v>2005</v>
      </c>
      <c r="C816" s="3">
        <v>3</v>
      </c>
      <c r="D816" s="3" t="s">
        <v>660</v>
      </c>
      <c r="E816" s="3" t="s">
        <v>614</v>
      </c>
      <c r="F816" s="3">
        <v>25</v>
      </c>
      <c r="G816" s="3" t="s">
        <v>654</v>
      </c>
      <c r="H816" s="3">
        <v>0</v>
      </c>
    </row>
    <row r="817" spans="1:8" x14ac:dyDescent="0.3">
      <c r="A817" s="4">
        <v>38437</v>
      </c>
      <c r="B817" s="3">
        <v>2005</v>
      </c>
      <c r="C817" s="3">
        <v>3</v>
      </c>
      <c r="D817" s="3" t="s">
        <v>660</v>
      </c>
      <c r="E817" s="3" t="s">
        <v>614</v>
      </c>
      <c r="F817" s="3">
        <v>26</v>
      </c>
      <c r="G817" s="3" t="s">
        <v>655</v>
      </c>
      <c r="H817" s="3">
        <v>1</v>
      </c>
    </row>
    <row r="818" spans="1:8" x14ac:dyDescent="0.3">
      <c r="A818" s="4">
        <v>38438</v>
      </c>
      <c r="B818" s="3">
        <v>2005</v>
      </c>
      <c r="C818" s="3">
        <v>3</v>
      </c>
      <c r="D818" s="3" t="s">
        <v>660</v>
      </c>
      <c r="E818" s="3" t="s">
        <v>614</v>
      </c>
      <c r="F818" s="3">
        <v>27</v>
      </c>
      <c r="G818" s="3" t="s">
        <v>656</v>
      </c>
      <c r="H818" s="3">
        <v>1</v>
      </c>
    </row>
    <row r="819" spans="1:8" x14ac:dyDescent="0.3">
      <c r="A819" s="4">
        <v>38439</v>
      </c>
      <c r="B819" s="3">
        <v>2005</v>
      </c>
      <c r="C819" s="3">
        <v>3</v>
      </c>
      <c r="D819" s="3" t="s">
        <v>660</v>
      </c>
      <c r="E819" s="3" t="s">
        <v>614</v>
      </c>
      <c r="F819" s="3">
        <v>28</v>
      </c>
      <c r="G819" s="3" t="s">
        <v>657</v>
      </c>
      <c r="H819" s="3">
        <v>0</v>
      </c>
    </row>
    <row r="820" spans="1:8" x14ac:dyDescent="0.3">
      <c r="A820" s="4">
        <v>38440</v>
      </c>
      <c r="B820" s="3">
        <v>2005</v>
      </c>
      <c r="C820" s="3">
        <v>3</v>
      </c>
      <c r="D820" s="3" t="s">
        <v>660</v>
      </c>
      <c r="E820" s="3" t="s">
        <v>614</v>
      </c>
      <c r="F820" s="3">
        <v>29</v>
      </c>
      <c r="G820" s="3" t="s">
        <v>658</v>
      </c>
      <c r="H820" s="3">
        <v>0</v>
      </c>
    </row>
    <row r="821" spans="1:8" x14ac:dyDescent="0.3">
      <c r="A821" s="4">
        <v>38441</v>
      </c>
      <c r="B821" s="3">
        <v>2005</v>
      </c>
      <c r="C821" s="3">
        <v>3</v>
      </c>
      <c r="D821" s="3" t="s">
        <v>660</v>
      </c>
      <c r="E821" s="3" t="s">
        <v>614</v>
      </c>
      <c r="F821" s="3">
        <v>30</v>
      </c>
      <c r="G821" s="3" t="s">
        <v>652</v>
      </c>
      <c r="H821" s="3">
        <v>0</v>
      </c>
    </row>
    <row r="822" spans="1:8" x14ac:dyDescent="0.3">
      <c r="A822" s="4">
        <v>38442</v>
      </c>
      <c r="B822" s="3">
        <v>2005</v>
      </c>
      <c r="C822" s="3">
        <v>3</v>
      </c>
      <c r="D822" s="3" t="s">
        <v>660</v>
      </c>
      <c r="E822" s="3" t="s">
        <v>614</v>
      </c>
      <c r="F822" s="3">
        <v>31</v>
      </c>
      <c r="G822" s="3" t="s">
        <v>653</v>
      </c>
      <c r="H822" s="3">
        <v>0</v>
      </c>
    </row>
    <row r="823" spans="1:8" x14ac:dyDescent="0.3">
      <c r="A823" s="4">
        <v>38443</v>
      </c>
      <c r="B823" s="3">
        <v>2005</v>
      </c>
      <c r="C823" s="3">
        <v>4</v>
      </c>
      <c r="D823" s="3" t="s">
        <v>661</v>
      </c>
      <c r="E823" s="3" t="s">
        <v>615</v>
      </c>
      <c r="F823" s="3">
        <v>1</v>
      </c>
      <c r="G823" s="3" t="s">
        <v>654</v>
      </c>
      <c r="H823" s="3">
        <v>0</v>
      </c>
    </row>
    <row r="824" spans="1:8" x14ac:dyDescent="0.3">
      <c r="A824" s="4">
        <v>38444</v>
      </c>
      <c r="B824" s="3">
        <v>2005</v>
      </c>
      <c r="C824" s="3">
        <v>4</v>
      </c>
      <c r="D824" s="3" t="s">
        <v>661</v>
      </c>
      <c r="E824" s="3" t="s">
        <v>615</v>
      </c>
      <c r="F824" s="3">
        <v>2</v>
      </c>
      <c r="G824" s="3" t="s">
        <v>655</v>
      </c>
      <c r="H824" s="3">
        <v>1</v>
      </c>
    </row>
    <row r="825" spans="1:8" x14ac:dyDescent="0.3">
      <c r="A825" s="4">
        <v>38445</v>
      </c>
      <c r="B825" s="3">
        <v>2005</v>
      </c>
      <c r="C825" s="3">
        <v>4</v>
      </c>
      <c r="D825" s="3" t="s">
        <v>661</v>
      </c>
      <c r="E825" s="3" t="s">
        <v>615</v>
      </c>
      <c r="F825" s="3">
        <v>3</v>
      </c>
      <c r="G825" s="3" t="s">
        <v>656</v>
      </c>
      <c r="H825" s="3">
        <v>1</v>
      </c>
    </row>
    <row r="826" spans="1:8" x14ac:dyDescent="0.3">
      <c r="A826" s="4">
        <v>38446</v>
      </c>
      <c r="B826" s="3">
        <v>2005</v>
      </c>
      <c r="C826" s="3">
        <v>4</v>
      </c>
      <c r="D826" s="3" t="s">
        <v>661</v>
      </c>
      <c r="E826" s="3" t="s">
        <v>615</v>
      </c>
      <c r="F826" s="3">
        <v>4</v>
      </c>
      <c r="G826" s="3" t="s">
        <v>657</v>
      </c>
      <c r="H826" s="3">
        <v>0</v>
      </c>
    </row>
    <row r="827" spans="1:8" x14ac:dyDescent="0.3">
      <c r="A827" s="4">
        <v>38447</v>
      </c>
      <c r="B827" s="3">
        <v>2005</v>
      </c>
      <c r="C827" s="3">
        <v>4</v>
      </c>
      <c r="D827" s="3" t="s">
        <v>661</v>
      </c>
      <c r="E827" s="3" t="s">
        <v>615</v>
      </c>
      <c r="F827" s="3">
        <v>5</v>
      </c>
      <c r="G827" s="3" t="s">
        <v>658</v>
      </c>
      <c r="H827" s="3">
        <v>0</v>
      </c>
    </row>
    <row r="828" spans="1:8" x14ac:dyDescent="0.3">
      <c r="A828" s="4">
        <v>38448</v>
      </c>
      <c r="B828" s="3">
        <v>2005</v>
      </c>
      <c r="C828" s="3">
        <v>4</v>
      </c>
      <c r="D828" s="3" t="s">
        <v>661</v>
      </c>
      <c r="E828" s="3" t="s">
        <v>615</v>
      </c>
      <c r="F828" s="3">
        <v>6</v>
      </c>
      <c r="G828" s="3" t="s">
        <v>652</v>
      </c>
      <c r="H828" s="3">
        <v>0</v>
      </c>
    </row>
    <row r="829" spans="1:8" x14ac:dyDescent="0.3">
      <c r="A829" s="4">
        <v>38449</v>
      </c>
      <c r="B829" s="3">
        <v>2005</v>
      </c>
      <c r="C829" s="3">
        <v>4</v>
      </c>
      <c r="D829" s="3" t="s">
        <v>661</v>
      </c>
      <c r="E829" s="3" t="s">
        <v>615</v>
      </c>
      <c r="F829" s="3">
        <v>7</v>
      </c>
      <c r="G829" s="3" t="s">
        <v>653</v>
      </c>
      <c r="H829" s="3">
        <v>0</v>
      </c>
    </row>
    <row r="830" spans="1:8" x14ac:dyDescent="0.3">
      <c r="A830" s="4">
        <v>38450</v>
      </c>
      <c r="B830" s="3">
        <v>2005</v>
      </c>
      <c r="C830" s="3">
        <v>4</v>
      </c>
      <c r="D830" s="3" t="s">
        <v>661</v>
      </c>
      <c r="E830" s="3" t="s">
        <v>615</v>
      </c>
      <c r="F830" s="3">
        <v>8</v>
      </c>
      <c r="G830" s="3" t="s">
        <v>654</v>
      </c>
      <c r="H830" s="3">
        <v>0</v>
      </c>
    </row>
    <row r="831" spans="1:8" x14ac:dyDescent="0.3">
      <c r="A831" s="4">
        <v>38451</v>
      </c>
      <c r="B831" s="3">
        <v>2005</v>
      </c>
      <c r="C831" s="3">
        <v>4</v>
      </c>
      <c r="D831" s="3" t="s">
        <v>661</v>
      </c>
      <c r="E831" s="3" t="s">
        <v>615</v>
      </c>
      <c r="F831" s="3">
        <v>9</v>
      </c>
      <c r="G831" s="3" t="s">
        <v>655</v>
      </c>
      <c r="H831" s="3">
        <v>1</v>
      </c>
    </row>
    <row r="832" spans="1:8" x14ac:dyDescent="0.3">
      <c r="A832" s="4">
        <v>38452</v>
      </c>
      <c r="B832" s="3">
        <v>2005</v>
      </c>
      <c r="C832" s="3">
        <v>4</v>
      </c>
      <c r="D832" s="3" t="s">
        <v>661</v>
      </c>
      <c r="E832" s="3" t="s">
        <v>615</v>
      </c>
      <c r="F832" s="3">
        <v>10</v>
      </c>
      <c r="G832" s="3" t="s">
        <v>656</v>
      </c>
      <c r="H832" s="3">
        <v>1</v>
      </c>
    </row>
    <row r="833" spans="1:8" x14ac:dyDescent="0.3">
      <c r="A833" s="4">
        <v>38453</v>
      </c>
      <c r="B833" s="3">
        <v>2005</v>
      </c>
      <c r="C833" s="3">
        <v>4</v>
      </c>
      <c r="D833" s="3" t="s">
        <v>661</v>
      </c>
      <c r="E833" s="3" t="s">
        <v>615</v>
      </c>
      <c r="F833" s="3">
        <v>11</v>
      </c>
      <c r="G833" s="3" t="s">
        <v>657</v>
      </c>
      <c r="H833" s="3">
        <v>0</v>
      </c>
    </row>
    <row r="834" spans="1:8" x14ac:dyDescent="0.3">
      <c r="A834" s="4">
        <v>38454</v>
      </c>
      <c r="B834" s="3">
        <v>2005</v>
      </c>
      <c r="C834" s="3">
        <v>4</v>
      </c>
      <c r="D834" s="3" t="s">
        <v>661</v>
      </c>
      <c r="E834" s="3" t="s">
        <v>615</v>
      </c>
      <c r="F834" s="3">
        <v>12</v>
      </c>
      <c r="G834" s="3" t="s">
        <v>658</v>
      </c>
      <c r="H834" s="3">
        <v>0</v>
      </c>
    </row>
    <row r="835" spans="1:8" x14ac:dyDescent="0.3">
      <c r="A835" s="4">
        <v>38455</v>
      </c>
      <c r="B835" s="3">
        <v>2005</v>
      </c>
      <c r="C835" s="3">
        <v>4</v>
      </c>
      <c r="D835" s="3" t="s">
        <v>661</v>
      </c>
      <c r="E835" s="3" t="s">
        <v>615</v>
      </c>
      <c r="F835" s="3">
        <v>13</v>
      </c>
      <c r="G835" s="3" t="s">
        <v>652</v>
      </c>
      <c r="H835" s="3">
        <v>0</v>
      </c>
    </row>
    <row r="836" spans="1:8" x14ac:dyDescent="0.3">
      <c r="A836" s="4">
        <v>38456</v>
      </c>
      <c r="B836" s="3">
        <v>2005</v>
      </c>
      <c r="C836" s="3">
        <v>4</v>
      </c>
      <c r="D836" s="3" t="s">
        <v>661</v>
      </c>
      <c r="E836" s="3" t="s">
        <v>615</v>
      </c>
      <c r="F836" s="3">
        <v>14</v>
      </c>
      <c r="G836" s="3" t="s">
        <v>653</v>
      </c>
      <c r="H836" s="3">
        <v>0</v>
      </c>
    </row>
    <row r="837" spans="1:8" x14ac:dyDescent="0.3">
      <c r="A837" s="4">
        <v>38457</v>
      </c>
      <c r="B837" s="3">
        <v>2005</v>
      </c>
      <c r="C837" s="3">
        <v>4</v>
      </c>
      <c r="D837" s="3" t="s">
        <v>661</v>
      </c>
      <c r="E837" s="3" t="s">
        <v>615</v>
      </c>
      <c r="F837" s="3">
        <v>15</v>
      </c>
      <c r="G837" s="3" t="s">
        <v>654</v>
      </c>
      <c r="H837" s="3">
        <v>0</v>
      </c>
    </row>
    <row r="838" spans="1:8" x14ac:dyDescent="0.3">
      <c r="A838" s="4">
        <v>38458</v>
      </c>
      <c r="B838" s="3">
        <v>2005</v>
      </c>
      <c r="C838" s="3">
        <v>4</v>
      </c>
      <c r="D838" s="3" t="s">
        <v>661</v>
      </c>
      <c r="E838" s="3" t="s">
        <v>615</v>
      </c>
      <c r="F838" s="3">
        <v>16</v>
      </c>
      <c r="G838" s="3" t="s">
        <v>655</v>
      </c>
      <c r="H838" s="3">
        <v>1</v>
      </c>
    </row>
    <row r="839" spans="1:8" x14ac:dyDescent="0.3">
      <c r="A839" s="4">
        <v>38459</v>
      </c>
      <c r="B839" s="3">
        <v>2005</v>
      </c>
      <c r="C839" s="3">
        <v>4</v>
      </c>
      <c r="D839" s="3" t="s">
        <v>661</v>
      </c>
      <c r="E839" s="3" t="s">
        <v>615</v>
      </c>
      <c r="F839" s="3">
        <v>17</v>
      </c>
      <c r="G839" s="3" t="s">
        <v>656</v>
      </c>
      <c r="H839" s="3">
        <v>1</v>
      </c>
    </row>
    <row r="840" spans="1:8" x14ac:dyDescent="0.3">
      <c r="A840" s="4">
        <v>38460</v>
      </c>
      <c r="B840" s="3">
        <v>2005</v>
      </c>
      <c r="C840" s="3">
        <v>4</v>
      </c>
      <c r="D840" s="3" t="s">
        <v>661</v>
      </c>
      <c r="E840" s="3" t="s">
        <v>615</v>
      </c>
      <c r="F840" s="3">
        <v>18</v>
      </c>
      <c r="G840" s="3" t="s">
        <v>657</v>
      </c>
      <c r="H840" s="3">
        <v>0</v>
      </c>
    </row>
    <row r="841" spans="1:8" x14ac:dyDescent="0.3">
      <c r="A841" s="4">
        <v>38461</v>
      </c>
      <c r="B841" s="3">
        <v>2005</v>
      </c>
      <c r="C841" s="3">
        <v>4</v>
      </c>
      <c r="D841" s="3" t="s">
        <v>661</v>
      </c>
      <c r="E841" s="3" t="s">
        <v>615</v>
      </c>
      <c r="F841" s="3">
        <v>19</v>
      </c>
      <c r="G841" s="3" t="s">
        <v>658</v>
      </c>
      <c r="H841" s="3">
        <v>0</v>
      </c>
    </row>
    <row r="842" spans="1:8" x14ac:dyDescent="0.3">
      <c r="A842" s="4">
        <v>38462</v>
      </c>
      <c r="B842" s="3">
        <v>2005</v>
      </c>
      <c r="C842" s="3">
        <v>4</v>
      </c>
      <c r="D842" s="3" t="s">
        <v>661</v>
      </c>
      <c r="E842" s="3" t="s">
        <v>615</v>
      </c>
      <c r="F842" s="3">
        <v>20</v>
      </c>
      <c r="G842" s="3" t="s">
        <v>652</v>
      </c>
      <c r="H842" s="3">
        <v>0</v>
      </c>
    </row>
    <row r="843" spans="1:8" x14ac:dyDescent="0.3">
      <c r="A843" s="4">
        <v>38463</v>
      </c>
      <c r="B843" s="3">
        <v>2005</v>
      </c>
      <c r="C843" s="3">
        <v>4</v>
      </c>
      <c r="D843" s="3" t="s">
        <v>661</v>
      </c>
      <c r="E843" s="3" t="s">
        <v>615</v>
      </c>
      <c r="F843" s="3">
        <v>21</v>
      </c>
      <c r="G843" s="3" t="s">
        <v>653</v>
      </c>
      <c r="H843" s="3">
        <v>0</v>
      </c>
    </row>
    <row r="844" spans="1:8" x14ac:dyDescent="0.3">
      <c r="A844" s="4">
        <v>38464</v>
      </c>
      <c r="B844" s="3">
        <v>2005</v>
      </c>
      <c r="C844" s="3">
        <v>4</v>
      </c>
      <c r="D844" s="3" t="s">
        <v>661</v>
      </c>
      <c r="E844" s="3" t="s">
        <v>615</v>
      </c>
      <c r="F844" s="3">
        <v>22</v>
      </c>
      <c r="G844" s="3" t="s">
        <v>654</v>
      </c>
      <c r="H844" s="3">
        <v>0</v>
      </c>
    </row>
    <row r="845" spans="1:8" x14ac:dyDescent="0.3">
      <c r="A845" s="4">
        <v>38465</v>
      </c>
      <c r="B845" s="3">
        <v>2005</v>
      </c>
      <c r="C845" s="3">
        <v>4</v>
      </c>
      <c r="D845" s="3" t="s">
        <v>661</v>
      </c>
      <c r="E845" s="3" t="s">
        <v>615</v>
      </c>
      <c r="F845" s="3">
        <v>23</v>
      </c>
      <c r="G845" s="3" t="s">
        <v>655</v>
      </c>
      <c r="H845" s="3">
        <v>1</v>
      </c>
    </row>
    <row r="846" spans="1:8" x14ac:dyDescent="0.3">
      <c r="A846" s="4">
        <v>38466</v>
      </c>
      <c r="B846" s="3">
        <v>2005</v>
      </c>
      <c r="C846" s="3">
        <v>4</v>
      </c>
      <c r="D846" s="3" t="s">
        <v>661</v>
      </c>
      <c r="E846" s="3" t="s">
        <v>615</v>
      </c>
      <c r="F846" s="3">
        <v>24</v>
      </c>
      <c r="G846" s="3" t="s">
        <v>656</v>
      </c>
      <c r="H846" s="3">
        <v>1</v>
      </c>
    </row>
    <row r="847" spans="1:8" x14ac:dyDescent="0.3">
      <c r="A847" s="4">
        <v>38467</v>
      </c>
      <c r="B847" s="3">
        <v>2005</v>
      </c>
      <c r="C847" s="3">
        <v>4</v>
      </c>
      <c r="D847" s="3" t="s">
        <v>661</v>
      </c>
      <c r="E847" s="3" t="s">
        <v>615</v>
      </c>
      <c r="F847" s="3">
        <v>25</v>
      </c>
      <c r="G847" s="3" t="s">
        <v>657</v>
      </c>
      <c r="H847" s="3">
        <v>0</v>
      </c>
    </row>
    <row r="848" spans="1:8" x14ac:dyDescent="0.3">
      <c r="A848" s="4">
        <v>38468</v>
      </c>
      <c r="B848" s="3">
        <v>2005</v>
      </c>
      <c r="C848" s="3">
        <v>4</v>
      </c>
      <c r="D848" s="3" t="s">
        <v>661</v>
      </c>
      <c r="E848" s="3" t="s">
        <v>615</v>
      </c>
      <c r="F848" s="3">
        <v>26</v>
      </c>
      <c r="G848" s="3" t="s">
        <v>658</v>
      </c>
      <c r="H848" s="3">
        <v>0</v>
      </c>
    </row>
    <row r="849" spans="1:8" x14ac:dyDescent="0.3">
      <c r="A849" s="4">
        <v>38469</v>
      </c>
      <c r="B849" s="3">
        <v>2005</v>
      </c>
      <c r="C849" s="3">
        <v>4</v>
      </c>
      <c r="D849" s="3" t="s">
        <v>661</v>
      </c>
      <c r="E849" s="3" t="s">
        <v>615</v>
      </c>
      <c r="F849" s="3">
        <v>27</v>
      </c>
      <c r="G849" s="3" t="s">
        <v>652</v>
      </c>
      <c r="H849" s="3">
        <v>0</v>
      </c>
    </row>
    <row r="850" spans="1:8" x14ac:dyDescent="0.3">
      <c r="A850" s="4">
        <v>38470</v>
      </c>
      <c r="B850" s="3">
        <v>2005</v>
      </c>
      <c r="C850" s="3">
        <v>4</v>
      </c>
      <c r="D850" s="3" t="s">
        <v>661</v>
      </c>
      <c r="E850" s="3" t="s">
        <v>615</v>
      </c>
      <c r="F850" s="3">
        <v>28</v>
      </c>
      <c r="G850" s="3" t="s">
        <v>653</v>
      </c>
      <c r="H850" s="3">
        <v>0</v>
      </c>
    </row>
    <row r="851" spans="1:8" x14ac:dyDescent="0.3">
      <c r="A851" s="4">
        <v>38471</v>
      </c>
      <c r="B851" s="3">
        <v>2005</v>
      </c>
      <c r="C851" s="3">
        <v>4</v>
      </c>
      <c r="D851" s="3" t="s">
        <v>661</v>
      </c>
      <c r="E851" s="3" t="s">
        <v>615</v>
      </c>
      <c r="F851" s="3">
        <v>29</v>
      </c>
      <c r="G851" s="3" t="s">
        <v>654</v>
      </c>
      <c r="H851" s="3">
        <v>0</v>
      </c>
    </row>
    <row r="852" spans="1:8" x14ac:dyDescent="0.3">
      <c r="A852" s="4">
        <v>38472</v>
      </c>
      <c r="B852" s="3">
        <v>2005</v>
      </c>
      <c r="C852" s="3">
        <v>4</v>
      </c>
      <c r="D852" s="3" t="s">
        <v>661</v>
      </c>
      <c r="E852" s="3" t="s">
        <v>615</v>
      </c>
      <c r="F852" s="3">
        <v>30</v>
      </c>
      <c r="G852" s="3" t="s">
        <v>655</v>
      </c>
      <c r="H852" s="3">
        <v>1</v>
      </c>
    </row>
    <row r="853" spans="1:8" x14ac:dyDescent="0.3">
      <c r="A853" s="4">
        <v>38473</v>
      </c>
      <c r="B853" s="3">
        <v>2005</v>
      </c>
      <c r="C853" s="3">
        <v>5</v>
      </c>
      <c r="D853" s="3" t="s">
        <v>662</v>
      </c>
      <c r="E853" s="3" t="s">
        <v>615</v>
      </c>
      <c r="F853" s="3">
        <v>1</v>
      </c>
      <c r="G853" s="3" t="s">
        <v>656</v>
      </c>
      <c r="H853" s="3">
        <v>1</v>
      </c>
    </row>
    <row r="854" spans="1:8" x14ac:dyDescent="0.3">
      <c r="A854" s="4">
        <v>38474</v>
      </c>
      <c r="B854" s="3">
        <v>2005</v>
      </c>
      <c r="C854" s="3">
        <v>5</v>
      </c>
      <c r="D854" s="3" t="s">
        <v>662</v>
      </c>
      <c r="E854" s="3" t="s">
        <v>615</v>
      </c>
      <c r="F854" s="3">
        <v>2</v>
      </c>
      <c r="G854" s="3" t="s">
        <v>657</v>
      </c>
      <c r="H854" s="3">
        <v>0</v>
      </c>
    </row>
    <row r="855" spans="1:8" x14ac:dyDescent="0.3">
      <c r="A855" s="4">
        <v>38475</v>
      </c>
      <c r="B855" s="3">
        <v>2005</v>
      </c>
      <c r="C855" s="3">
        <v>5</v>
      </c>
      <c r="D855" s="3" t="s">
        <v>662</v>
      </c>
      <c r="E855" s="3" t="s">
        <v>615</v>
      </c>
      <c r="F855" s="3">
        <v>3</v>
      </c>
      <c r="G855" s="3" t="s">
        <v>658</v>
      </c>
      <c r="H855" s="3">
        <v>0</v>
      </c>
    </row>
    <row r="856" spans="1:8" x14ac:dyDescent="0.3">
      <c r="A856" s="4">
        <v>38476</v>
      </c>
      <c r="B856" s="3">
        <v>2005</v>
      </c>
      <c r="C856" s="3">
        <v>5</v>
      </c>
      <c r="D856" s="3" t="s">
        <v>662</v>
      </c>
      <c r="E856" s="3" t="s">
        <v>615</v>
      </c>
      <c r="F856" s="3">
        <v>4</v>
      </c>
      <c r="G856" s="3" t="s">
        <v>652</v>
      </c>
      <c r="H856" s="3">
        <v>0</v>
      </c>
    </row>
    <row r="857" spans="1:8" x14ac:dyDescent="0.3">
      <c r="A857" s="4">
        <v>38477</v>
      </c>
      <c r="B857" s="3">
        <v>2005</v>
      </c>
      <c r="C857" s="3">
        <v>5</v>
      </c>
      <c r="D857" s="3" t="s">
        <v>662</v>
      </c>
      <c r="E857" s="3" t="s">
        <v>615</v>
      </c>
      <c r="F857" s="3">
        <v>5</v>
      </c>
      <c r="G857" s="3" t="s">
        <v>653</v>
      </c>
      <c r="H857" s="3">
        <v>0</v>
      </c>
    </row>
    <row r="858" spans="1:8" x14ac:dyDescent="0.3">
      <c r="A858" s="4">
        <v>38478</v>
      </c>
      <c r="B858" s="3">
        <v>2005</v>
      </c>
      <c r="C858" s="3">
        <v>5</v>
      </c>
      <c r="D858" s="3" t="s">
        <v>662</v>
      </c>
      <c r="E858" s="3" t="s">
        <v>615</v>
      </c>
      <c r="F858" s="3">
        <v>6</v>
      </c>
      <c r="G858" s="3" t="s">
        <v>654</v>
      </c>
      <c r="H858" s="3">
        <v>0</v>
      </c>
    </row>
    <row r="859" spans="1:8" x14ac:dyDescent="0.3">
      <c r="A859" s="4">
        <v>38479</v>
      </c>
      <c r="B859" s="3">
        <v>2005</v>
      </c>
      <c r="C859" s="3">
        <v>5</v>
      </c>
      <c r="D859" s="3" t="s">
        <v>662</v>
      </c>
      <c r="E859" s="3" t="s">
        <v>615</v>
      </c>
      <c r="F859" s="3">
        <v>7</v>
      </c>
      <c r="G859" s="3" t="s">
        <v>655</v>
      </c>
      <c r="H859" s="3">
        <v>1</v>
      </c>
    </row>
    <row r="860" spans="1:8" x14ac:dyDescent="0.3">
      <c r="A860" s="4">
        <v>38480</v>
      </c>
      <c r="B860" s="3">
        <v>2005</v>
      </c>
      <c r="C860" s="3">
        <v>5</v>
      </c>
      <c r="D860" s="3" t="s">
        <v>662</v>
      </c>
      <c r="E860" s="3" t="s">
        <v>615</v>
      </c>
      <c r="F860" s="3">
        <v>8</v>
      </c>
      <c r="G860" s="3" t="s">
        <v>656</v>
      </c>
      <c r="H860" s="3">
        <v>1</v>
      </c>
    </row>
    <row r="861" spans="1:8" x14ac:dyDescent="0.3">
      <c r="A861" s="4">
        <v>38481</v>
      </c>
      <c r="B861" s="3">
        <v>2005</v>
      </c>
      <c r="C861" s="3">
        <v>5</v>
      </c>
      <c r="D861" s="3" t="s">
        <v>662</v>
      </c>
      <c r="E861" s="3" t="s">
        <v>615</v>
      </c>
      <c r="F861" s="3">
        <v>9</v>
      </c>
      <c r="G861" s="3" t="s">
        <v>657</v>
      </c>
      <c r="H861" s="3">
        <v>0</v>
      </c>
    </row>
    <row r="862" spans="1:8" x14ac:dyDescent="0.3">
      <c r="A862" s="4">
        <v>38482</v>
      </c>
      <c r="B862" s="3">
        <v>2005</v>
      </c>
      <c r="C862" s="3">
        <v>5</v>
      </c>
      <c r="D862" s="3" t="s">
        <v>662</v>
      </c>
      <c r="E862" s="3" t="s">
        <v>615</v>
      </c>
      <c r="F862" s="3">
        <v>10</v>
      </c>
      <c r="G862" s="3" t="s">
        <v>658</v>
      </c>
      <c r="H862" s="3">
        <v>0</v>
      </c>
    </row>
    <row r="863" spans="1:8" x14ac:dyDescent="0.3">
      <c r="A863" s="4">
        <v>38483</v>
      </c>
      <c r="B863" s="3">
        <v>2005</v>
      </c>
      <c r="C863" s="3">
        <v>5</v>
      </c>
      <c r="D863" s="3" t="s">
        <v>662</v>
      </c>
      <c r="E863" s="3" t="s">
        <v>615</v>
      </c>
      <c r="F863" s="3">
        <v>11</v>
      </c>
      <c r="G863" s="3" t="s">
        <v>652</v>
      </c>
      <c r="H863" s="3">
        <v>0</v>
      </c>
    </row>
    <row r="864" spans="1:8" x14ac:dyDescent="0.3">
      <c r="A864" s="4">
        <v>38484</v>
      </c>
      <c r="B864" s="3">
        <v>2005</v>
      </c>
      <c r="C864" s="3">
        <v>5</v>
      </c>
      <c r="D864" s="3" t="s">
        <v>662</v>
      </c>
      <c r="E864" s="3" t="s">
        <v>615</v>
      </c>
      <c r="F864" s="3">
        <v>12</v>
      </c>
      <c r="G864" s="3" t="s">
        <v>653</v>
      </c>
      <c r="H864" s="3">
        <v>0</v>
      </c>
    </row>
    <row r="865" spans="1:8" x14ac:dyDescent="0.3">
      <c r="A865" s="4">
        <v>38485</v>
      </c>
      <c r="B865" s="3">
        <v>2005</v>
      </c>
      <c r="C865" s="3">
        <v>5</v>
      </c>
      <c r="D865" s="3" t="s">
        <v>662</v>
      </c>
      <c r="E865" s="3" t="s">
        <v>615</v>
      </c>
      <c r="F865" s="3">
        <v>13</v>
      </c>
      <c r="G865" s="3" t="s">
        <v>654</v>
      </c>
      <c r="H865" s="3">
        <v>0</v>
      </c>
    </row>
    <row r="866" spans="1:8" x14ac:dyDescent="0.3">
      <c r="A866" s="4">
        <v>38486</v>
      </c>
      <c r="B866" s="3">
        <v>2005</v>
      </c>
      <c r="C866" s="3">
        <v>5</v>
      </c>
      <c r="D866" s="3" t="s">
        <v>662</v>
      </c>
      <c r="E866" s="3" t="s">
        <v>615</v>
      </c>
      <c r="F866" s="3">
        <v>14</v>
      </c>
      <c r="G866" s="3" t="s">
        <v>655</v>
      </c>
      <c r="H866" s="3">
        <v>1</v>
      </c>
    </row>
    <row r="867" spans="1:8" x14ac:dyDescent="0.3">
      <c r="A867" s="4">
        <v>38487</v>
      </c>
      <c r="B867" s="3">
        <v>2005</v>
      </c>
      <c r="C867" s="3">
        <v>5</v>
      </c>
      <c r="D867" s="3" t="s">
        <v>662</v>
      </c>
      <c r="E867" s="3" t="s">
        <v>615</v>
      </c>
      <c r="F867" s="3">
        <v>15</v>
      </c>
      <c r="G867" s="3" t="s">
        <v>656</v>
      </c>
      <c r="H867" s="3">
        <v>1</v>
      </c>
    </row>
    <row r="868" spans="1:8" x14ac:dyDescent="0.3">
      <c r="A868" s="4">
        <v>38488</v>
      </c>
      <c r="B868" s="3">
        <v>2005</v>
      </c>
      <c r="C868" s="3">
        <v>5</v>
      </c>
      <c r="D868" s="3" t="s">
        <v>662</v>
      </c>
      <c r="E868" s="3" t="s">
        <v>615</v>
      </c>
      <c r="F868" s="3">
        <v>16</v>
      </c>
      <c r="G868" s="3" t="s">
        <v>657</v>
      </c>
      <c r="H868" s="3">
        <v>0</v>
      </c>
    </row>
    <row r="869" spans="1:8" x14ac:dyDescent="0.3">
      <c r="A869" s="4">
        <v>38489</v>
      </c>
      <c r="B869" s="3">
        <v>2005</v>
      </c>
      <c r="C869" s="3">
        <v>5</v>
      </c>
      <c r="D869" s="3" t="s">
        <v>662</v>
      </c>
      <c r="E869" s="3" t="s">
        <v>615</v>
      </c>
      <c r="F869" s="3">
        <v>17</v>
      </c>
      <c r="G869" s="3" t="s">
        <v>658</v>
      </c>
      <c r="H869" s="3">
        <v>0</v>
      </c>
    </row>
    <row r="870" spans="1:8" x14ac:dyDescent="0.3">
      <c r="A870" s="4">
        <v>38490</v>
      </c>
      <c r="B870" s="3">
        <v>2005</v>
      </c>
      <c r="C870" s="3">
        <v>5</v>
      </c>
      <c r="D870" s="3" t="s">
        <v>662</v>
      </c>
      <c r="E870" s="3" t="s">
        <v>615</v>
      </c>
      <c r="F870" s="3">
        <v>18</v>
      </c>
      <c r="G870" s="3" t="s">
        <v>652</v>
      </c>
      <c r="H870" s="3">
        <v>0</v>
      </c>
    </row>
    <row r="871" spans="1:8" x14ac:dyDescent="0.3">
      <c r="A871" s="4">
        <v>38491</v>
      </c>
      <c r="B871" s="3">
        <v>2005</v>
      </c>
      <c r="C871" s="3">
        <v>5</v>
      </c>
      <c r="D871" s="3" t="s">
        <v>662</v>
      </c>
      <c r="E871" s="3" t="s">
        <v>615</v>
      </c>
      <c r="F871" s="3">
        <v>19</v>
      </c>
      <c r="G871" s="3" t="s">
        <v>653</v>
      </c>
      <c r="H871" s="3">
        <v>0</v>
      </c>
    </row>
    <row r="872" spans="1:8" x14ac:dyDescent="0.3">
      <c r="A872" s="4">
        <v>38492</v>
      </c>
      <c r="B872" s="3">
        <v>2005</v>
      </c>
      <c r="C872" s="3">
        <v>5</v>
      </c>
      <c r="D872" s="3" t="s">
        <v>662</v>
      </c>
      <c r="E872" s="3" t="s">
        <v>615</v>
      </c>
      <c r="F872" s="3">
        <v>20</v>
      </c>
      <c r="G872" s="3" t="s">
        <v>654</v>
      </c>
      <c r="H872" s="3">
        <v>0</v>
      </c>
    </row>
    <row r="873" spans="1:8" x14ac:dyDescent="0.3">
      <c r="A873" s="4">
        <v>38493</v>
      </c>
      <c r="B873" s="3">
        <v>2005</v>
      </c>
      <c r="C873" s="3">
        <v>5</v>
      </c>
      <c r="D873" s="3" t="s">
        <v>662</v>
      </c>
      <c r="E873" s="3" t="s">
        <v>615</v>
      </c>
      <c r="F873" s="3">
        <v>21</v>
      </c>
      <c r="G873" s="3" t="s">
        <v>655</v>
      </c>
      <c r="H873" s="3">
        <v>1</v>
      </c>
    </row>
    <row r="874" spans="1:8" x14ac:dyDescent="0.3">
      <c r="A874" s="4">
        <v>38494</v>
      </c>
      <c r="B874" s="3">
        <v>2005</v>
      </c>
      <c r="C874" s="3">
        <v>5</v>
      </c>
      <c r="D874" s="3" t="s">
        <v>662</v>
      </c>
      <c r="E874" s="3" t="s">
        <v>615</v>
      </c>
      <c r="F874" s="3">
        <v>22</v>
      </c>
      <c r="G874" s="3" t="s">
        <v>656</v>
      </c>
      <c r="H874" s="3">
        <v>1</v>
      </c>
    </row>
    <row r="875" spans="1:8" x14ac:dyDescent="0.3">
      <c r="A875" s="4">
        <v>38495</v>
      </c>
      <c r="B875" s="3">
        <v>2005</v>
      </c>
      <c r="C875" s="3">
        <v>5</v>
      </c>
      <c r="D875" s="3" t="s">
        <v>662</v>
      </c>
      <c r="E875" s="3" t="s">
        <v>615</v>
      </c>
      <c r="F875" s="3">
        <v>23</v>
      </c>
      <c r="G875" s="3" t="s">
        <v>657</v>
      </c>
      <c r="H875" s="3">
        <v>0</v>
      </c>
    </row>
    <row r="876" spans="1:8" x14ac:dyDescent="0.3">
      <c r="A876" s="4">
        <v>38496</v>
      </c>
      <c r="B876" s="3">
        <v>2005</v>
      </c>
      <c r="C876" s="3">
        <v>5</v>
      </c>
      <c r="D876" s="3" t="s">
        <v>662</v>
      </c>
      <c r="E876" s="3" t="s">
        <v>615</v>
      </c>
      <c r="F876" s="3">
        <v>24</v>
      </c>
      <c r="G876" s="3" t="s">
        <v>658</v>
      </c>
      <c r="H876" s="3">
        <v>0</v>
      </c>
    </row>
    <row r="877" spans="1:8" x14ac:dyDescent="0.3">
      <c r="A877" s="4">
        <v>38497</v>
      </c>
      <c r="B877" s="3">
        <v>2005</v>
      </c>
      <c r="C877" s="3">
        <v>5</v>
      </c>
      <c r="D877" s="3" t="s">
        <v>662</v>
      </c>
      <c r="E877" s="3" t="s">
        <v>615</v>
      </c>
      <c r="F877" s="3">
        <v>25</v>
      </c>
      <c r="G877" s="3" t="s">
        <v>652</v>
      </c>
      <c r="H877" s="3">
        <v>0</v>
      </c>
    </row>
    <row r="878" spans="1:8" x14ac:dyDescent="0.3">
      <c r="A878" s="4">
        <v>38498</v>
      </c>
      <c r="B878" s="3">
        <v>2005</v>
      </c>
      <c r="C878" s="3">
        <v>5</v>
      </c>
      <c r="D878" s="3" t="s">
        <v>662</v>
      </c>
      <c r="E878" s="3" t="s">
        <v>615</v>
      </c>
      <c r="F878" s="3">
        <v>26</v>
      </c>
      <c r="G878" s="3" t="s">
        <v>653</v>
      </c>
      <c r="H878" s="3">
        <v>0</v>
      </c>
    </row>
    <row r="879" spans="1:8" x14ac:dyDescent="0.3">
      <c r="A879" s="4">
        <v>38499</v>
      </c>
      <c r="B879" s="3">
        <v>2005</v>
      </c>
      <c r="C879" s="3">
        <v>5</v>
      </c>
      <c r="D879" s="3" t="s">
        <v>662</v>
      </c>
      <c r="E879" s="3" t="s">
        <v>615</v>
      </c>
      <c r="F879" s="3">
        <v>27</v>
      </c>
      <c r="G879" s="3" t="s">
        <v>654</v>
      </c>
      <c r="H879" s="3">
        <v>0</v>
      </c>
    </row>
    <row r="880" spans="1:8" x14ac:dyDescent="0.3">
      <c r="A880" s="4">
        <v>38500</v>
      </c>
      <c r="B880" s="3">
        <v>2005</v>
      </c>
      <c r="C880" s="3">
        <v>5</v>
      </c>
      <c r="D880" s="3" t="s">
        <v>662</v>
      </c>
      <c r="E880" s="3" t="s">
        <v>615</v>
      </c>
      <c r="F880" s="3">
        <v>28</v>
      </c>
      <c r="G880" s="3" t="s">
        <v>655</v>
      </c>
      <c r="H880" s="3">
        <v>1</v>
      </c>
    </row>
    <row r="881" spans="1:8" x14ac:dyDescent="0.3">
      <c r="A881" s="4">
        <v>38501</v>
      </c>
      <c r="B881" s="3">
        <v>2005</v>
      </c>
      <c r="C881" s="3">
        <v>5</v>
      </c>
      <c r="D881" s="3" t="s">
        <v>662</v>
      </c>
      <c r="E881" s="3" t="s">
        <v>615</v>
      </c>
      <c r="F881" s="3">
        <v>29</v>
      </c>
      <c r="G881" s="3" t="s">
        <v>656</v>
      </c>
      <c r="H881" s="3">
        <v>1</v>
      </c>
    </row>
    <row r="882" spans="1:8" x14ac:dyDescent="0.3">
      <c r="A882" s="4">
        <v>38502</v>
      </c>
      <c r="B882" s="3">
        <v>2005</v>
      </c>
      <c r="C882" s="3">
        <v>5</v>
      </c>
      <c r="D882" s="3" t="s">
        <v>662</v>
      </c>
      <c r="E882" s="3" t="s">
        <v>615</v>
      </c>
      <c r="F882" s="3">
        <v>30</v>
      </c>
      <c r="G882" s="3" t="s">
        <v>657</v>
      </c>
      <c r="H882" s="3">
        <v>0</v>
      </c>
    </row>
    <row r="883" spans="1:8" x14ac:dyDescent="0.3">
      <c r="A883" s="4">
        <v>38503</v>
      </c>
      <c r="B883" s="3">
        <v>2005</v>
      </c>
      <c r="C883" s="3">
        <v>5</v>
      </c>
      <c r="D883" s="3" t="s">
        <v>662</v>
      </c>
      <c r="E883" s="3" t="s">
        <v>615</v>
      </c>
      <c r="F883" s="3">
        <v>31</v>
      </c>
      <c r="G883" s="3" t="s">
        <v>658</v>
      </c>
      <c r="H883" s="3">
        <v>0</v>
      </c>
    </row>
    <row r="884" spans="1:8" x14ac:dyDescent="0.3">
      <c r="A884" s="4">
        <v>38504</v>
      </c>
      <c r="B884" s="3">
        <v>2005</v>
      </c>
      <c r="C884" s="3">
        <v>6</v>
      </c>
      <c r="D884" s="3" t="s">
        <v>663</v>
      </c>
      <c r="E884" s="3" t="s">
        <v>615</v>
      </c>
      <c r="F884" s="3">
        <v>1</v>
      </c>
      <c r="G884" s="3" t="s">
        <v>652</v>
      </c>
      <c r="H884" s="3">
        <v>0</v>
      </c>
    </row>
    <row r="885" spans="1:8" x14ac:dyDescent="0.3">
      <c r="A885" s="4">
        <v>38505</v>
      </c>
      <c r="B885" s="3">
        <v>2005</v>
      </c>
      <c r="C885" s="3">
        <v>6</v>
      </c>
      <c r="D885" s="3" t="s">
        <v>663</v>
      </c>
      <c r="E885" s="3" t="s">
        <v>615</v>
      </c>
      <c r="F885" s="3">
        <v>2</v>
      </c>
      <c r="G885" s="3" t="s">
        <v>653</v>
      </c>
      <c r="H885" s="3">
        <v>0</v>
      </c>
    </row>
    <row r="886" spans="1:8" x14ac:dyDescent="0.3">
      <c r="A886" s="4">
        <v>38506</v>
      </c>
      <c r="B886" s="3">
        <v>2005</v>
      </c>
      <c r="C886" s="3">
        <v>6</v>
      </c>
      <c r="D886" s="3" t="s">
        <v>663</v>
      </c>
      <c r="E886" s="3" t="s">
        <v>615</v>
      </c>
      <c r="F886" s="3">
        <v>3</v>
      </c>
      <c r="G886" s="3" t="s">
        <v>654</v>
      </c>
      <c r="H886" s="3">
        <v>0</v>
      </c>
    </row>
    <row r="887" spans="1:8" x14ac:dyDescent="0.3">
      <c r="A887" s="4">
        <v>38507</v>
      </c>
      <c r="B887" s="3">
        <v>2005</v>
      </c>
      <c r="C887" s="3">
        <v>6</v>
      </c>
      <c r="D887" s="3" t="s">
        <v>663</v>
      </c>
      <c r="E887" s="3" t="s">
        <v>615</v>
      </c>
      <c r="F887" s="3">
        <v>4</v>
      </c>
      <c r="G887" s="3" t="s">
        <v>655</v>
      </c>
      <c r="H887" s="3">
        <v>1</v>
      </c>
    </row>
    <row r="888" spans="1:8" x14ac:dyDescent="0.3">
      <c r="A888" s="4">
        <v>38508</v>
      </c>
      <c r="B888" s="3">
        <v>2005</v>
      </c>
      <c r="C888" s="3">
        <v>6</v>
      </c>
      <c r="D888" s="3" t="s">
        <v>663</v>
      </c>
      <c r="E888" s="3" t="s">
        <v>615</v>
      </c>
      <c r="F888" s="3">
        <v>5</v>
      </c>
      <c r="G888" s="3" t="s">
        <v>656</v>
      </c>
      <c r="H888" s="3">
        <v>1</v>
      </c>
    </row>
    <row r="889" spans="1:8" x14ac:dyDescent="0.3">
      <c r="A889" s="4">
        <v>38509</v>
      </c>
      <c r="B889" s="3">
        <v>2005</v>
      </c>
      <c r="C889" s="3">
        <v>6</v>
      </c>
      <c r="D889" s="3" t="s">
        <v>663</v>
      </c>
      <c r="E889" s="3" t="s">
        <v>615</v>
      </c>
      <c r="F889" s="3">
        <v>6</v>
      </c>
      <c r="G889" s="3" t="s">
        <v>657</v>
      </c>
      <c r="H889" s="3">
        <v>0</v>
      </c>
    </row>
    <row r="890" spans="1:8" x14ac:dyDescent="0.3">
      <c r="A890" s="4">
        <v>38510</v>
      </c>
      <c r="B890" s="3">
        <v>2005</v>
      </c>
      <c r="C890" s="3">
        <v>6</v>
      </c>
      <c r="D890" s="3" t="s">
        <v>663</v>
      </c>
      <c r="E890" s="3" t="s">
        <v>615</v>
      </c>
      <c r="F890" s="3">
        <v>7</v>
      </c>
      <c r="G890" s="3" t="s">
        <v>658</v>
      </c>
      <c r="H890" s="3">
        <v>0</v>
      </c>
    </row>
    <row r="891" spans="1:8" x14ac:dyDescent="0.3">
      <c r="A891" s="4">
        <v>38511</v>
      </c>
      <c r="B891" s="3">
        <v>2005</v>
      </c>
      <c r="C891" s="3">
        <v>6</v>
      </c>
      <c r="D891" s="3" t="s">
        <v>663</v>
      </c>
      <c r="E891" s="3" t="s">
        <v>615</v>
      </c>
      <c r="F891" s="3">
        <v>8</v>
      </c>
      <c r="G891" s="3" t="s">
        <v>652</v>
      </c>
      <c r="H891" s="3">
        <v>0</v>
      </c>
    </row>
    <row r="892" spans="1:8" x14ac:dyDescent="0.3">
      <c r="A892" s="4">
        <v>38512</v>
      </c>
      <c r="B892" s="3">
        <v>2005</v>
      </c>
      <c r="C892" s="3">
        <v>6</v>
      </c>
      <c r="D892" s="3" t="s">
        <v>663</v>
      </c>
      <c r="E892" s="3" t="s">
        <v>615</v>
      </c>
      <c r="F892" s="3">
        <v>9</v>
      </c>
      <c r="G892" s="3" t="s">
        <v>653</v>
      </c>
      <c r="H892" s="3">
        <v>0</v>
      </c>
    </row>
    <row r="893" spans="1:8" x14ac:dyDescent="0.3">
      <c r="A893" s="4">
        <v>38513</v>
      </c>
      <c r="B893" s="3">
        <v>2005</v>
      </c>
      <c r="C893" s="3">
        <v>6</v>
      </c>
      <c r="D893" s="3" t="s">
        <v>663</v>
      </c>
      <c r="E893" s="3" t="s">
        <v>615</v>
      </c>
      <c r="F893" s="3">
        <v>10</v>
      </c>
      <c r="G893" s="3" t="s">
        <v>654</v>
      </c>
      <c r="H893" s="3">
        <v>0</v>
      </c>
    </row>
    <row r="894" spans="1:8" x14ac:dyDescent="0.3">
      <c r="A894" s="4">
        <v>38514</v>
      </c>
      <c r="B894" s="3">
        <v>2005</v>
      </c>
      <c r="C894" s="3">
        <v>6</v>
      </c>
      <c r="D894" s="3" t="s">
        <v>663</v>
      </c>
      <c r="E894" s="3" t="s">
        <v>615</v>
      </c>
      <c r="F894" s="3">
        <v>11</v>
      </c>
      <c r="G894" s="3" t="s">
        <v>655</v>
      </c>
      <c r="H894" s="3">
        <v>1</v>
      </c>
    </row>
    <row r="895" spans="1:8" x14ac:dyDescent="0.3">
      <c r="A895" s="4">
        <v>38515</v>
      </c>
      <c r="B895" s="3">
        <v>2005</v>
      </c>
      <c r="C895" s="3">
        <v>6</v>
      </c>
      <c r="D895" s="3" t="s">
        <v>663</v>
      </c>
      <c r="E895" s="3" t="s">
        <v>615</v>
      </c>
      <c r="F895" s="3">
        <v>12</v>
      </c>
      <c r="G895" s="3" t="s">
        <v>656</v>
      </c>
      <c r="H895" s="3">
        <v>1</v>
      </c>
    </row>
    <row r="896" spans="1:8" x14ac:dyDescent="0.3">
      <c r="A896" s="4">
        <v>38516</v>
      </c>
      <c r="B896" s="3">
        <v>2005</v>
      </c>
      <c r="C896" s="3">
        <v>6</v>
      </c>
      <c r="D896" s="3" t="s">
        <v>663</v>
      </c>
      <c r="E896" s="3" t="s">
        <v>615</v>
      </c>
      <c r="F896" s="3">
        <v>13</v>
      </c>
      <c r="G896" s="3" t="s">
        <v>657</v>
      </c>
      <c r="H896" s="3">
        <v>0</v>
      </c>
    </row>
    <row r="897" spans="1:8" x14ac:dyDescent="0.3">
      <c r="A897" s="4">
        <v>38517</v>
      </c>
      <c r="B897" s="3">
        <v>2005</v>
      </c>
      <c r="C897" s="3">
        <v>6</v>
      </c>
      <c r="D897" s="3" t="s">
        <v>663</v>
      </c>
      <c r="E897" s="3" t="s">
        <v>615</v>
      </c>
      <c r="F897" s="3">
        <v>14</v>
      </c>
      <c r="G897" s="3" t="s">
        <v>658</v>
      </c>
      <c r="H897" s="3">
        <v>0</v>
      </c>
    </row>
    <row r="898" spans="1:8" x14ac:dyDescent="0.3">
      <c r="A898" s="4">
        <v>38518</v>
      </c>
      <c r="B898" s="3">
        <v>2005</v>
      </c>
      <c r="C898" s="3">
        <v>6</v>
      </c>
      <c r="D898" s="3" t="s">
        <v>663</v>
      </c>
      <c r="E898" s="3" t="s">
        <v>615</v>
      </c>
      <c r="F898" s="3">
        <v>15</v>
      </c>
      <c r="G898" s="3" t="s">
        <v>652</v>
      </c>
      <c r="H898" s="3">
        <v>0</v>
      </c>
    </row>
    <row r="899" spans="1:8" x14ac:dyDescent="0.3">
      <c r="A899" s="4">
        <v>38519</v>
      </c>
      <c r="B899" s="3">
        <v>2005</v>
      </c>
      <c r="C899" s="3">
        <v>6</v>
      </c>
      <c r="D899" s="3" t="s">
        <v>663</v>
      </c>
      <c r="E899" s="3" t="s">
        <v>615</v>
      </c>
      <c r="F899" s="3">
        <v>16</v>
      </c>
      <c r="G899" s="3" t="s">
        <v>653</v>
      </c>
      <c r="H899" s="3">
        <v>0</v>
      </c>
    </row>
    <row r="900" spans="1:8" x14ac:dyDescent="0.3">
      <c r="A900" s="4">
        <v>38520</v>
      </c>
      <c r="B900" s="3">
        <v>2005</v>
      </c>
      <c r="C900" s="3">
        <v>6</v>
      </c>
      <c r="D900" s="3" t="s">
        <v>663</v>
      </c>
      <c r="E900" s="3" t="s">
        <v>615</v>
      </c>
      <c r="F900" s="3">
        <v>17</v>
      </c>
      <c r="G900" s="3" t="s">
        <v>654</v>
      </c>
      <c r="H900" s="3">
        <v>0</v>
      </c>
    </row>
    <row r="901" spans="1:8" x14ac:dyDescent="0.3">
      <c r="A901" s="4">
        <v>38521</v>
      </c>
      <c r="B901" s="3">
        <v>2005</v>
      </c>
      <c r="C901" s="3">
        <v>6</v>
      </c>
      <c r="D901" s="3" t="s">
        <v>663</v>
      </c>
      <c r="E901" s="3" t="s">
        <v>615</v>
      </c>
      <c r="F901" s="3">
        <v>18</v>
      </c>
      <c r="G901" s="3" t="s">
        <v>655</v>
      </c>
      <c r="H901" s="3">
        <v>1</v>
      </c>
    </row>
    <row r="902" spans="1:8" x14ac:dyDescent="0.3">
      <c r="A902" s="4">
        <v>38522</v>
      </c>
      <c r="B902" s="3">
        <v>2005</v>
      </c>
      <c r="C902" s="3">
        <v>6</v>
      </c>
      <c r="D902" s="3" t="s">
        <v>663</v>
      </c>
      <c r="E902" s="3" t="s">
        <v>615</v>
      </c>
      <c r="F902" s="3">
        <v>19</v>
      </c>
      <c r="G902" s="3" t="s">
        <v>656</v>
      </c>
      <c r="H902" s="3">
        <v>1</v>
      </c>
    </row>
    <row r="903" spans="1:8" x14ac:dyDescent="0.3">
      <c r="A903" s="4">
        <v>38523</v>
      </c>
      <c r="B903" s="3">
        <v>2005</v>
      </c>
      <c r="C903" s="3">
        <v>6</v>
      </c>
      <c r="D903" s="3" t="s">
        <v>663</v>
      </c>
      <c r="E903" s="3" t="s">
        <v>615</v>
      </c>
      <c r="F903" s="3">
        <v>20</v>
      </c>
      <c r="G903" s="3" t="s">
        <v>657</v>
      </c>
      <c r="H903" s="3">
        <v>0</v>
      </c>
    </row>
    <row r="904" spans="1:8" x14ac:dyDescent="0.3">
      <c r="A904" s="4">
        <v>38524</v>
      </c>
      <c r="B904" s="3">
        <v>2005</v>
      </c>
      <c r="C904" s="3">
        <v>6</v>
      </c>
      <c r="D904" s="3" t="s">
        <v>663</v>
      </c>
      <c r="E904" s="3" t="s">
        <v>615</v>
      </c>
      <c r="F904" s="3">
        <v>21</v>
      </c>
      <c r="G904" s="3" t="s">
        <v>658</v>
      </c>
      <c r="H904" s="3">
        <v>0</v>
      </c>
    </row>
    <row r="905" spans="1:8" x14ac:dyDescent="0.3">
      <c r="A905" s="4">
        <v>38525</v>
      </c>
      <c r="B905" s="3">
        <v>2005</v>
      </c>
      <c r="C905" s="3">
        <v>6</v>
      </c>
      <c r="D905" s="3" t="s">
        <v>663</v>
      </c>
      <c r="E905" s="3" t="s">
        <v>615</v>
      </c>
      <c r="F905" s="3">
        <v>22</v>
      </c>
      <c r="G905" s="3" t="s">
        <v>652</v>
      </c>
      <c r="H905" s="3">
        <v>0</v>
      </c>
    </row>
    <row r="906" spans="1:8" x14ac:dyDescent="0.3">
      <c r="A906" s="4">
        <v>38526</v>
      </c>
      <c r="B906" s="3">
        <v>2005</v>
      </c>
      <c r="C906" s="3">
        <v>6</v>
      </c>
      <c r="D906" s="3" t="s">
        <v>663</v>
      </c>
      <c r="E906" s="3" t="s">
        <v>615</v>
      </c>
      <c r="F906" s="3">
        <v>23</v>
      </c>
      <c r="G906" s="3" t="s">
        <v>653</v>
      </c>
      <c r="H906" s="3">
        <v>0</v>
      </c>
    </row>
    <row r="907" spans="1:8" x14ac:dyDescent="0.3">
      <c r="A907" s="4">
        <v>38527</v>
      </c>
      <c r="B907" s="3">
        <v>2005</v>
      </c>
      <c r="C907" s="3">
        <v>6</v>
      </c>
      <c r="D907" s="3" t="s">
        <v>663</v>
      </c>
      <c r="E907" s="3" t="s">
        <v>615</v>
      </c>
      <c r="F907" s="3">
        <v>24</v>
      </c>
      <c r="G907" s="3" t="s">
        <v>654</v>
      </c>
      <c r="H907" s="3">
        <v>0</v>
      </c>
    </row>
    <row r="908" spans="1:8" x14ac:dyDescent="0.3">
      <c r="A908" s="4">
        <v>38528</v>
      </c>
      <c r="B908" s="3">
        <v>2005</v>
      </c>
      <c r="C908" s="3">
        <v>6</v>
      </c>
      <c r="D908" s="3" t="s">
        <v>663</v>
      </c>
      <c r="E908" s="3" t="s">
        <v>615</v>
      </c>
      <c r="F908" s="3">
        <v>25</v>
      </c>
      <c r="G908" s="3" t="s">
        <v>655</v>
      </c>
      <c r="H908" s="3">
        <v>1</v>
      </c>
    </row>
    <row r="909" spans="1:8" x14ac:dyDescent="0.3">
      <c r="A909" s="4">
        <v>38529</v>
      </c>
      <c r="B909" s="3">
        <v>2005</v>
      </c>
      <c r="C909" s="3">
        <v>6</v>
      </c>
      <c r="D909" s="3" t="s">
        <v>663</v>
      </c>
      <c r="E909" s="3" t="s">
        <v>615</v>
      </c>
      <c r="F909" s="3">
        <v>26</v>
      </c>
      <c r="G909" s="3" t="s">
        <v>656</v>
      </c>
      <c r="H909" s="3">
        <v>1</v>
      </c>
    </row>
    <row r="910" spans="1:8" x14ac:dyDescent="0.3">
      <c r="A910" s="4">
        <v>38530</v>
      </c>
      <c r="B910" s="3">
        <v>2005</v>
      </c>
      <c r="C910" s="3">
        <v>6</v>
      </c>
      <c r="D910" s="3" t="s">
        <v>663</v>
      </c>
      <c r="E910" s="3" t="s">
        <v>615</v>
      </c>
      <c r="F910" s="3">
        <v>27</v>
      </c>
      <c r="G910" s="3" t="s">
        <v>657</v>
      </c>
      <c r="H910" s="3">
        <v>0</v>
      </c>
    </row>
    <row r="911" spans="1:8" x14ac:dyDescent="0.3">
      <c r="A911" s="4">
        <v>38531</v>
      </c>
      <c r="B911" s="3">
        <v>2005</v>
      </c>
      <c r="C911" s="3">
        <v>6</v>
      </c>
      <c r="D911" s="3" t="s">
        <v>663</v>
      </c>
      <c r="E911" s="3" t="s">
        <v>615</v>
      </c>
      <c r="F911" s="3">
        <v>28</v>
      </c>
      <c r="G911" s="3" t="s">
        <v>658</v>
      </c>
      <c r="H911" s="3">
        <v>0</v>
      </c>
    </row>
    <row r="912" spans="1:8" x14ac:dyDescent="0.3">
      <c r="A912" s="4">
        <v>38532</v>
      </c>
      <c r="B912" s="3">
        <v>2005</v>
      </c>
      <c r="C912" s="3">
        <v>6</v>
      </c>
      <c r="D912" s="3" t="s">
        <v>663</v>
      </c>
      <c r="E912" s="3" t="s">
        <v>615</v>
      </c>
      <c r="F912" s="3">
        <v>29</v>
      </c>
      <c r="G912" s="3" t="s">
        <v>652</v>
      </c>
      <c r="H912" s="3">
        <v>0</v>
      </c>
    </row>
    <row r="913" spans="1:8" x14ac:dyDescent="0.3">
      <c r="A913" s="4">
        <v>38533</v>
      </c>
      <c r="B913" s="3">
        <v>2005</v>
      </c>
      <c r="C913" s="3">
        <v>6</v>
      </c>
      <c r="D913" s="3" t="s">
        <v>663</v>
      </c>
      <c r="E913" s="3" t="s">
        <v>615</v>
      </c>
      <c r="F913" s="3">
        <v>30</v>
      </c>
      <c r="G913" s="3" t="s">
        <v>653</v>
      </c>
      <c r="H913" s="3">
        <v>0</v>
      </c>
    </row>
    <row r="914" spans="1:8" x14ac:dyDescent="0.3">
      <c r="A914" s="4">
        <v>38534</v>
      </c>
      <c r="B914" s="3">
        <v>2005</v>
      </c>
      <c r="C914" s="3">
        <v>7</v>
      </c>
      <c r="D914" s="3" t="s">
        <v>664</v>
      </c>
      <c r="E914" s="3" t="s">
        <v>616</v>
      </c>
      <c r="F914" s="3">
        <v>1</v>
      </c>
      <c r="G914" s="3" t="s">
        <v>654</v>
      </c>
      <c r="H914" s="3">
        <v>0</v>
      </c>
    </row>
    <row r="915" spans="1:8" x14ac:dyDescent="0.3">
      <c r="A915" s="4">
        <v>38535</v>
      </c>
      <c r="B915" s="3">
        <v>2005</v>
      </c>
      <c r="C915" s="3">
        <v>7</v>
      </c>
      <c r="D915" s="3" t="s">
        <v>664</v>
      </c>
      <c r="E915" s="3" t="s">
        <v>616</v>
      </c>
      <c r="F915" s="3">
        <v>2</v>
      </c>
      <c r="G915" s="3" t="s">
        <v>655</v>
      </c>
      <c r="H915" s="3">
        <v>1</v>
      </c>
    </row>
    <row r="916" spans="1:8" x14ac:dyDescent="0.3">
      <c r="A916" s="4">
        <v>38536</v>
      </c>
      <c r="B916" s="3">
        <v>2005</v>
      </c>
      <c r="C916" s="3">
        <v>7</v>
      </c>
      <c r="D916" s="3" t="s">
        <v>664</v>
      </c>
      <c r="E916" s="3" t="s">
        <v>616</v>
      </c>
      <c r="F916" s="3">
        <v>3</v>
      </c>
      <c r="G916" s="3" t="s">
        <v>656</v>
      </c>
      <c r="H916" s="3">
        <v>1</v>
      </c>
    </row>
    <row r="917" spans="1:8" x14ac:dyDescent="0.3">
      <c r="A917" s="4">
        <v>38537</v>
      </c>
      <c r="B917" s="3">
        <v>2005</v>
      </c>
      <c r="C917" s="3">
        <v>7</v>
      </c>
      <c r="D917" s="3" t="s">
        <v>664</v>
      </c>
      <c r="E917" s="3" t="s">
        <v>616</v>
      </c>
      <c r="F917" s="3">
        <v>4</v>
      </c>
      <c r="G917" s="3" t="s">
        <v>657</v>
      </c>
      <c r="H917" s="3">
        <v>0</v>
      </c>
    </row>
    <row r="918" spans="1:8" x14ac:dyDescent="0.3">
      <c r="A918" s="4">
        <v>38538</v>
      </c>
      <c r="B918" s="3">
        <v>2005</v>
      </c>
      <c r="C918" s="3">
        <v>7</v>
      </c>
      <c r="D918" s="3" t="s">
        <v>664</v>
      </c>
      <c r="E918" s="3" t="s">
        <v>616</v>
      </c>
      <c r="F918" s="3">
        <v>5</v>
      </c>
      <c r="G918" s="3" t="s">
        <v>658</v>
      </c>
      <c r="H918" s="3">
        <v>0</v>
      </c>
    </row>
    <row r="919" spans="1:8" x14ac:dyDescent="0.3">
      <c r="A919" s="4">
        <v>38539</v>
      </c>
      <c r="B919" s="3">
        <v>2005</v>
      </c>
      <c r="C919" s="3">
        <v>7</v>
      </c>
      <c r="D919" s="3" t="s">
        <v>664</v>
      </c>
      <c r="E919" s="3" t="s">
        <v>616</v>
      </c>
      <c r="F919" s="3">
        <v>6</v>
      </c>
      <c r="G919" s="3" t="s">
        <v>652</v>
      </c>
      <c r="H919" s="3">
        <v>0</v>
      </c>
    </row>
    <row r="920" spans="1:8" x14ac:dyDescent="0.3">
      <c r="A920" s="4">
        <v>38540</v>
      </c>
      <c r="B920" s="3">
        <v>2005</v>
      </c>
      <c r="C920" s="3">
        <v>7</v>
      </c>
      <c r="D920" s="3" t="s">
        <v>664</v>
      </c>
      <c r="E920" s="3" t="s">
        <v>616</v>
      </c>
      <c r="F920" s="3">
        <v>7</v>
      </c>
      <c r="G920" s="3" t="s">
        <v>653</v>
      </c>
      <c r="H920" s="3">
        <v>0</v>
      </c>
    </row>
    <row r="921" spans="1:8" x14ac:dyDescent="0.3">
      <c r="A921" s="4">
        <v>38541</v>
      </c>
      <c r="B921" s="3">
        <v>2005</v>
      </c>
      <c r="C921" s="3">
        <v>7</v>
      </c>
      <c r="D921" s="3" t="s">
        <v>664</v>
      </c>
      <c r="E921" s="3" t="s">
        <v>616</v>
      </c>
      <c r="F921" s="3">
        <v>8</v>
      </c>
      <c r="G921" s="3" t="s">
        <v>654</v>
      </c>
      <c r="H921" s="3">
        <v>0</v>
      </c>
    </row>
    <row r="922" spans="1:8" x14ac:dyDescent="0.3">
      <c r="A922" s="4">
        <v>38542</v>
      </c>
      <c r="B922" s="3">
        <v>2005</v>
      </c>
      <c r="C922" s="3">
        <v>7</v>
      </c>
      <c r="D922" s="3" t="s">
        <v>664</v>
      </c>
      <c r="E922" s="3" t="s">
        <v>616</v>
      </c>
      <c r="F922" s="3">
        <v>9</v>
      </c>
      <c r="G922" s="3" t="s">
        <v>655</v>
      </c>
      <c r="H922" s="3">
        <v>1</v>
      </c>
    </row>
    <row r="923" spans="1:8" x14ac:dyDescent="0.3">
      <c r="A923" s="4">
        <v>38543</v>
      </c>
      <c r="B923" s="3">
        <v>2005</v>
      </c>
      <c r="C923" s="3">
        <v>7</v>
      </c>
      <c r="D923" s="3" t="s">
        <v>664</v>
      </c>
      <c r="E923" s="3" t="s">
        <v>616</v>
      </c>
      <c r="F923" s="3">
        <v>10</v>
      </c>
      <c r="G923" s="3" t="s">
        <v>656</v>
      </c>
      <c r="H923" s="3">
        <v>1</v>
      </c>
    </row>
    <row r="924" spans="1:8" x14ac:dyDescent="0.3">
      <c r="A924" s="4">
        <v>38544</v>
      </c>
      <c r="B924" s="3">
        <v>2005</v>
      </c>
      <c r="C924" s="3">
        <v>7</v>
      </c>
      <c r="D924" s="3" t="s">
        <v>664</v>
      </c>
      <c r="E924" s="3" t="s">
        <v>616</v>
      </c>
      <c r="F924" s="3">
        <v>11</v>
      </c>
      <c r="G924" s="3" t="s">
        <v>657</v>
      </c>
      <c r="H924" s="3">
        <v>0</v>
      </c>
    </row>
    <row r="925" spans="1:8" x14ac:dyDescent="0.3">
      <c r="A925" s="4">
        <v>38545</v>
      </c>
      <c r="B925" s="3">
        <v>2005</v>
      </c>
      <c r="C925" s="3">
        <v>7</v>
      </c>
      <c r="D925" s="3" t="s">
        <v>664</v>
      </c>
      <c r="E925" s="3" t="s">
        <v>616</v>
      </c>
      <c r="F925" s="3">
        <v>12</v>
      </c>
      <c r="G925" s="3" t="s">
        <v>658</v>
      </c>
      <c r="H925" s="3">
        <v>0</v>
      </c>
    </row>
    <row r="926" spans="1:8" x14ac:dyDescent="0.3">
      <c r="A926" s="4">
        <v>38546</v>
      </c>
      <c r="B926" s="3">
        <v>2005</v>
      </c>
      <c r="C926" s="3">
        <v>7</v>
      </c>
      <c r="D926" s="3" t="s">
        <v>664</v>
      </c>
      <c r="E926" s="3" t="s">
        <v>616</v>
      </c>
      <c r="F926" s="3">
        <v>13</v>
      </c>
      <c r="G926" s="3" t="s">
        <v>652</v>
      </c>
      <c r="H926" s="3">
        <v>0</v>
      </c>
    </row>
    <row r="927" spans="1:8" x14ac:dyDescent="0.3">
      <c r="A927" s="4">
        <v>38547</v>
      </c>
      <c r="B927" s="3">
        <v>2005</v>
      </c>
      <c r="C927" s="3">
        <v>7</v>
      </c>
      <c r="D927" s="3" t="s">
        <v>664</v>
      </c>
      <c r="E927" s="3" t="s">
        <v>616</v>
      </c>
      <c r="F927" s="3">
        <v>14</v>
      </c>
      <c r="G927" s="3" t="s">
        <v>653</v>
      </c>
      <c r="H927" s="3">
        <v>0</v>
      </c>
    </row>
    <row r="928" spans="1:8" x14ac:dyDescent="0.3">
      <c r="A928" s="4">
        <v>38548</v>
      </c>
      <c r="B928" s="3">
        <v>2005</v>
      </c>
      <c r="C928" s="3">
        <v>7</v>
      </c>
      <c r="D928" s="3" t="s">
        <v>664</v>
      </c>
      <c r="E928" s="3" t="s">
        <v>616</v>
      </c>
      <c r="F928" s="3">
        <v>15</v>
      </c>
      <c r="G928" s="3" t="s">
        <v>654</v>
      </c>
      <c r="H928" s="3">
        <v>0</v>
      </c>
    </row>
    <row r="929" spans="1:8" x14ac:dyDescent="0.3">
      <c r="A929" s="4">
        <v>38549</v>
      </c>
      <c r="B929" s="3">
        <v>2005</v>
      </c>
      <c r="C929" s="3">
        <v>7</v>
      </c>
      <c r="D929" s="3" t="s">
        <v>664</v>
      </c>
      <c r="E929" s="3" t="s">
        <v>616</v>
      </c>
      <c r="F929" s="3">
        <v>16</v>
      </c>
      <c r="G929" s="3" t="s">
        <v>655</v>
      </c>
      <c r="H929" s="3">
        <v>1</v>
      </c>
    </row>
    <row r="930" spans="1:8" x14ac:dyDescent="0.3">
      <c r="A930" s="4">
        <v>38550</v>
      </c>
      <c r="B930" s="3">
        <v>2005</v>
      </c>
      <c r="C930" s="3">
        <v>7</v>
      </c>
      <c r="D930" s="3" t="s">
        <v>664</v>
      </c>
      <c r="E930" s="3" t="s">
        <v>616</v>
      </c>
      <c r="F930" s="3">
        <v>17</v>
      </c>
      <c r="G930" s="3" t="s">
        <v>656</v>
      </c>
      <c r="H930" s="3">
        <v>1</v>
      </c>
    </row>
    <row r="931" spans="1:8" x14ac:dyDescent="0.3">
      <c r="A931" s="4">
        <v>38551</v>
      </c>
      <c r="B931" s="3">
        <v>2005</v>
      </c>
      <c r="C931" s="3">
        <v>7</v>
      </c>
      <c r="D931" s="3" t="s">
        <v>664</v>
      </c>
      <c r="E931" s="3" t="s">
        <v>616</v>
      </c>
      <c r="F931" s="3">
        <v>18</v>
      </c>
      <c r="G931" s="3" t="s">
        <v>657</v>
      </c>
      <c r="H931" s="3">
        <v>0</v>
      </c>
    </row>
    <row r="932" spans="1:8" x14ac:dyDescent="0.3">
      <c r="A932" s="4">
        <v>38552</v>
      </c>
      <c r="B932" s="3">
        <v>2005</v>
      </c>
      <c r="C932" s="3">
        <v>7</v>
      </c>
      <c r="D932" s="3" t="s">
        <v>664</v>
      </c>
      <c r="E932" s="3" t="s">
        <v>616</v>
      </c>
      <c r="F932" s="3">
        <v>19</v>
      </c>
      <c r="G932" s="3" t="s">
        <v>658</v>
      </c>
      <c r="H932" s="3">
        <v>0</v>
      </c>
    </row>
    <row r="933" spans="1:8" x14ac:dyDescent="0.3">
      <c r="A933" s="4">
        <v>38553</v>
      </c>
      <c r="B933" s="3">
        <v>2005</v>
      </c>
      <c r="C933" s="3">
        <v>7</v>
      </c>
      <c r="D933" s="3" t="s">
        <v>664</v>
      </c>
      <c r="E933" s="3" t="s">
        <v>616</v>
      </c>
      <c r="F933" s="3">
        <v>20</v>
      </c>
      <c r="G933" s="3" t="s">
        <v>652</v>
      </c>
      <c r="H933" s="3">
        <v>0</v>
      </c>
    </row>
    <row r="934" spans="1:8" x14ac:dyDescent="0.3">
      <c r="A934" s="4">
        <v>38554</v>
      </c>
      <c r="B934" s="3">
        <v>2005</v>
      </c>
      <c r="C934" s="3">
        <v>7</v>
      </c>
      <c r="D934" s="3" t="s">
        <v>664</v>
      </c>
      <c r="E934" s="3" t="s">
        <v>616</v>
      </c>
      <c r="F934" s="3">
        <v>21</v>
      </c>
      <c r="G934" s="3" t="s">
        <v>653</v>
      </c>
      <c r="H934" s="3">
        <v>0</v>
      </c>
    </row>
    <row r="935" spans="1:8" x14ac:dyDescent="0.3">
      <c r="A935" s="4">
        <v>38555</v>
      </c>
      <c r="B935" s="3">
        <v>2005</v>
      </c>
      <c r="C935" s="3">
        <v>7</v>
      </c>
      <c r="D935" s="3" t="s">
        <v>664</v>
      </c>
      <c r="E935" s="3" t="s">
        <v>616</v>
      </c>
      <c r="F935" s="3">
        <v>22</v>
      </c>
      <c r="G935" s="3" t="s">
        <v>654</v>
      </c>
      <c r="H935" s="3">
        <v>0</v>
      </c>
    </row>
    <row r="936" spans="1:8" x14ac:dyDescent="0.3">
      <c r="A936" s="4">
        <v>38556</v>
      </c>
      <c r="B936" s="3">
        <v>2005</v>
      </c>
      <c r="C936" s="3">
        <v>7</v>
      </c>
      <c r="D936" s="3" t="s">
        <v>664</v>
      </c>
      <c r="E936" s="3" t="s">
        <v>616</v>
      </c>
      <c r="F936" s="3">
        <v>23</v>
      </c>
      <c r="G936" s="3" t="s">
        <v>655</v>
      </c>
      <c r="H936" s="3">
        <v>1</v>
      </c>
    </row>
    <row r="937" spans="1:8" x14ac:dyDescent="0.3">
      <c r="A937" s="4">
        <v>38557</v>
      </c>
      <c r="B937" s="3">
        <v>2005</v>
      </c>
      <c r="C937" s="3">
        <v>7</v>
      </c>
      <c r="D937" s="3" t="s">
        <v>664</v>
      </c>
      <c r="E937" s="3" t="s">
        <v>616</v>
      </c>
      <c r="F937" s="3">
        <v>24</v>
      </c>
      <c r="G937" s="3" t="s">
        <v>656</v>
      </c>
      <c r="H937" s="3">
        <v>1</v>
      </c>
    </row>
    <row r="938" spans="1:8" x14ac:dyDescent="0.3">
      <c r="A938" s="4">
        <v>38558</v>
      </c>
      <c r="B938" s="3">
        <v>2005</v>
      </c>
      <c r="C938" s="3">
        <v>7</v>
      </c>
      <c r="D938" s="3" t="s">
        <v>664</v>
      </c>
      <c r="E938" s="3" t="s">
        <v>616</v>
      </c>
      <c r="F938" s="3">
        <v>25</v>
      </c>
      <c r="G938" s="3" t="s">
        <v>657</v>
      </c>
      <c r="H938" s="3">
        <v>0</v>
      </c>
    </row>
    <row r="939" spans="1:8" x14ac:dyDescent="0.3">
      <c r="A939" s="4">
        <v>38559</v>
      </c>
      <c r="B939" s="3">
        <v>2005</v>
      </c>
      <c r="C939" s="3">
        <v>7</v>
      </c>
      <c r="D939" s="3" t="s">
        <v>664</v>
      </c>
      <c r="E939" s="3" t="s">
        <v>616</v>
      </c>
      <c r="F939" s="3">
        <v>26</v>
      </c>
      <c r="G939" s="3" t="s">
        <v>658</v>
      </c>
      <c r="H939" s="3">
        <v>0</v>
      </c>
    </row>
    <row r="940" spans="1:8" x14ac:dyDescent="0.3">
      <c r="A940" s="4">
        <v>38560</v>
      </c>
      <c r="B940" s="3">
        <v>2005</v>
      </c>
      <c r="C940" s="3">
        <v>7</v>
      </c>
      <c r="D940" s="3" t="s">
        <v>664</v>
      </c>
      <c r="E940" s="3" t="s">
        <v>616</v>
      </c>
      <c r="F940" s="3">
        <v>27</v>
      </c>
      <c r="G940" s="3" t="s">
        <v>652</v>
      </c>
      <c r="H940" s="3">
        <v>0</v>
      </c>
    </row>
    <row r="941" spans="1:8" x14ac:dyDescent="0.3">
      <c r="A941" s="4">
        <v>38561</v>
      </c>
      <c r="B941" s="3">
        <v>2005</v>
      </c>
      <c r="C941" s="3">
        <v>7</v>
      </c>
      <c r="D941" s="3" t="s">
        <v>664</v>
      </c>
      <c r="E941" s="3" t="s">
        <v>616</v>
      </c>
      <c r="F941" s="3">
        <v>28</v>
      </c>
      <c r="G941" s="3" t="s">
        <v>653</v>
      </c>
      <c r="H941" s="3">
        <v>0</v>
      </c>
    </row>
    <row r="942" spans="1:8" x14ac:dyDescent="0.3">
      <c r="A942" s="4">
        <v>38562</v>
      </c>
      <c r="B942" s="3">
        <v>2005</v>
      </c>
      <c r="C942" s="3">
        <v>7</v>
      </c>
      <c r="D942" s="3" t="s">
        <v>664</v>
      </c>
      <c r="E942" s="3" t="s">
        <v>616</v>
      </c>
      <c r="F942" s="3">
        <v>29</v>
      </c>
      <c r="G942" s="3" t="s">
        <v>654</v>
      </c>
      <c r="H942" s="3">
        <v>0</v>
      </c>
    </row>
    <row r="943" spans="1:8" x14ac:dyDescent="0.3">
      <c r="A943" s="4">
        <v>38563</v>
      </c>
      <c r="B943" s="3">
        <v>2005</v>
      </c>
      <c r="C943" s="3">
        <v>7</v>
      </c>
      <c r="D943" s="3" t="s">
        <v>664</v>
      </c>
      <c r="E943" s="3" t="s">
        <v>616</v>
      </c>
      <c r="F943" s="3">
        <v>30</v>
      </c>
      <c r="G943" s="3" t="s">
        <v>655</v>
      </c>
      <c r="H943" s="3">
        <v>1</v>
      </c>
    </row>
    <row r="944" spans="1:8" x14ac:dyDescent="0.3">
      <c r="A944" s="4">
        <v>38564</v>
      </c>
      <c r="B944" s="3">
        <v>2005</v>
      </c>
      <c r="C944" s="3">
        <v>7</v>
      </c>
      <c r="D944" s="3" t="s">
        <v>664</v>
      </c>
      <c r="E944" s="3" t="s">
        <v>616</v>
      </c>
      <c r="F944" s="3">
        <v>31</v>
      </c>
      <c r="G944" s="3" t="s">
        <v>656</v>
      </c>
      <c r="H944" s="3">
        <v>1</v>
      </c>
    </row>
    <row r="945" spans="1:8" x14ac:dyDescent="0.3">
      <c r="A945" s="4">
        <v>38565</v>
      </c>
      <c r="B945" s="3">
        <v>2005</v>
      </c>
      <c r="C945" s="3">
        <v>8</v>
      </c>
      <c r="D945" s="3" t="s">
        <v>665</v>
      </c>
      <c r="E945" s="3" t="s">
        <v>616</v>
      </c>
      <c r="F945" s="3">
        <v>1</v>
      </c>
      <c r="G945" s="3" t="s">
        <v>657</v>
      </c>
      <c r="H945" s="3">
        <v>0</v>
      </c>
    </row>
    <row r="946" spans="1:8" x14ac:dyDescent="0.3">
      <c r="A946" s="4">
        <v>38566</v>
      </c>
      <c r="B946" s="3">
        <v>2005</v>
      </c>
      <c r="C946" s="3">
        <v>8</v>
      </c>
      <c r="D946" s="3" t="s">
        <v>665</v>
      </c>
      <c r="E946" s="3" t="s">
        <v>616</v>
      </c>
      <c r="F946" s="3">
        <v>2</v>
      </c>
      <c r="G946" s="3" t="s">
        <v>658</v>
      </c>
      <c r="H946" s="3">
        <v>0</v>
      </c>
    </row>
    <row r="947" spans="1:8" x14ac:dyDescent="0.3">
      <c r="A947" s="4">
        <v>38567</v>
      </c>
      <c r="B947" s="3">
        <v>2005</v>
      </c>
      <c r="C947" s="3">
        <v>8</v>
      </c>
      <c r="D947" s="3" t="s">
        <v>665</v>
      </c>
      <c r="E947" s="3" t="s">
        <v>616</v>
      </c>
      <c r="F947" s="3">
        <v>3</v>
      </c>
      <c r="G947" s="3" t="s">
        <v>652</v>
      </c>
      <c r="H947" s="3">
        <v>0</v>
      </c>
    </row>
    <row r="948" spans="1:8" x14ac:dyDescent="0.3">
      <c r="A948" s="4">
        <v>38568</v>
      </c>
      <c r="B948" s="3">
        <v>2005</v>
      </c>
      <c r="C948" s="3">
        <v>8</v>
      </c>
      <c r="D948" s="3" t="s">
        <v>665</v>
      </c>
      <c r="E948" s="3" t="s">
        <v>616</v>
      </c>
      <c r="F948" s="3">
        <v>4</v>
      </c>
      <c r="G948" s="3" t="s">
        <v>653</v>
      </c>
      <c r="H948" s="3">
        <v>0</v>
      </c>
    </row>
    <row r="949" spans="1:8" x14ac:dyDescent="0.3">
      <c r="A949" s="4">
        <v>38569</v>
      </c>
      <c r="B949" s="3">
        <v>2005</v>
      </c>
      <c r="C949" s="3">
        <v>8</v>
      </c>
      <c r="D949" s="3" t="s">
        <v>665</v>
      </c>
      <c r="E949" s="3" t="s">
        <v>616</v>
      </c>
      <c r="F949" s="3">
        <v>5</v>
      </c>
      <c r="G949" s="3" t="s">
        <v>654</v>
      </c>
      <c r="H949" s="3">
        <v>0</v>
      </c>
    </row>
    <row r="950" spans="1:8" x14ac:dyDescent="0.3">
      <c r="A950" s="4">
        <v>38570</v>
      </c>
      <c r="B950" s="3">
        <v>2005</v>
      </c>
      <c r="C950" s="3">
        <v>8</v>
      </c>
      <c r="D950" s="3" t="s">
        <v>665</v>
      </c>
      <c r="E950" s="3" t="s">
        <v>616</v>
      </c>
      <c r="F950" s="3">
        <v>6</v>
      </c>
      <c r="G950" s="3" t="s">
        <v>655</v>
      </c>
      <c r="H950" s="3">
        <v>1</v>
      </c>
    </row>
    <row r="951" spans="1:8" x14ac:dyDescent="0.3">
      <c r="A951" s="4">
        <v>38571</v>
      </c>
      <c r="B951" s="3">
        <v>2005</v>
      </c>
      <c r="C951" s="3">
        <v>8</v>
      </c>
      <c r="D951" s="3" t="s">
        <v>665</v>
      </c>
      <c r="E951" s="3" t="s">
        <v>616</v>
      </c>
      <c r="F951" s="3">
        <v>7</v>
      </c>
      <c r="G951" s="3" t="s">
        <v>656</v>
      </c>
      <c r="H951" s="3">
        <v>1</v>
      </c>
    </row>
    <row r="952" spans="1:8" x14ac:dyDescent="0.3">
      <c r="A952" s="4">
        <v>38572</v>
      </c>
      <c r="B952" s="3">
        <v>2005</v>
      </c>
      <c r="C952" s="3">
        <v>8</v>
      </c>
      <c r="D952" s="3" t="s">
        <v>665</v>
      </c>
      <c r="E952" s="3" t="s">
        <v>616</v>
      </c>
      <c r="F952" s="3">
        <v>8</v>
      </c>
      <c r="G952" s="3" t="s">
        <v>657</v>
      </c>
      <c r="H952" s="3">
        <v>0</v>
      </c>
    </row>
    <row r="953" spans="1:8" x14ac:dyDescent="0.3">
      <c r="A953" s="4">
        <v>38573</v>
      </c>
      <c r="B953" s="3">
        <v>2005</v>
      </c>
      <c r="C953" s="3">
        <v>8</v>
      </c>
      <c r="D953" s="3" t="s">
        <v>665</v>
      </c>
      <c r="E953" s="3" t="s">
        <v>616</v>
      </c>
      <c r="F953" s="3">
        <v>9</v>
      </c>
      <c r="G953" s="3" t="s">
        <v>658</v>
      </c>
      <c r="H953" s="3">
        <v>0</v>
      </c>
    </row>
    <row r="954" spans="1:8" x14ac:dyDescent="0.3">
      <c r="A954" s="4">
        <v>38574</v>
      </c>
      <c r="B954" s="3">
        <v>2005</v>
      </c>
      <c r="C954" s="3">
        <v>8</v>
      </c>
      <c r="D954" s="3" t="s">
        <v>665</v>
      </c>
      <c r="E954" s="3" t="s">
        <v>616</v>
      </c>
      <c r="F954" s="3">
        <v>10</v>
      </c>
      <c r="G954" s="3" t="s">
        <v>652</v>
      </c>
      <c r="H954" s="3">
        <v>0</v>
      </c>
    </row>
    <row r="955" spans="1:8" x14ac:dyDescent="0.3">
      <c r="A955" s="4">
        <v>38575</v>
      </c>
      <c r="B955" s="3">
        <v>2005</v>
      </c>
      <c r="C955" s="3">
        <v>8</v>
      </c>
      <c r="D955" s="3" t="s">
        <v>665</v>
      </c>
      <c r="E955" s="3" t="s">
        <v>616</v>
      </c>
      <c r="F955" s="3">
        <v>11</v>
      </c>
      <c r="G955" s="3" t="s">
        <v>653</v>
      </c>
      <c r="H955" s="3">
        <v>0</v>
      </c>
    </row>
    <row r="956" spans="1:8" x14ac:dyDescent="0.3">
      <c r="A956" s="4">
        <v>38576</v>
      </c>
      <c r="B956" s="3">
        <v>2005</v>
      </c>
      <c r="C956" s="3">
        <v>8</v>
      </c>
      <c r="D956" s="3" t="s">
        <v>665</v>
      </c>
      <c r="E956" s="3" t="s">
        <v>616</v>
      </c>
      <c r="F956" s="3">
        <v>12</v>
      </c>
      <c r="G956" s="3" t="s">
        <v>654</v>
      </c>
      <c r="H956" s="3">
        <v>0</v>
      </c>
    </row>
    <row r="957" spans="1:8" x14ac:dyDescent="0.3">
      <c r="A957" s="4">
        <v>38577</v>
      </c>
      <c r="B957" s="3">
        <v>2005</v>
      </c>
      <c r="C957" s="3">
        <v>8</v>
      </c>
      <c r="D957" s="3" t="s">
        <v>665</v>
      </c>
      <c r="E957" s="3" t="s">
        <v>616</v>
      </c>
      <c r="F957" s="3">
        <v>13</v>
      </c>
      <c r="G957" s="3" t="s">
        <v>655</v>
      </c>
      <c r="H957" s="3">
        <v>1</v>
      </c>
    </row>
    <row r="958" spans="1:8" x14ac:dyDescent="0.3">
      <c r="A958" s="4">
        <v>38578</v>
      </c>
      <c r="B958" s="3">
        <v>2005</v>
      </c>
      <c r="C958" s="3">
        <v>8</v>
      </c>
      <c r="D958" s="3" t="s">
        <v>665</v>
      </c>
      <c r="E958" s="3" t="s">
        <v>616</v>
      </c>
      <c r="F958" s="3">
        <v>14</v>
      </c>
      <c r="G958" s="3" t="s">
        <v>656</v>
      </c>
      <c r="H958" s="3">
        <v>1</v>
      </c>
    </row>
    <row r="959" spans="1:8" x14ac:dyDescent="0.3">
      <c r="A959" s="4">
        <v>38579</v>
      </c>
      <c r="B959" s="3">
        <v>2005</v>
      </c>
      <c r="C959" s="3">
        <v>8</v>
      </c>
      <c r="D959" s="3" t="s">
        <v>665</v>
      </c>
      <c r="E959" s="3" t="s">
        <v>616</v>
      </c>
      <c r="F959" s="3">
        <v>15</v>
      </c>
      <c r="G959" s="3" t="s">
        <v>657</v>
      </c>
      <c r="H959" s="3">
        <v>0</v>
      </c>
    </row>
    <row r="960" spans="1:8" x14ac:dyDescent="0.3">
      <c r="A960" s="4">
        <v>38580</v>
      </c>
      <c r="B960" s="3">
        <v>2005</v>
      </c>
      <c r="C960" s="3">
        <v>8</v>
      </c>
      <c r="D960" s="3" t="s">
        <v>665</v>
      </c>
      <c r="E960" s="3" t="s">
        <v>616</v>
      </c>
      <c r="F960" s="3">
        <v>16</v>
      </c>
      <c r="G960" s="3" t="s">
        <v>658</v>
      </c>
      <c r="H960" s="3">
        <v>0</v>
      </c>
    </row>
    <row r="961" spans="1:8" x14ac:dyDescent="0.3">
      <c r="A961" s="4">
        <v>38581</v>
      </c>
      <c r="B961" s="3">
        <v>2005</v>
      </c>
      <c r="C961" s="3">
        <v>8</v>
      </c>
      <c r="D961" s="3" t="s">
        <v>665</v>
      </c>
      <c r="E961" s="3" t="s">
        <v>616</v>
      </c>
      <c r="F961" s="3">
        <v>17</v>
      </c>
      <c r="G961" s="3" t="s">
        <v>652</v>
      </c>
      <c r="H961" s="3">
        <v>0</v>
      </c>
    </row>
    <row r="962" spans="1:8" x14ac:dyDescent="0.3">
      <c r="A962" s="4">
        <v>38582</v>
      </c>
      <c r="B962" s="3">
        <v>2005</v>
      </c>
      <c r="C962" s="3">
        <v>8</v>
      </c>
      <c r="D962" s="3" t="s">
        <v>665</v>
      </c>
      <c r="E962" s="3" t="s">
        <v>616</v>
      </c>
      <c r="F962" s="3">
        <v>18</v>
      </c>
      <c r="G962" s="3" t="s">
        <v>653</v>
      </c>
      <c r="H962" s="3">
        <v>0</v>
      </c>
    </row>
    <row r="963" spans="1:8" x14ac:dyDescent="0.3">
      <c r="A963" s="4">
        <v>38583</v>
      </c>
      <c r="B963" s="3">
        <v>2005</v>
      </c>
      <c r="C963" s="3">
        <v>8</v>
      </c>
      <c r="D963" s="3" t="s">
        <v>665</v>
      </c>
      <c r="E963" s="3" t="s">
        <v>616</v>
      </c>
      <c r="F963" s="3">
        <v>19</v>
      </c>
      <c r="G963" s="3" t="s">
        <v>654</v>
      </c>
      <c r="H963" s="3">
        <v>0</v>
      </c>
    </row>
    <row r="964" spans="1:8" x14ac:dyDescent="0.3">
      <c r="A964" s="4">
        <v>38584</v>
      </c>
      <c r="B964" s="3">
        <v>2005</v>
      </c>
      <c r="C964" s="3">
        <v>8</v>
      </c>
      <c r="D964" s="3" t="s">
        <v>665</v>
      </c>
      <c r="E964" s="3" t="s">
        <v>616</v>
      </c>
      <c r="F964" s="3">
        <v>20</v>
      </c>
      <c r="G964" s="3" t="s">
        <v>655</v>
      </c>
      <c r="H964" s="3">
        <v>1</v>
      </c>
    </row>
    <row r="965" spans="1:8" x14ac:dyDescent="0.3">
      <c r="A965" s="4">
        <v>38585</v>
      </c>
      <c r="B965" s="3">
        <v>2005</v>
      </c>
      <c r="C965" s="3">
        <v>8</v>
      </c>
      <c r="D965" s="3" t="s">
        <v>665</v>
      </c>
      <c r="E965" s="3" t="s">
        <v>616</v>
      </c>
      <c r="F965" s="3">
        <v>21</v>
      </c>
      <c r="G965" s="3" t="s">
        <v>656</v>
      </c>
      <c r="H965" s="3">
        <v>1</v>
      </c>
    </row>
    <row r="966" spans="1:8" x14ac:dyDescent="0.3">
      <c r="A966" s="4">
        <v>38586</v>
      </c>
      <c r="B966" s="3">
        <v>2005</v>
      </c>
      <c r="C966" s="3">
        <v>8</v>
      </c>
      <c r="D966" s="3" t="s">
        <v>665</v>
      </c>
      <c r="E966" s="3" t="s">
        <v>616</v>
      </c>
      <c r="F966" s="3">
        <v>22</v>
      </c>
      <c r="G966" s="3" t="s">
        <v>657</v>
      </c>
      <c r="H966" s="3">
        <v>0</v>
      </c>
    </row>
    <row r="967" spans="1:8" x14ac:dyDescent="0.3">
      <c r="A967" s="4">
        <v>38587</v>
      </c>
      <c r="B967" s="3">
        <v>2005</v>
      </c>
      <c r="C967" s="3">
        <v>8</v>
      </c>
      <c r="D967" s="3" t="s">
        <v>665</v>
      </c>
      <c r="E967" s="3" t="s">
        <v>616</v>
      </c>
      <c r="F967" s="3">
        <v>23</v>
      </c>
      <c r="G967" s="3" t="s">
        <v>658</v>
      </c>
      <c r="H967" s="3">
        <v>0</v>
      </c>
    </row>
    <row r="968" spans="1:8" x14ac:dyDescent="0.3">
      <c r="A968" s="4">
        <v>38588</v>
      </c>
      <c r="B968" s="3">
        <v>2005</v>
      </c>
      <c r="C968" s="3">
        <v>8</v>
      </c>
      <c r="D968" s="3" t="s">
        <v>665</v>
      </c>
      <c r="E968" s="3" t="s">
        <v>616</v>
      </c>
      <c r="F968" s="3">
        <v>24</v>
      </c>
      <c r="G968" s="3" t="s">
        <v>652</v>
      </c>
      <c r="H968" s="3">
        <v>0</v>
      </c>
    </row>
    <row r="969" spans="1:8" x14ac:dyDescent="0.3">
      <c r="A969" s="4">
        <v>38589</v>
      </c>
      <c r="B969" s="3">
        <v>2005</v>
      </c>
      <c r="C969" s="3">
        <v>8</v>
      </c>
      <c r="D969" s="3" t="s">
        <v>665</v>
      </c>
      <c r="E969" s="3" t="s">
        <v>616</v>
      </c>
      <c r="F969" s="3">
        <v>25</v>
      </c>
      <c r="G969" s="3" t="s">
        <v>653</v>
      </c>
      <c r="H969" s="3">
        <v>0</v>
      </c>
    </row>
    <row r="970" spans="1:8" x14ac:dyDescent="0.3">
      <c r="A970" s="4">
        <v>38590</v>
      </c>
      <c r="B970" s="3">
        <v>2005</v>
      </c>
      <c r="C970" s="3">
        <v>8</v>
      </c>
      <c r="D970" s="3" t="s">
        <v>665</v>
      </c>
      <c r="E970" s="3" t="s">
        <v>616</v>
      </c>
      <c r="F970" s="3">
        <v>26</v>
      </c>
      <c r="G970" s="3" t="s">
        <v>654</v>
      </c>
      <c r="H970" s="3">
        <v>0</v>
      </c>
    </row>
    <row r="971" spans="1:8" x14ac:dyDescent="0.3">
      <c r="A971" s="4">
        <v>38591</v>
      </c>
      <c r="B971" s="3">
        <v>2005</v>
      </c>
      <c r="C971" s="3">
        <v>8</v>
      </c>
      <c r="D971" s="3" t="s">
        <v>665</v>
      </c>
      <c r="E971" s="3" t="s">
        <v>616</v>
      </c>
      <c r="F971" s="3">
        <v>27</v>
      </c>
      <c r="G971" s="3" t="s">
        <v>655</v>
      </c>
      <c r="H971" s="3">
        <v>1</v>
      </c>
    </row>
    <row r="972" spans="1:8" x14ac:dyDescent="0.3">
      <c r="A972" s="4">
        <v>38592</v>
      </c>
      <c r="B972" s="3">
        <v>2005</v>
      </c>
      <c r="C972" s="3">
        <v>8</v>
      </c>
      <c r="D972" s="3" t="s">
        <v>665</v>
      </c>
      <c r="E972" s="3" t="s">
        <v>616</v>
      </c>
      <c r="F972" s="3">
        <v>28</v>
      </c>
      <c r="G972" s="3" t="s">
        <v>656</v>
      </c>
      <c r="H972" s="3">
        <v>1</v>
      </c>
    </row>
    <row r="973" spans="1:8" x14ac:dyDescent="0.3">
      <c r="A973" s="4">
        <v>38593</v>
      </c>
      <c r="B973" s="3">
        <v>2005</v>
      </c>
      <c r="C973" s="3">
        <v>8</v>
      </c>
      <c r="D973" s="3" t="s">
        <v>665</v>
      </c>
      <c r="E973" s="3" t="s">
        <v>616</v>
      </c>
      <c r="F973" s="3">
        <v>29</v>
      </c>
      <c r="G973" s="3" t="s">
        <v>657</v>
      </c>
      <c r="H973" s="3">
        <v>0</v>
      </c>
    </row>
    <row r="974" spans="1:8" x14ac:dyDescent="0.3">
      <c r="A974" s="4">
        <v>38594</v>
      </c>
      <c r="B974" s="3">
        <v>2005</v>
      </c>
      <c r="C974" s="3">
        <v>8</v>
      </c>
      <c r="D974" s="3" t="s">
        <v>665</v>
      </c>
      <c r="E974" s="3" t="s">
        <v>616</v>
      </c>
      <c r="F974" s="3">
        <v>30</v>
      </c>
      <c r="G974" s="3" t="s">
        <v>658</v>
      </c>
      <c r="H974" s="3">
        <v>0</v>
      </c>
    </row>
    <row r="975" spans="1:8" x14ac:dyDescent="0.3">
      <c r="A975" s="4">
        <v>38595</v>
      </c>
      <c r="B975" s="3">
        <v>2005</v>
      </c>
      <c r="C975" s="3">
        <v>8</v>
      </c>
      <c r="D975" s="3" t="s">
        <v>665</v>
      </c>
      <c r="E975" s="3" t="s">
        <v>616</v>
      </c>
      <c r="F975" s="3">
        <v>31</v>
      </c>
      <c r="G975" s="3" t="s">
        <v>652</v>
      </c>
      <c r="H975" s="3">
        <v>0</v>
      </c>
    </row>
    <row r="976" spans="1:8" x14ac:dyDescent="0.3">
      <c r="A976" s="4">
        <v>38596</v>
      </c>
      <c r="B976" s="3">
        <v>2005</v>
      </c>
      <c r="C976" s="3">
        <v>9</v>
      </c>
      <c r="D976" s="3" t="s">
        <v>666</v>
      </c>
      <c r="E976" s="3" t="s">
        <v>616</v>
      </c>
      <c r="F976" s="3">
        <v>1</v>
      </c>
      <c r="G976" s="3" t="s">
        <v>653</v>
      </c>
      <c r="H976" s="3">
        <v>0</v>
      </c>
    </row>
    <row r="977" spans="1:8" x14ac:dyDescent="0.3">
      <c r="A977" s="4">
        <v>38597</v>
      </c>
      <c r="B977" s="3">
        <v>2005</v>
      </c>
      <c r="C977" s="3">
        <v>9</v>
      </c>
      <c r="D977" s="3" t="s">
        <v>666</v>
      </c>
      <c r="E977" s="3" t="s">
        <v>616</v>
      </c>
      <c r="F977" s="3">
        <v>2</v>
      </c>
      <c r="G977" s="3" t="s">
        <v>654</v>
      </c>
      <c r="H977" s="3">
        <v>0</v>
      </c>
    </row>
    <row r="978" spans="1:8" x14ac:dyDescent="0.3">
      <c r="A978" s="4">
        <v>38598</v>
      </c>
      <c r="B978" s="3">
        <v>2005</v>
      </c>
      <c r="C978" s="3">
        <v>9</v>
      </c>
      <c r="D978" s="3" t="s">
        <v>666</v>
      </c>
      <c r="E978" s="3" t="s">
        <v>616</v>
      </c>
      <c r="F978" s="3">
        <v>3</v>
      </c>
      <c r="G978" s="3" t="s">
        <v>655</v>
      </c>
      <c r="H978" s="3">
        <v>1</v>
      </c>
    </row>
    <row r="979" spans="1:8" x14ac:dyDescent="0.3">
      <c r="A979" s="4">
        <v>38599</v>
      </c>
      <c r="B979" s="3">
        <v>2005</v>
      </c>
      <c r="C979" s="3">
        <v>9</v>
      </c>
      <c r="D979" s="3" t="s">
        <v>666</v>
      </c>
      <c r="E979" s="3" t="s">
        <v>616</v>
      </c>
      <c r="F979" s="3">
        <v>4</v>
      </c>
      <c r="G979" s="3" t="s">
        <v>656</v>
      </c>
      <c r="H979" s="3">
        <v>1</v>
      </c>
    </row>
    <row r="980" spans="1:8" x14ac:dyDescent="0.3">
      <c r="A980" s="4">
        <v>38600</v>
      </c>
      <c r="B980" s="3">
        <v>2005</v>
      </c>
      <c r="C980" s="3">
        <v>9</v>
      </c>
      <c r="D980" s="3" t="s">
        <v>666</v>
      </c>
      <c r="E980" s="3" t="s">
        <v>616</v>
      </c>
      <c r="F980" s="3">
        <v>5</v>
      </c>
      <c r="G980" s="3" t="s">
        <v>657</v>
      </c>
      <c r="H980" s="3">
        <v>0</v>
      </c>
    </row>
    <row r="981" spans="1:8" x14ac:dyDescent="0.3">
      <c r="A981" s="4">
        <v>38601</v>
      </c>
      <c r="B981" s="3">
        <v>2005</v>
      </c>
      <c r="C981" s="3">
        <v>9</v>
      </c>
      <c r="D981" s="3" t="s">
        <v>666</v>
      </c>
      <c r="E981" s="3" t="s">
        <v>616</v>
      </c>
      <c r="F981" s="3">
        <v>6</v>
      </c>
      <c r="G981" s="3" t="s">
        <v>658</v>
      </c>
      <c r="H981" s="3">
        <v>0</v>
      </c>
    </row>
    <row r="982" spans="1:8" x14ac:dyDescent="0.3">
      <c r="A982" s="4">
        <v>38602</v>
      </c>
      <c r="B982" s="3">
        <v>2005</v>
      </c>
      <c r="C982" s="3">
        <v>9</v>
      </c>
      <c r="D982" s="3" t="s">
        <v>666</v>
      </c>
      <c r="E982" s="3" t="s">
        <v>616</v>
      </c>
      <c r="F982" s="3">
        <v>7</v>
      </c>
      <c r="G982" s="3" t="s">
        <v>652</v>
      </c>
      <c r="H982" s="3">
        <v>0</v>
      </c>
    </row>
    <row r="983" spans="1:8" x14ac:dyDescent="0.3">
      <c r="A983" s="4">
        <v>38603</v>
      </c>
      <c r="B983" s="3">
        <v>2005</v>
      </c>
      <c r="C983" s="3">
        <v>9</v>
      </c>
      <c r="D983" s="3" t="s">
        <v>666</v>
      </c>
      <c r="E983" s="3" t="s">
        <v>616</v>
      </c>
      <c r="F983" s="3">
        <v>8</v>
      </c>
      <c r="G983" s="3" t="s">
        <v>653</v>
      </c>
      <c r="H983" s="3">
        <v>0</v>
      </c>
    </row>
    <row r="984" spans="1:8" x14ac:dyDescent="0.3">
      <c r="A984" s="4">
        <v>38604</v>
      </c>
      <c r="B984" s="3">
        <v>2005</v>
      </c>
      <c r="C984" s="3">
        <v>9</v>
      </c>
      <c r="D984" s="3" t="s">
        <v>666</v>
      </c>
      <c r="E984" s="3" t="s">
        <v>616</v>
      </c>
      <c r="F984" s="3">
        <v>9</v>
      </c>
      <c r="G984" s="3" t="s">
        <v>654</v>
      </c>
      <c r="H984" s="3">
        <v>0</v>
      </c>
    </row>
    <row r="985" spans="1:8" x14ac:dyDescent="0.3">
      <c r="A985" s="4">
        <v>38605</v>
      </c>
      <c r="B985" s="3">
        <v>2005</v>
      </c>
      <c r="C985" s="3">
        <v>9</v>
      </c>
      <c r="D985" s="3" t="s">
        <v>666</v>
      </c>
      <c r="E985" s="3" t="s">
        <v>616</v>
      </c>
      <c r="F985" s="3">
        <v>10</v>
      </c>
      <c r="G985" s="3" t="s">
        <v>655</v>
      </c>
      <c r="H985" s="3">
        <v>1</v>
      </c>
    </row>
    <row r="986" spans="1:8" x14ac:dyDescent="0.3">
      <c r="A986" s="4">
        <v>38606</v>
      </c>
      <c r="B986" s="3">
        <v>2005</v>
      </c>
      <c r="C986" s="3">
        <v>9</v>
      </c>
      <c r="D986" s="3" t="s">
        <v>666</v>
      </c>
      <c r="E986" s="3" t="s">
        <v>616</v>
      </c>
      <c r="F986" s="3">
        <v>11</v>
      </c>
      <c r="G986" s="3" t="s">
        <v>656</v>
      </c>
      <c r="H986" s="3">
        <v>1</v>
      </c>
    </row>
    <row r="987" spans="1:8" x14ac:dyDescent="0.3">
      <c r="A987" s="4">
        <v>38607</v>
      </c>
      <c r="B987" s="3">
        <v>2005</v>
      </c>
      <c r="C987" s="3">
        <v>9</v>
      </c>
      <c r="D987" s="3" t="s">
        <v>666</v>
      </c>
      <c r="E987" s="3" t="s">
        <v>616</v>
      </c>
      <c r="F987" s="3">
        <v>12</v>
      </c>
      <c r="G987" s="3" t="s">
        <v>657</v>
      </c>
      <c r="H987" s="3">
        <v>0</v>
      </c>
    </row>
    <row r="988" spans="1:8" x14ac:dyDescent="0.3">
      <c r="A988" s="4">
        <v>38608</v>
      </c>
      <c r="B988" s="3">
        <v>2005</v>
      </c>
      <c r="C988" s="3">
        <v>9</v>
      </c>
      <c r="D988" s="3" t="s">
        <v>666</v>
      </c>
      <c r="E988" s="3" t="s">
        <v>616</v>
      </c>
      <c r="F988" s="3">
        <v>13</v>
      </c>
      <c r="G988" s="3" t="s">
        <v>658</v>
      </c>
      <c r="H988" s="3">
        <v>0</v>
      </c>
    </row>
    <row r="989" spans="1:8" x14ac:dyDescent="0.3">
      <c r="A989" s="4">
        <v>38609</v>
      </c>
      <c r="B989" s="3">
        <v>2005</v>
      </c>
      <c r="C989" s="3">
        <v>9</v>
      </c>
      <c r="D989" s="3" t="s">
        <v>666</v>
      </c>
      <c r="E989" s="3" t="s">
        <v>616</v>
      </c>
      <c r="F989" s="3">
        <v>14</v>
      </c>
      <c r="G989" s="3" t="s">
        <v>652</v>
      </c>
      <c r="H989" s="3">
        <v>0</v>
      </c>
    </row>
    <row r="990" spans="1:8" x14ac:dyDescent="0.3">
      <c r="A990" s="4">
        <v>38610</v>
      </c>
      <c r="B990" s="3">
        <v>2005</v>
      </c>
      <c r="C990" s="3">
        <v>9</v>
      </c>
      <c r="D990" s="3" t="s">
        <v>666</v>
      </c>
      <c r="E990" s="3" t="s">
        <v>616</v>
      </c>
      <c r="F990" s="3">
        <v>15</v>
      </c>
      <c r="G990" s="3" t="s">
        <v>653</v>
      </c>
      <c r="H990" s="3">
        <v>0</v>
      </c>
    </row>
    <row r="991" spans="1:8" x14ac:dyDescent="0.3">
      <c r="A991" s="4">
        <v>38611</v>
      </c>
      <c r="B991" s="3">
        <v>2005</v>
      </c>
      <c r="C991" s="3">
        <v>9</v>
      </c>
      <c r="D991" s="3" t="s">
        <v>666</v>
      </c>
      <c r="E991" s="3" t="s">
        <v>616</v>
      </c>
      <c r="F991" s="3">
        <v>16</v>
      </c>
      <c r="G991" s="3" t="s">
        <v>654</v>
      </c>
      <c r="H991" s="3">
        <v>0</v>
      </c>
    </row>
    <row r="992" spans="1:8" x14ac:dyDescent="0.3">
      <c r="A992" s="4">
        <v>38612</v>
      </c>
      <c r="B992" s="3">
        <v>2005</v>
      </c>
      <c r="C992" s="3">
        <v>9</v>
      </c>
      <c r="D992" s="3" t="s">
        <v>666</v>
      </c>
      <c r="E992" s="3" t="s">
        <v>616</v>
      </c>
      <c r="F992" s="3">
        <v>17</v>
      </c>
      <c r="G992" s="3" t="s">
        <v>655</v>
      </c>
      <c r="H992" s="3">
        <v>1</v>
      </c>
    </row>
    <row r="993" spans="1:8" x14ac:dyDescent="0.3">
      <c r="A993" s="4">
        <v>38613</v>
      </c>
      <c r="B993" s="3">
        <v>2005</v>
      </c>
      <c r="C993" s="3">
        <v>9</v>
      </c>
      <c r="D993" s="3" t="s">
        <v>666</v>
      </c>
      <c r="E993" s="3" t="s">
        <v>616</v>
      </c>
      <c r="F993" s="3">
        <v>18</v>
      </c>
      <c r="G993" s="3" t="s">
        <v>656</v>
      </c>
      <c r="H993" s="3">
        <v>1</v>
      </c>
    </row>
    <row r="994" spans="1:8" x14ac:dyDescent="0.3">
      <c r="A994" s="4">
        <v>38614</v>
      </c>
      <c r="B994" s="3">
        <v>2005</v>
      </c>
      <c r="C994" s="3">
        <v>9</v>
      </c>
      <c r="D994" s="3" t="s">
        <v>666</v>
      </c>
      <c r="E994" s="3" t="s">
        <v>616</v>
      </c>
      <c r="F994" s="3">
        <v>19</v>
      </c>
      <c r="G994" s="3" t="s">
        <v>657</v>
      </c>
      <c r="H994" s="3">
        <v>0</v>
      </c>
    </row>
    <row r="995" spans="1:8" x14ac:dyDescent="0.3">
      <c r="A995" s="4">
        <v>38615</v>
      </c>
      <c r="B995" s="3">
        <v>2005</v>
      </c>
      <c r="C995" s="3">
        <v>9</v>
      </c>
      <c r="D995" s="3" t="s">
        <v>666</v>
      </c>
      <c r="E995" s="3" t="s">
        <v>616</v>
      </c>
      <c r="F995" s="3">
        <v>20</v>
      </c>
      <c r="G995" s="3" t="s">
        <v>658</v>
      </c>
      <c r="H995" s="3">
        <v>0</v>
      </c>
    </row>
    <row r="996" spans="1:8" x14ac:dyDescent="0.3">
      <c r="A996" s="4">
        <v>38616</v>
      </c>
      <c r="B996" s="3">
        <v>2005</v>
      </c>
      <c r="C996" s="3">
        <v>9</v>
      </c>
      <c r="D996" s="3" t="s">
        <v>666</v>
      </c>
      <c r="E996" s="3" t="s">
        <v>616</v>
      </c>
      <c r="F996" s="3">
        <v>21</v>
      </c>
      <c r="G996" s="3" t="s">
        <v>652</v>
      </c>
      <c r="H996" s="3">
        <v>0</v>
      </c>
    </row>
    <row r="997" spans="1:8" x14ac:dyDescent="0.3">
      <c r="A997" s="4">
        <v>38617</v>
      </c>
      <c r="B997" s="3">
        <v>2005</v>
      </c>
      <c r="C997" s="3">
        <v>9</v>
      </c>
      <c r="D997" s="3" t="s">
        <v>666</v>
      </c>
      <c r="E997" s="3" t="s">
        <v>616</v>
      </c>
      <c r="F997" s="3">
        <v>22</v>
      </c>
      <c r="G997" s="3" t="s">
        <v>653</v>
      </c>
      <c r="H997" s="3">
        <v>0</v>
      </c>
    </row>
    <row r="998" spans="1:8" x14ac:dyDescent="0.3">
      <c r="A998" s="4">
        <v>38618</v>
      </c>
      <c r="B998" s="3">
        <v>2005</v>
      </c>
      <c r="C998" s="3">
        <v>9</v>
      </c>
      <c r="D998" s="3" t="s">
        <v>666</v>
      </c>
      <c r="E998" s="3" t="s">
        <v>616</v>
      </c>
      <c r="F998" s="3">
        <v>23</v>
      </c>
      <c r="G998" s="3" t="s">
        <v>654</v>
      </c>
      <c r="H998" s="3">
        <v>0</v>
      </c>
    </row>
    <row r="999" spans="1:8" x14ac:dyDescent="0.3">
      <c r="A999" s="4">
        <v>38619</v>
      </c>
      <c r="B999" s="3">
        <v>2005</v>
      </c>
      <c r="C999" s="3">
        <v>9</v>
      </c>
      <c r="D999" s="3" t="s">
        <v>666</v>
      </c>
      <c r="E999" s="3" t="s">
        <v>616</v>
      </c>
      <c r="F999" s="3">
        <v>24</v>
      </c>
      <c r="G999" s="3" t="s">
        <v>655</v>
      </c>
      <c r="H999" s="3">
        <v>1</v>
      </c>
    </row>
    <row r="1000" spans="1:8" x14ac:dyDescent="0.3">
      <c r="A1000" s="4">
        <v>38620</v>
      </c>
      <c r="B1000" s="3">
        <v>2005</v>
      </c>
      <c r="C1000" s="3">
        <v>9</v>
      </c>
      <c r="D1000" s="3" t="s">
        <v>666</v>
      </c>
      <c r="E1000" s="3" t="s">
        <v>616</v>
      </c>
      <c r="F1000" s="3">
        <v>25</v>
      </c>
      <c r="G1000" s="3" t="s">
        <v>656</v>
      </c>
      <c r="H1000" s="3">
        <v>1</v>
      </c>
    </row>
    <row r="1001" spans="1:8" x14ac:dyDescent="0.3">
      <c r="A1001" s="4">
        <v>38621</v>
      </c>
      <c r="B1001" s="3">
        <v>2005</v>
      </c>
      <c r="C1001" s="3">
        <v>9</v>
      </c>
      <c r="D1001" s="3" t="s">
        <v>666</v>
      </c>
      <c r="E1001" s="3" t="s">
        <v>616</v>
      </c>
      <c r="F1001" s="3">
        <v>26</v>
      </c>
      <c r="G1001" s="3" t="s">
        <v>657</v>
      </c>
      <c r="H1001" s="3">
        <v>0</v>
      </c>
    </row>
    <row r="1002" spans="1:8" x14ac:dyDescent="0.3">
      <c r="A1002" s="4">
        <v>38622</v>
      </c>
      <c r="B1002" s="3">
        <v>2005</v>
      </c>
      <c r="C1002" s="3">
        <v>9</v>
      </c>
      <c r="D1002" s="3" t="s">
        <v>666</v>
      </c>
      <c r="E1002" s="3" t="s">
        <v>616</v>
      </c>
      <c r="F1002" s="3">
        <v>27</v>
      </c>
      <c r="G1002" s="3" t="s">
        <v>658</v>
      </c>
      <c r="H1002" s="3">
        <v>0</v>
      </c>
    </row>
    <row r="1003" spans="1:8" x14ac:dyDescent="0.3">
      <c r="A1003" s="4">
        <v>38623</v>
      </c>
      <c r="B1003" s="3">
        <v>2005</v>
      </c>
      <c r="C1003" s="3">
        <v>9</v>
      </c>
      <c r="D1003" s="3" t="s">
        <v>666</v>
      </c>
      <c r="E1003" s="3" t="s">
        <v>616</v>
      </c>
      <c r="F1003" s="3">
        <v>28</v>
      </c>
      <c r="G1003" s="3" t="s">
        <v>652</v>
      </c>
      <c r="H1003" s="3">
        <v>0</v>
      </c>
    </row>
    <row r="1004" spans="1:8" x14ac:dyDescent="0.3">
      <c r="A1004" s="4">
        <v>38624</v>
      </c>
      <c r="B1004" s="3">
        <v>2005</v>
      </c>
      <c r="C1004" s="3">
        <v>9</v>
      </c>
      <c r="D1004" s="3" t="s">
        <v>666</v>
      </c>
      <c r="E1004" s="3" t="s">
        <v>616</v>
      </c>
      <c r="F1004" s="3">
        <v>29</v>
      </c>
      <c r="G1004" s="3" t="s">
        <v>653</v>
      </c>
      <c r="H1004" s="3">
        <v>0</v>
      </c>
    </row>
    <row r="1005" spans="1:8" x14ac:dyDescent="0.3">
      <c r="A1005" s="4">
        <v>38625</v>
      </c>
      <c r="B1005" s="3">
        <v>2005</v>
      </c>
      <c r="C1005" s="3">
        <v>9</v>
      </c>
      <c r="D1005" s="3" t="s">
        <v>666</v>
      </c>
      <c r="E1005" s="3" t="s">
        <v>616</v>
      </c>
      <c r="F1005" s="3">
        <v>30</v>
      </c>
      <c r="G1005" s="3" t="s">
        <v>654</v>
      </c>
      <c r="H1005" s="3">
        <v>0</v>
      </c>
    </row>
    <row r="1006" spans="1:8" x14ac:dyDescent="0.3">
      <c r="A1006" s="4">
        <v>38626</v>
      </c>
      <c r="B1006" s="3">
        <v>2005</v>
      </c>
      <c r="C1006" s="3">
        <v>10</v>
      </c>
      <c r="D1006" s="3" t="s">
        <v>667</v>
      </c>
      <c r="E1006" s="3" t="s">
        <v>617</v>
      </c>
      <c r="F1006" s="3">
        <v>1</v>
      </c>
      <c r="G1006" s="3" t="s">
        <v>655</v>
      </c>
      <c r="H1006" s="3">
        <v>1</v>
      </c>
    </row>
    <row r="1007" spans="1:8" x14ac:dyDescent="0.3">
      <c r="A1007" s="4">
        <v>38627</v>
      </c>
      <c r="B1007" s="3">
        <v>2005</v>
      </c>
      <c r="C1007" s="3">
        <v>10</v>
      </c>
      <c r="D1007" s="3" t="s">
        <v>667</v>
      </c>
      <c r="E1007" s="3" t="s">
        <v>617</v>
      </c>
      <c r="F1007" s="3">
        <v>2</v>
      </c>
      <c r="G1007" s="3" t="s">
        <v>656</v>
      </c>
      <c r="H1007" s="3">
        <v>1</v>
      </c>
    </row>
    <row r="1008" spans="1:8" x14ac:dyDescent="0.3">
      <c r="A1008" s="4">
        <v>38628</v>
      </c>
      <c r="B1008" s="3">
        <v>2005</v>
      </c>
      <c r="C1008" s="3">
        <v>10</v>
      </c>
      <c r="D1008" s="3" t="s">
        <v>667</v>
      </c>
      <c r="E1008" s="3" t="s">
        <v>617</v>
      </c>
      <c r="F1008" s="3">
        <v>3</v>
      </c>
      <c r="G1008" s="3" t="s">
        <v>657</v>
      </c>
      <c r="H1008" s="3">
        <v>0</v>
      </c>
    </row>
    <row r="1009" spans="1:8" x14ac:dyDescent="0.3">
      <c r="A1009" s="4">
        <v>38629</v>
      </c>
      <c r="B1009" s="3">
        <v>2005</v>
      </c>
      <c r="C1009" s="3">
        <v>10</v>
      </c>
      <c r="D1009" s="3" t="s">
        <v>667</v>
      </c>
      <c r="E1009" s="3" t="s">
        <v>617</v>
      </c>
      <c r="F1009" s="3">
        <v>4</v>
      </c>
      <c r="G1009" s="3" t="s">
        <v>658</v>
      </c>
      <c r="H1009" s="3">
        <v>0</v>
      </c>
    </row>
    <row r="1010" spans="1:8" x14ac:dyDescent="0.3">
      <c r="A1010" s="4">
        <v>38630</v>
      </c>
      <c r="B1010" s="3">
        <v>2005</v>
      </c>
      <c r="C1010" s="3">
        <v>10</v>
      </c>
      <c r="D1010" s="3" t="s">
        <v>667</v>
      </c>
      <c r="E1010" s="3" t="s">
        <v>617</v>
      </c>
      <c r="F1010" s="3">
        <v>5</v>
      </c>
      <c r="G1010" s="3" t="s">
        <v>652</v>
      </c>
      <c r="H1010" s="3">
        <v>0</v>
      </c>
    </row>
    <row r="1011" spans="1:8" x14ac:dyDescent="0.3">
      <c r="A1011" s="4">
        <v>38631</v>
      </c>
      <c r="B1011" s="3">
        <v>2005</v>
      </c>
      <c r="C1011" s="3">
        <v>10</v>
      </c>
      <c r="D1011" s="3" t="s">
        <v>667</v>
      </c>
      <c r="E1011" s="3" t="s">
        <v>617</v>
      </c>
      <c r="F1011" s="3">
        <v>6</v>
      </c>
      <c r="G1011" s="3" t="s">
        <v>653</v>
      </c>
      <c r="H1011" s="3">
        <v>0</v>
      </c>
    </row>
    <row r="1012" spans="1:8" x14ac:dyDescent="0.3">
      <c r="A1012" s="4">
        <v>38632</v>
      </c>
      <c r="B1012" s="3">
        <v>2005</v>
      </c>
      <c r="C1012" s="3">
        <v>10</v>
      </c>
      <c r="D1012" s="3" t="s">
        <v>667</v>
      </c>
      <c r="E1012" s="3" t="s">
        <v>617</v>
      </c>
      <c r="F1012" s="3">
        <v>7</v>
      </c>
      <c r="G1012" s="3" t="s">
        <v>654</v>
      </c>
      <c r="H1012" s="3">
        <v>0</v>
      </c>
    </row>
    <row r="1013" spans="1:8" x14ac:dyDescent="0.3">
      <c r="A1013" s="4">
        <v>38633</v>
      </c>
      <c r="B1013" s="3">
        <v>2005</v>
      </c>
      <c r="C1013" s="3">
        <v>10</v>
      </c>
      <c r="D1013" s="3" t="s">
        <v>667</v>
      </c>
      <c r="E1013" s="3" t="s">
        <v>617</v>
      </c>
      <c r="F1013" s="3">
        <v>8</v>
      </c>
      <c r="G1013" s="3" t="s">
        <v>655</v>
      </c>
      <c r="H1013" s="3">
        <v>1</v>
      </c>
    </row>
    <row r="1014" spans="1:8" x14ac:dyDescent="0.3">
      <c r="A1014" s="4">
        <v>38634</v>
      </c>
      <c r="B1014" s="3">
        <v>2005</v>
      </c>
      <c r="C1014" s="3">
        <v>10</v>
      </c>
      <c r="D1014" s="3" t="s">
        <v>667</v>
      </c>
      <c r="E1014" s="3" t="s">
        <v>617</v>
      </c>
      <c r="F1014" s="3">
        <v>9</v>
      </c>
      <c r="G1014" s="3" t="s">
        <v>656</v>
      </c>
      <c r="H1014" s="3">
        <v>1</v>
      </c>
    </row>
    <row r="1015" spans="1:8" x14ac:dyDescent="0.3">
      <c r="A1015" s="4">
        <v>38635</v>
      </c>
      <c r="B1015" s="3">
        <v>2005</v>
      </c>
      <c r="C1015" s="3">
        <v>10</v>
      </c>
      <c r="D1015" s="3" t="s">
        <v>667</v>
      </c>
      <c r="E1015" s="3" t="s">
        <v>617</v>
      </c>
      <c r="F1015" s="3">
        <v>10</v>
      </c>
      <c r="G1015" s="3" t="s">
        <v>657</v>
      </c>
      <c r="H1015" s="3">
        <v>0</v>
      </c>
    </row>
    <row r="1016" spans="1:8" x14ac:dyDescent="0.3">
      <c r="A1016" s="4">
        <v>38636</v>
      </c>
      <c r="B1016" s="3">
        <v>2005</v>
      </c>
      <c r="C1016" s="3">
        <v>10</v>
      </c>
      <c r="D1016" s="3" t="s">
        <v>667</v>
      </c>
      <c r="E1016" s="3" t="s">
        <v>617</v>
      </c>
      <c r="F1016" s="3">
        <v>11</v>
      </c>
      <c r="G1016" s="3" t="s">
        <v>658</v>
      </c>
      <c r="H1016" s="3">
        <v>0</v>
      </c>
    </row>
    <row r="1017" spans="1:8" x14ac:dyDescent="0.3">
      <c r="A1017" s="4">
        <v>38637</v>
      </c>
      <c r="B1017" s="3">
        <v>2005</v>
      </c>
      <c r="C1017" s="3">
        <v>10</v>
      </c>
      <c r="D1017" s="3" t="s">
        <v>667</v>
      </c>
      <c r="E1017" s="3" t="s">
        <v>617</v>
      </c>
      <c r="F1017" s="3">
        <v>12</v>
      </c>
      <c r="G1017" s="3" t="s">
        <v>652</v>
      </c>
      <c r="H1017" s="3">
        <v>0</v>
      </c>
    </row>
    <row r="1018" spans="1:8" x14ac:dyDescent="0.3">
      <c r="A1018" s="4">
        <v>38638</v>
      </c>
      <c r="B1018" s="3">
        <v>2005</v>
      </c>
      <c r="C1018" s="3">
        <v>10</v>
      </c>
      <c r="D1018" s="3" t="s">
        <v>667</v>
      </c>
      <c r="E1018" s="3" t="s">
        <v>617</v>
      </c>
      <c r="F1018" s="3">
        <v>13</v>
      </c>
      <c r="G1018" s="3" t="s">
        <v>653</v>
      </c>
      <c r="H1018" s="3">
        <v>0</v>
      </c>
    </row>
    <row r="1019" spans="1:8" x14ac:dyDescent="0.3">
      <c r="A1019" s="4">
        <v>38639</v>
      </c>
      <c r="B1019" s="3">
        <v>2005</v>
      </c>
      <c r="C1019" s="3">
        <v>10</v>
      </c>
      <c r="D1019" s="3" t="s">
        <v>667</v>
      </c>
      <c r="E1019" s="3" t="s">
        <v>617</v>
      </c>
      <c r="F1019" s="3">
        <v>14</v>
      </c>
      <c r="G1019" s="3" t="s">
        <v>654</v>
      </c>
      <c r="H1019" s="3">
        <v>0</v>
      </c>
    </row>
    <row r="1020" spans="1:8" x14ac:dyDescent="0.3">
      <c r="A1020" s="4">
        <v>38640</v>
      </c>
      <c r="B1020" s="3">
        <v>2005</v>
      </c>
      <c r="C1020" s="3">
        <v>10</v>
      </c>
      <c r="D1020" s="3" t="s">
        <v>667</v>
      </c>
      <c r="E1020" s="3" t="s">
        <v>617</v>
      </c>
      <c r="F1020" s="3">
        <v>15</v>
      </c>
      <c r="G1020" s="3" t="s">
        <v>655</v>
      </c>
      <c r="H1020" s="3">
        <v>1</v>
      </c>
    </row>
    <row r="1021" spans="1:8" x14ac:dyDescent="0.3">
      <c r="A1021" s="4">
        <v>38641</v>
      </c>
      <c r="B1021" s="3">
        <v>2005</v>
      </c>
      <c r="C1021" s="3">
        <v>10</v>
      </c>
      <c r="D1021" s="3" t="s">
        <v>667</v>
      </c>
      <c r="E1021" s="3" t="s">
        <v>617</v>
      </c>
      <c r="F1021" s="3">
        <v>16</v>
      </c>
      <c r="G1021" s="3" t="s">
        <v>656</v>
      </c>
      <c r="H1021" s="3">
        <v>1</v>
      </c>
    </row>
    <row r="1022" spans="1:8" x14ac:dyDescent="0.3">
      <c r="A1022" s="4">
        <v>38642</v>
      </c>
      <c r="B1022" s="3">
        <v>2005</v>
      </c>
      <c r="C1022" s="3">
        <v>10</v>
      </c>
      <c r="D1022" s="3" t="s">
        <v>667</v>
      </c>
      <c r="E1022" s="3" t="s">
        <v>617</v>
      </c>
      <c r="F1022" s="3">
        <v>17</v>
      </c>
      <c r="G1022" s="3" t="s">
        <v>657</v>
      </c>
      <c r="H1022" s="3">
        <v>0</v>
      </c>
    </row>
    <row r="1023" spans="1:8" x14ac:dyDescent="0.3">
      <c r="A1023" s="4">
        <v>38643</v>
      </c>
      <c r="B1023" s="3">
        <v>2005</v>
      </c>
      <c r="C1023" s="3">
        <v>10</v>
      </c>
      <c r="D1023" s="3" t="s">
        <v>667</v>
      </c>
      <c r="E1023" s="3" t="s">
        <v>617</v>
      </c>
      <c r="F1023" s="3">
        <v>18</v>
      </c>
      <c r="G1023" s="3" t="s">
        <v>658</v>
      </c>
      <c r="H1023" s="3">
        <v>0</v>
      </c>
    </row>
    <row r="1024" spans="1:8" x14ac:dyDescent="0.3">
      <c r="A1024" s="4">
        <v>38644</v>
      </c>
      <c r="B1024" s="3">
        <v>2005</v>
      </c>
      <c r="C1024" s="3">
        <v>10</v>
      </c>
      <c r="D1024" s="3" t="s">
        <v>667</v>
      </c>
      <c r="E1024" s="3" t="s">
        <v>617</v>
      </c>
      <c r="F1024" s="3">
        <v>19</v>
      </c>
      <c r="G1024" s="3" t="s">
        <v>652</v>
      </c>
      <c r="H1024" s="3">
        <v>0</v>
      </c>
    </row>
    <row r="1025" spans="1:8" x14ac:dyDescent="0.3">
      <c r="A1025" s="4">
        <v>38645</v>
      </c>
      <c r="B1025" s="3">
        <v>2005</v>
      </c>
      <c r="C1025" s="3">
        <v>10</v>
      </c>
      <c r="D1025" s="3" t="s">
        <v>667</v>
      </c>
      <c r="E1025" s="3" t="s">
        <v>617</v>
      </c>
      <c r="F1025" s="3">
        <v>20</v>
      </c>
      <c r="G1025" s="3" t="s">
        <v>653</v>
      </c>
      <c r="H1025" s="3">
        <v>0</v>
      </c>
    </row>
    <row r="1026" spans="1:8" x14ac:dyDescent="0.3">
      <c r="A1026" s="4">
        <v>38646</v>
      </c>
      <c r="B1026" s="3">
        <v>2005</v>
      </c>
      <c r="C1026" s="3">
        <v>10</v>
      </c>
      <c r="D1026" s="3" t="s">
        <v>667</v>
      </c>
      <c r="E1026" s="3" t="s">
        <v>617</v>
      </c>
      <c r="F1026" s="3">
        <v>21</v>
      </c>
      <c r="G1026" s="3" t="s">
        <v>654</v>
      </c>
      <c r="H1026" s="3">
        <v>0</v>
      </c>
    </row>
    <row r="1027" spans="1:8" x14ac:dyDescent="0.3">
      <c r="A1027" s="4">
        <v>38647</v>
      </c>
      <c r="B1027" s="3">
        <v>2005</v>
      </c>
      <c r="C1027" s="3">
        <v>10</v>
      </c>
      <c r="D1027" s="3" t="s">
        <v>667</v>
      </c>
      <c r="E1027" s="3" t="s">
        <v>617</v>
      </c>
      <c r="F1027" s="3">
        <v>22</v>
      </c>
      <c r="G1027" s="3" t="s">
        <v>655</v>
      </c>
      <c r="H1027" s="3">
        <v>1</v>
      </c>
    </row>
    <row r="1028" spans="1:8" x14ac:dyDescent="0.3">
      <c r="A1028" s="4">
        <v>38648</v>
      </c>
      <c r="B1028" s="3">
        <v>2005</v>
      </c>
      <c r="C1028" s="3">
        <v>10</v>
      </c>
      <c r="D1028" s="3" t="s">
        <v>667</v>
      </c>
      <c r="E1028" s="3" t="s">
        <v>617</v>
      </c>
      <c r="F1028" s="3">
        <v>23</v>
      </c>
      <c r="G1028" s="3" t="s">
        <v>656</v>
      </c>
      <c r="H1028" s="3">
        <v>1</v>
      </c>
    </row>
    <row r="1029" spans="1:8" x14ac:dyDescent="0.3">
      <c r="A1029" s="4">
        <v>38649</v>
      </c>
      <c r="B1029" s="3">
        <v>2005</v>
      </c>
      <c r="C1029" s="3">
        <v>10</v>
      </c>
      <c r="D1029" s="3" t="s">
        <v>667</v>
      </c>
      <c r="E1029" s="3" t="s">
        <v>617</v>
      </c>
      <c r="F1029" s="3">
        <v>24</v>
      </c>
      <c r="G1029" s="3" t="s">
        <v>657</v>
      </c>
      <c r="H1029" s="3">
        <v>0</v>
      </c>
    </row>
    <row r="1030" spans="1:8" x14ac:dyDescent="0.3">
      <c r="A1030" s="4">
        <v>38650</v>
      </c>
      <c r="B1030" s="3">
        <v>2005</v>
      </c>
      <c r="C1030" s="3">
        <v>10</v>
      </c>
      <c r="D1030" s="3" t="s">
        <v>667</v>
      </c>
      <c r="E1030" s="3" t="s">
        <v>617</v>
      </c>
      <c r="F1030" s="3">
        <v>25</v>
      </c>
      <c r="G1030" s="3" t="s">
        <v>658</v>
      </c>
      <c r="H1030" s="3">
        <v>0</v>
      </c>
    </row>
    <row r="1031" spans="1:8" x14ac:dyDescent="0.3">
      <c r="A1031" s="4">
        <v>38651</v>
      </c>
      <c r="B1031" s="3">
        <v>2005</v>
      </c>
      <c r="C1031" s="3">
        <v>10</v>
      </c>
      <c r="D1031" s="3" t="s">
        <v>667</v>
      </c>
      <c r="E1031" s="3" t="s">
        <v>617</v>
      </c>
      <c r="F1031" s="3">
        <v>26</v>
      </c>
      <c r="G1031" s="3" t="s">
        <v>652</v>
      </c>
      <c r="H1031" s="3">
        <v>0</v>
      </c>
    </row>
    <row r="1032" spans="1:8" x14ac:dyDescent="0.3">
      <c r="A1032" s="4">
        <v>38652</v>
      </c>
      <c r="B1032" s="3">
        <v>2005</v>
      </c>
      <c r="C1032" s="3">
        <v>10</v>
      </c>
      <c r="D1032" s="3" t="s">
        <v>667</v>
      </c>
      <c r="E1032" s="3" t="s">
        <v>617</v>
      </c>
      <c r="F1032" s="3">
        <v>27</v>
      </c>
      <c r="G1032" s="3" t="s">
        <v>653</v>
      </c>
      <c r="H1032" s="3">
        <v>0</v>
      </c>
    </row>
    <row r="1033" spans="1:8" x14ac:dyDescent="0.3">
      <c r="A1033" s="4">
        <v>38653</v>
      </c>
      <c r="B1033" s="3">
        <v>2005</v>
      </c>
      <c r="C1033" s="3">
        <v>10</v>
      </c>
      <c r="D1033" s="3" t="s">
        <v>667</v>
      </c>
      <c r="E1033" s="3" t="s">
        <v>617</v>
      </c>
      <c r="F1033" s="3">
        <v>28</v>
      </c>
      <c r="G1033" s="3" t="s">
        <v>654</v>
      </c>
      <c r="H1033" s="3">
        <v>0</v>
      </c>
    </row>
    <row r="1034" spans="1:8" x14ac:dyDescent="0.3">
      <c r="A1034" s="4">
        <v>38654</v>
      </c>
      <c r="B1034" s="3">
        <v>2005</v>
      </c>
      <c r="C1034" s="3">
        <v>10</v>
      </c>
      <c r="D1034" s="3" t="s">
        <v>667</v>
      </c>
      <c r="E1034" s="3" t="s">
        <v>617</v>
      </c>
      <c r="F1034" s="3">
        <v>29</v>
      </c>
      <c r="G1034" s="3" t="s">
        <v>655</v>
      </c>
      <c r="H1034" s="3">
        <v>1</v>
      </c>
    </row>
    <row r="1035" spans="1:8" x14ac:dyDescent="0.3">
      <c r="A1035" s="4">
        <v>38655</v>
      </c>
      <c r="B1035" s="3">
        <v>2005</v>
      </c>
      <c r="C1035" s="3">
        <v>10</v>
      </c>
      <c r="D1035" s="3" t="s">
        <v>667</v>
      </c>
      <c r="E1035" s="3" t="s">
        <v>617</v>
      </c>
      <c r="F1035" s="3">
        <v>30</v>
      </c>
      <c r="G1035" s="3" t="s">
        <v>656</v>
      </c>
      <c r="H1035" s="3">
        <v>1</v>
      </c>
    </row>
    <row r="1036" spans="1:8" x14ac:dyDescent="0.3">
      <c r="A1036" s="4">
        <v>38656</v>
      </c>
      <c r="B1036" s="3">
        <v>2005</v>
      </c>
      <c r="C1036" s="3">
        <v>10</v>
      </c>
      <c r="D1036" s="3" t="s">
        <v>667</v>
      </c>
      <c r="E1036" s="3" t="s">
        <v>617</v>
      </c>
      <c r="F1036" s="3">
        <v>31</v>
      </c>
      <c r="G1036" s="3" t="s">
        <v>657</v>
      </c>
      <c r="H1036" s="3">
        <v>0</v>
      </c>
    </row>
    <row r="1037" spans="1:8" x14ac:dyDescent="0.3">
      <c r="A1037" s="4">
        <v>38657</v>
      </c>
      <c r="B1037" s="3">
        <v>2005</v>
      </c>
      <c r="C1037" s="3">
        <v>11</v>
      </c>
      <c r="D1037" s="3" t="s">
        <v>668</v>
      </c>
      <c r="E1037" s="3" t="s">
        <v>617</v>
      </c>
      <c r="F1037" s="3">
        <v>1</v>
      </c>
      <c r="G1037" s="3" t="s">
        <v>658</v>
      </c>
      <c r="H1037" s="3">
        <v>0</v>
      </c>
    </row>
    <row r="1038" spans="1:8" x14ac:dyDescent="0.3">
      <c r="A1038" s="4">
        <v>38658</v>
      </c>
      <c r="B1038" s="3">
        <v>2005</v>
      </c>
      <c r="C1038" s="3">
        <v>11</v>
      </c>
      <c r="D1038" s="3" t="s">
        <v>668</v>
      </c>
      <c r="E1038" s="3" t="s">
        <v>617</v>
      </c>
      <c r="F1038" s="3">
        <v>2</v>
      </c>
      <c r="G1038" s="3" t="s">
        <v>652</v>
      </c>
      <c r="H1038" s="3">
        <v>0</v>
      </c>
    </row>
    <row r="1039" spans="1:8" x14ac:dyDescent="0.3">
      <c r="A1039" s="4">
        <v>38659</v>
      </c>
      <c r="B1039" s="3">
        <v>2005</v>
      </c>
      <c r="C1039" s="3">
        <v>11</v>
      </c>
      <c r="D1039" s="3" t="s">
        <v>668</v>
      </c>
      <c r="E1039" s="3" t="s">
        <v>617</v>
      </c>
      <c r="F1039" s="3">
        <v>3</v>
      </c>
      <c r="G1039" s="3" t="s">
        <v>653</v>
      </c>
      <c r="H1039" s="3">
        <v>0</v>
      </c>
    </row>
    <row r="1040" spans="1:8" x14ac:dyDescent="0.3">
      <c r="A1040" s="4">
        <v>38660</v>
      </c>
      <c r="B1040" s="3">
        <v>2005</v>
      </c>
      <c r="C1040" s="3">
        <v>11</v>
      </c>
      <c r="D1040" s="3" t="s">
        <v>668</v>
      </c>
      <c r="E1040" s="3" t="s">
        <v>617</v>
      </c>
      <c r="F1040" s="3">
        <v>4</v>
      </c>
      <c r="G1040" s="3" t="s">
        <v>654</v>
      </c>
      <c r="H1040" s="3">
        <v>0</v>
      </c>
    </row>
    <row r="1041" spans="1:8" x14ac:dyDescent="0.3">
      <c r="A1041" s="4">
        <v>38661</v>
      </c>
      <c r="B1041" s="3">
        <v>2005</v>
      </c>
      <c r="C1041" s="3">
        <v>11</v>
      </c>
      <c r="D1041" s="3" t="s">
        <v>668</v>
      </c>
      <c r="E1041" s="3" t="s">
        <v>617</v>
      </c>
      <c r="F1041" s="3">
        <v>5</v>
      </c>
      <c r="G1041" s="3" t="s">
        <v>655</v>
      </c>
      <c r="H1041" s="3">
        <v>1</v>
      </c>
    </row>
    <row r="1042" spans="1:8" x14ac:dyDescent="0.3">
      <c r="A1042" s="4">
        <v>38662</v>
      </c>
      <c r="B1042" s="3">
        <v>2005</v>
      </c>
      <c r="C1042" s="3">
        <v>11</v>
      </c>
      <c r="D1042" s="3" t="s">
        <v>668</v>
      </c>
      <c r="E1042" s="3" t="s">
        <v>617</v>
      </c>
      <c r="F1042" s="3">
        <v>6</v>
      </c>
      <c r="G1042" s="3" t="s">
        <v>656</v>
      </c>
      <c r="H1042" s="3">
        <v>1</v>
      </c>
    </row>
    <row r="1043" spans="1:8" x14ac:dyDescent="0.3">
      <c r="A1043" s="4">
        <v>38663</v>
      </c>
      <c r="B1043" s="3">
        <v>2005</v>
      </c>
      <c r="C1043" s="3">
        <v>11</v>
      </c>
      <c r="D1043" s="3" t="s">
        <v>668</v>
      </c>
      <c r="E1043" s="3" t="s">
        <v>617</v>
      </c>
      <c r="F1043" s="3">
        <v>7</v>
      </c>
      <c r="G1043" s="3" t="s">
        <v>657</v>
      </c>
      <c r="H1043" s="3">
        <v>0</v>
      </c>
    </row>
    <row r="1044" spans="1:8" x14ac:dyDescent="0.3">
      <c r="A1044" s="4">
        <v>38664</v>
      </c>
      <c r="B1044" s="3">
        <v>2005</v>
      </c>
      <c r="C1044" s="3">
        <v>11</v>
      </c>
      <c r="D1044" s="3" t="s">
        <v>668</v>
      </c>
      <c r="E1044" s="3" t="s">
        <v>617</v>
      </c>
      <c r="F1044" s="3">
        <v>8</v>
      </c>
      <c r="G1044" s="3" t="s">
        <v>658</v>
      </c>
      <c r="H1044" s="3">
        <v>0</v>
      </c>
    </row>
    <row r="1045" spans="1:8" x14ac:dyDescent="0.3">
      <c r="A1045" s="4">
        <v>38665</v>
      </c>
      <c r="B1045" s="3">
        <v>2005</v>
      </c>
      <c r="C1045" s="3">
        <v>11</v>
      </c>
      <c r="D1045" s="3" t="s">
        <v>668</v>
      </c>
      <c r="E1045" s="3" t="s">
        <v>617</v>
      </c>
      <c r="F1045" s="3">
        <v>9</v>
      </c>
      <c r="G1045" s="3" t="s">
        <v>652</v>
      </c>
      <c r="H1045" s="3">
        <v>0</v>
      </c>
    </row>
    <row r="1046" spans="1:8" x14ac:dyDescent="0.3">
      <c r="A1046" s="4">
        <v>38666</v>
      </c>
      <c r="B1046" s="3">
        <v>2005</v>
      </c>
      <c r="C1046" s="3">
        <v>11</v>
      </c>
      <c r="D1046" s="3" t="s">
        <v>668</v>
      </c>
      <c r="E1046" s="3" t="s">
        <v>617</v>
      </c>
      <c r="F1046" s="3">
        <v>10</v>
      </c>
      <c r="G1046" s="3" t="s">
        <v>653</v>
      </c>
      <c r="H1046" s="3">
        <v>0</v>
      </c>
    </row>
    <row r="1047" spans="1:8" x14ac:dyDescent="0.3">
      <c r="A1047" s="4">
        <v>38667</v>
      </c>
      <c r="B1047" s="3">
        <v>2005</v>
      </c>
      <c r="C1047" s="3">
        <v>11</v>
      </c>
      <c r="D1047" s="3" t="s">
        <v>668</v>
      </c>
      <c r="E1047" s="3" t="s">
        <v>617</v>
      </c>
      <c r="F1047" s="3">
        <v>11</v>
      </c>
      <c r="G1047" s="3" t="s">
        <v>654</v>
      </c>
      <c r="H1047" s="3">
        <v>0</v>
      </c>
    </row>
    <row r="1048" spans="1:8" x14ac:dyDescent="0.3">
      <c r="A1048" s="4">
        <v>38668</v>
      </c>
      <c r="B1048" s="3">
        <v>2005</v>
      </c>
      <c r="C1048" s="3">
        <v>11</v>
      </c>
      <c r="D1048" s="3" t="s">
        <v>668</v>
      </c>
      <c r="E1048" s="3" t="s">
        <v>617</v>
      </c>
      <c r="F1048" s="3">
        <v>12</v>
      </c>
      <c r="G1048" s="3" t="s">
        <v>655</v>
      </c>
      <c r="H1048" s="3">
        <v>1</v>
      </c>
    </row>
    <row r="1049" spans="1:8" x14ac:dyDescent="0.3">
      <c r="A1049" s="4">
        <v>38669</v>
      </c>
      <c r="B1049" s="3">
        <v>2005</v>
      </c>
      <c r="C1049" s="3">
        <v>11</v>
      </c>
      <c r="D1049" s="3" t="s">
        <v>668</v>
      </c>
      <c r="E1049" s="3" t="s">
        <v>617</v>
      </c>
      <c r="F1049" s="3">
        <v>13</v>
      </c>
      <c r="G1049" s="3" t="s">
        <v>656</v>
      </c>
      <c r="H1049" s="3">
        <v>1</v>
      </c>
    </row>
    <row r="1050" spans="1:8" x14ac:dyDescent="0.3">
      <c r="A1050" s="4">
        <v>38670</v>
      </c>
      <c r="B1050" s="3">
        <v>2005</v>
      </c>
      <c r="C1050" s="3">
        <v>11</v>
      </c>
      <c r="D1050" s="3" t="s">
        <v>668</v>
      </c>
      <c r="E1050" s="3" t="s">
        <v>617</v>
      </c>
      <c r="F1050" s="3">
        <v>14</v>
      </c>
      <c r="G1050" s="3" t="s">
        <v>657</v>
      </c>
      <c r="H1050" s="3">
        <v>0</v>
      </c>
    </row>
    <row r="1051" spans="1:8" x14ac:dyDescent="0.3">
      <c r="A1051" s="4">
        <v>38671</v>
      </c>
      <c r="B1051" s="3">
        <v>2005</v>
      </c>
      <c r="C1051" s="3">
        <v>11</v>
      </c>
      <c r="D1051" s="3" t="s">
        <v>668</v>
      </c>
      <c r="E1051" s="3" t="s">
        <v>617</v>
      </c>
      <c r="F1051" s="3">
        <v>15</v>
      </c>
      <c r="G1051" s="3" t="s">
        <v>658</v>
      </c>
      <c r="H1051" s="3">
        <v>0</v>
      </c>
    </row>
    <row r="1052" spans="1:8" x14ac:dyDescent="0.3">
      <c r="A1052" s="4">
        <v>38672</v>
      </c>
      <c r="B1052" s="3">
        <v>2005</v>
      </c>
      <c r="C1052" s="3">
        <v>11</v>
      </c>
      <c r="D1052" s="3" t="s">
        <v>668</v>
      </c>
      <c r="E1052" s="3" t="s">
        <v>617</v>
      </c>
      <c r="F1052" s="3">
        <v>16</v>
      </c>
      <c r="G1052" s="3" t="s">
        <v>652</v>
      </c>
      <c r="H1052" s="3">
        <v>0</v>
      </c>
    </row>
    <row r="1053" spans="1:8" x14ac:dyDescent="0.3">
      <c r="A1053" s="4">
        <v>38673</v>
      </c>
      <c r="B1053" s="3">
        <v>2005</v>
      </c>
      <c r="C1053" s="3">
        <v>11</v>
      </c>
      <c r="D1053" s="3" t="s">
        <v>668</v>
      </c>
      <c r="E1053" s="3" t="s">
        <v>617</v>
      </c>
      <c r="F1053" s="3">
        <v>17</v>
      </c>
      <c r="G1053" s="3" t="s">
        <v>653</v>
      </c>
      <c r="H1053" s="3">
        <v>0</v>
      </c>
    </row>
    <row r="1054" spans="1:8" x14ac:dyDescent="0.3">
      <c r="A1054" s="4">
        <v>38674</v>
      </c>
      <c r="B1054" s="3">
        <v>2005</v>
      </c>
      <c r="C1054" s="3">
        <v>11</v>
      </c>
      <c r="D1054" s="3" t="s">
        <v>668</v>
      </c>
      <c r="E1054" s="3" t="s">
        <v>617</v>
      </c>
      <c r="F1054" s="3">
        <v>18</v>
      </c>
      <c r="G1054" s="3" t="s">
        <v>654</v>
      </c>
      <c r="H1054" s="3">
        <v>0</v>
      </c>
    </row>
    <row r="1055" spans="1:8" x14ac:dyDescent="0.3">
      <c r="A1055" s="4">
        <v>38675</v>
      </c>
      <c r="B1055" s="3">
        <v>2005</v>
      </c>
      <c r="C1055" s="3">
        <v>11</v>
      </c>
      <c r="D1055" s="3" t="s">
        <v>668</v>
      </c>
      <c r="E1055" s="3" t="s">
        <v>617</v>
      </c>
      <c r="F1055" s="3">
        <v>19</v>
      </c>
      <c r="G1055" s="3" t="s">
        <v>655</v>
      </c>
      <c r="H1055" s="3">
        <v>1</v>
      </c>
    </row>
    <row r="1056" spans="1:8" x14ac:dyDescent="0.3">
      <c r="A1056" s="4">
        <v>38676</v>
      </c>
      <c r="B1056" s="3">
        <v>2005</v>
      </c>
      <c r="C1056" s="3">
        <v>11</v>
      </c>
      <c r="D1056" s="3" t="s">
        <v>668</v>
      </c>
      <c r="E1056" s="3" t="s">
        <v>617</v>
      </c>
      <c r="F1056" s="3">
        <v>20</v>
      </c>
      <c r="G1056" s="3" t="s">
        <v>656</v>
      </c>
      <c r="H1056" s="3">
        <v>1</v>
      </c>
    </row>
    <row r="1057" spans="1:8" x14ac:dyDescent="0.3">
      <c r="A1057" s="4">
        <v>38677</v>
      </c>
      <c r="B1057" s="3">
        <v>2005</v>
      </c>
      <c r="C1057" s="3">
        <v>11</v>
      </c>
      <c r="D1057" s="3" t="s">
        <v>668</v>
      </c>
      <c r="E1057" s="3" t="s">
        <v>617</v>
      </c>
      <c r="F1057" s="3">
        <v>21</v>
      </c>
      <c r="G1057" s="3" t="s">
        <v>657</v>
      </c>
      <c r="H1057" s="3">
        <v>0</v>
      </c>
    </row>
    <row r="1058" spans="1:8" x14ac:dyDescent="0.3">
      <c r="A1058" s="4">
        <v>38678</v>
      </c>
      <c r="B1058" s="3">
        <v>2005</v>
      </c>
      <c r="C1058" s="3">
        <v>11</v>
      </c>
      <c r="D1058" s="3" t="s">
        <v>668</v>
      </c>
      <c r="E1058" s="3" t="s">
        <v>617</v>
      </c>
      <c r="F1058" s="3">
        <v>22</v>
      </c>
      <c r="G1058" s="3" t="s">
        <v>658</v>
      </c>
      <c r="H1058" s="3">
        <v>0</v>
      </c>
    </row>
    <row r="1059" spans="1:8" x14ac:dyDescent="0.3">
      <c r="A1059" s="4">
        <v>38679</v>
      </c>
      <c r="B1059" s="3">
        <v>2005</v>
      </c>
      <c r="C1059" s="3">
        <v>11</v>
      </c>
      <c r="D1059" s="3" t="s">
        <v>668</v>
      </c>
      <c r="E1059" s="3" t="s">
        <v>617</v>
      </c>
      <c r="F1059" s="3">
        <v>23</v>
      </c>
      <c r="G1059" s="3" t="s">
        <v>652</v>
      </c>
      <c r="H1059" s="3">
        <v>0</v>
      </c>
    </row>
    <row r="1060" spans="1:8" x14ac:dyDescent="0.3">
      <c r="A1060" s="4">
        <v>38680</v>
      </c>
      <c r="B1060" s="3">
        <v>2005</v>
      </c>
      <c r="C1060" s="3">
        <v>11</v>
      </c>
      <c r="D1060" s="3" t="s">
        <v>668</v>
      </c>
      <c r="E1060" s="3" t="s">
        <v>617</v>
      </c>
      <c r="F1060" s="3">
        <v>24</v>
      </c>
      <c r="G1060" s="3" t="s">
        <v>653</v>
      </c>
      <c r="H1060" s="3">
        <v>0</v>
      </c>
    </row>
    <row r="1061" spans="1:8" x14ac:dyDescent="0.3">
      <c r="A1061" s="4">
        <v>38681</v>
      </c>
      <c r="B1061" s="3">
        <v>2005</v>
      </c>
      <c r="C1061" s="3">
        <v>11</v>
      </c>
      <c r="D1061" s="3" t="s">
        <v>668</v>
      </c>
      <c r="E1061" s="3" t="s">
        <v>617</v>
      </c>
      <c r="F1061" s="3">
        <v>25</v>
      </c>
      <c r="G1061" s="3" t="s">
        <v>654</v>
      </c>
      <c r="H1061" s="3">
        <v>0</v>
      </c>
    </row>
    <row r="1062" spans="1:8" x14ac:dyDescent="0.3">
      <c r="A1062" s="4">
        <v>38682</v>
      </c>
      <c r="B1062" s="3">
        <v>2005</v>
      </c>
      <c r="C1062" s="3">
        <v>11</v>
      </c>
      <c r="D1062" s="3" t="s">
        <v>668</v>
      </c>
      <c r="E1062" s="3" t="s">
        <v>617</v>
      </c>
      <c r="F1062" s="3">
        <v>26</v>
      </c>
      <c r="G1062" s="3" t="s">
        <v>655</v>
      </c>
      <c r="H1062" s="3">
        <v>1</v>
      </c>
    </row>
    <row r="1063" spans="1:8" x14ac:dyDescent="0.3">
      <c r="A1063" s="4">
        <v>38683</v>
      </c>
      <c r="B1063" s="3">
        <v>2005</v>
      </c>
      <c r="C1063" s="3">
        <v>11</v>
      </c>
      <c r="D1063" s="3" t="s">
        <v>668</v>
      </c>
      <c r="E1063" s="3" t="s">
        <v>617</v>
      </c>
      <c r="F1063" s="3">
        <v>27</v>
      </c>
      <c r="G1063" s="3" t="s">
        <v>656</v>
      </c>
      <c r="H1063" s="3">
        <v>1</v>
      </c>
    </row>
    <row r="1064" spans="1:8" x14ac:dyDescent="0.3">
      <c r="A1064" s="4">
        <v>38684</v>
      </c>
      <c r="B1064" s="3">
        <v>2005</v>
      </c>
      <c r="C1064" s="3">
        <v>11</v>
      </c>
      <c r="D1064" s="3" t="s">
        <v>668</v>
      </c>
      <c r="E1064" s="3" t="s">
        <v>617</v>
      </c>
      <c r="F1064" s="3">
        <v>28</v>
      </c>
      <c r="G1064" s="3" t="s">
        <v>657</v>
      </c>
      <c r="H1064" s="3">
        <v>0</v>
      </c>
    </row>
    <row r="1065" spans="1:8" x14ac:dyDescent="0.3">
      <c r="A1065" s="4">
        <v>38685</v>
      </c>
      <c r="B1065" s="3">
        <v>2005</v>
      </c>
      <c r="C1065" s="3">
        <v>11</v>
      </c>
      <c r="D1065" s="3" t="s">
        <v>668</v>
      </c>
      <c r="E1065" s="3" t="s">
        <v>617</v>
      </c>
      <c r="F1065" s="3">
        <v>29</v>
      </c>
      <c r="G1065" s="3" t="s">
        <v>658</v>
      </c>
      <c r="H1065" s="3">
        <v>0</v>
      </c>
    </row>
    <row r="1066" spans="1:8" x14ac:dyDescent="0.3">
      <c r="A1066" s="4">
        <v>38686</v>
      </c>
      <c r="B1066" s="3">
        <v>2005</v>
      </c>
      <c r="C1066" s="3">
        <v>11</v>
      </c>
      <c r="D1066" s="3" t="s">
        <v>668</v>
      </c>
      <c r="E1066" s="3" t="s">
        <v>617</v>
      </c>
      <c r="F1066" s="3">
        <v>30</v>
      </c>
      <c r="G1066" s="3" t="s">
        <v>652</v>
      </c>
      <c r="H1066" s="3">
        <v>0</v>
      </c>
    </row>
    <row r="1067" spans="1:8" x14ac:dyDescent="0.3">
      <c r="A1067" s="4">
        <v>38687</v>
      </c>
      <c r="B1067" s="3">
        <v>2005</v>
      </c>
      <c r="C1067" s="3">
        <v>12</v>
      </c>
      <c r="D1067" s="3" t="s">
        <v>669</v>
      </c>
      <c r="E1067" s="3" t="s">
        <v>617</v>
      </c>
      <c r="F1067" s="3">
        <v>1</v>
      </c>
      <c r="G1067" s="3" t="s">
        <v>653</v>
      </c>
      <c r="H1067" s="3">
        <v>0</v>
      </c>
    </row>
    <row r="1068" spans="1:8" x14ac:dyDescent="0.3">
      <c r="A1068" s="4">
        <v>38688</v>
      </c>
      <c r="B1068" s="3">
        <v>2005</v>
      </c>
      <c r="C1068" s="3">
        <v>12</v>
      </c>
      <c r="D1068" s="3" t="s">
        <v>669</v>
      </c>
      <c r="E1068" s="3" t="s">
        <v>617</v>
      </c>
      <c r="F1068" s="3">
        <v>2</v>
      </c>
      <c r="G1068" s="3" t="s">
        <v>654</v>
      </c>
      <c r="H1068" s="3">
        <v>0</v>
      </c>
    </row>
    <row r="1069" spans="1:8" x14ac:dyDescent="0.3">
      <c r="A1069" s="4">
        <v>38689</v>
      </c>
      <c r="B1069" s="3">
        <v>2005</v>
      </c>
      <c r="C1069" s="3">
        <v>12</v>
      </c>
      <c r="D1069" s="3" t="s">
        <v>669</v>
      </c>
      <c r="E1069" s="3" t="s">
        <v>617</v>
      </c>
      <c r="F1069" s="3">
        <v>3</v>
      </c>
      <c r="G1069" s="3" t="s">
        <v>655</v>
      </c>
      <c r="H1069" s="3">
        <v>1</v>
      </c>
    </row>
    <row r="1070" spans="1:8" x14ac:dyDescent="0.3">
      <c r="A1070" s="4">
        <v>38690</v>
      </c>
      <c r="B1070" s="3">
        <v>2005</v>
      </c>
      <c r="C1070" s="3">
        <v>12</v>
      </c>
      <c r="D1070" s="3" t="s">
        <v>669</v>
      </c>
      <c r="E1070" s="3" t="s">
        <v>617</v>
      </c>
      <c r="F1070" s="3">
        <v>4</v>
      </c>
      <c r="G1070" s="3" t="s">
        <v>656</v>
      </c>
      <c r="H1070" s="3">
        <v>1</v>
      </c>
    </row>
    <row r="1071" spans="1:8" x14ac:dyDescent="0.3">
      <c r="A1071" s="4">
        <v>38691</v>
      </c>
      <c r="B1071" s="3">
        <v>2005</v>
      </c>
      <c r="C1071" s="3">
        <v>12</v>
      </c>
      <c r="D1071" s="3" t="s">
        <v>669</v>
      </c>
      <c r="E1071" s="3" t="s">
        <v>617</v>
      </c>
      <c r="F1071" s="3">
        <v>5</v>
      </c>
      <c r="G1071" s="3" t="s">
        <v>657</v>
      </c>
      <c r="H1071" s="3">
        <v>0</v>
      </c>
    </row>
    <row r="1072" spans="1:8" x14ac:dyDescent="0.3">
      <c r="A1072" s="4">
        <v>38692</v>
      </c>
      <c r="B1072" s="3">
        <v>2005</v>
      </c>
      <c r="C1072" s="3">
        <v>12</v>
      </c>
      <c r="D1072" s="3" t="s">
        <v>669</v>
      </c>
      <c r="E1072" s="3" t="s">
        <v>617</v>
      </c>
      <c r="F1072" s="3">
        <v>6</v>
      </c>
      <c r="G1072" s="3" t="s">
        <v>658</v>
      </c>
      <c r="H1072" s="3">
        <v>0</v>
      </c>
    </row>
    <row r="1073" spans="1:8" x14ac:dyDescent="0.3">
      <c r="A1073" s="4">
        <v>38693</v>
      </c>
      <c r="B1073" s="3">
        <v>2005</v>
      </c>
      <c r="C1073" s="3">
        <v>12</v>
      </c>
      <c r="D1073" s="3" t="s">
        <v>669</v>
      </c>
      <c r="E1073" s="3" t="s">
        <v>617</v>
      </c>
      <c r="F1073" s="3">
        <v>7</v>
      </c>
      <c r="G1073" s="3" t="s">
        <v>652</v>
      </c>
      <c r="H1073" s="3">
        <v>0</v>
      </c>
    </row>
    <row r="1074" spans="1:8" x14ac:dyDescent="0.3">
      <c r="A1074" s="4">
        <v>38694</v>
      </c>
      <c r="B1074" s="3">
        <v>2005</v>
      </c>
      <c r="C1074" s="3">
        <v>12</v>
      </c>
      <c r="D1074" s="3" t="s">
        <v>669</v>
      </c>
      <c r="E1074" s="3" t="s">
        <v>617</v>
      </c>
      <c r="F1074" s="3">
        <v>8</v>
      </c>
      <c r="G1074" s="3" t="s">
        <v>653</v>
      </c>
      <c r="H1074" s="3">
        <v>0</v>
      </c>
    </row>
    <row r="1075" spans="1:8" x14ac:dyDescent="0.3">
      <c r="A1075" s="4">
        <v>38695</v>
      </c>
      <c r="B1075" s="3">
        <v>2005</v>
      </c>
      <c r="C1075" s="3">
        <v>12</v>
      </c>
      <c r="D1075" s="3" t="s">
        <v>669</v>
      </c>
      <c r="E1075" s="3" t="s">
        <v>617</v>
      </c>
      <c r="F1075" s="3">
        <v>9</v>
      </c>
      <c r="G1075" s="3" t="s">
        <v>654</v>
      </c>
      <c r="H1075" s="3">
        <v>0</v>
      </c>
    </row>
    <row r="1076" spans="1:8" x14ac:dyDescent="0.3">
      <c r="A1076" s="4">
        <v>38696</v>
      </c>
      <c r="B1076" s="3">
        <v>2005</v>
      </c>
      <c r="C1076" s="3">
        <v>12</v>
      </c>
      <c r="D1076" s="3" t="s">
        <v>669</v>
      </c>
      <c r="E1076" s="3" t="s">
        <v>617</v>
      </c>
      <c r="F1076" s="3">
        <v>10</v>
      </c>
      <c r="G1076" s="3" t="s">
        <v>655</v>
      </c>
      <c r="H1076" s="3">
        <v>1</v>
      </c>
    </row>
    <row r="1077" spans="1:8" x14ac:dyDescent="0.3">
      <c r="A1077" s="4">
        <v>38697</v>
      </c>
      <c r="B1077" s="3">
        <v>2005</v>
      </c>
      <c r="C1077" s="3">
        <v>12</v>
      </c>
      <c r="D1077" s="3" t="s">
        <v>669</v>
      </c>
      <c r="E1077" s="3" t="s">
        <v>617</v>
      </c>
      <c r="F1077" s="3">
        <v>11</v>
      </c>
      <c r="G1077" s="3" t="s">
        <v>656</v>
      </c>
      <c r="H1077" s="3">
        <v>1</v>
      </c>
    </row>
    <row r="1078" spans="1:8" x14ac:dyDescent="0.3">
      <c r="A1078" s="4">
        <v>38698</v>
      </c>
      <c r="B1078" s="3">
        <v>2005</v>
      </c>
      <c r="C1078" s="3">
        <v>12</v>
      </c>
      <c r="D1078" s="3" t="s">
        <v>669</v>
      </c>
      <c r="E1078" s="3" t="s">
        <v>617</v>
      </c>
      <c r="F1078" s="3">
        <v>12</v>
      </c>
      <c r="G1078" s="3" t="s">
        <v>657</v>
      </c>
      <c r="H1078" s="3">
        <v>0</v>
      </c>
    </row>
    <row r="1079" spans="1:8" x14ac:dyDescent="0.3">
      <c r="A1079" s="4">
        <v>38699</v>
      </c>
      <c r="B1079" s="3">
        <v>2005</v>
      </c>
      <c r="C1079" s="3">
        <v>12</v>
      </c>
      <c r="D1079" s="3" t="s">
        <v>669</v>
      </c>
      <c r="E1079" s="3" t="s">
        <v>617</v>
      </c>
      <c r="F1079" s="3">
        <v>13</v>
      </c>
      <c r="G1079" s="3" t="s">
        <v>658</v>
      </c>
      <c r="H1079" s="3">
        <v>0</v>
      </c>
    </row>
    <row r="1080" spans="1:8" x14ac:dyDescent="0.3">
      <c r="A1080" s="4">
        <v>38700</v>
      </c>
      <c r="B1080" s="3">
        <v>2005</v>
      </c>
      <c r="C1080" s="3">
        <v>12</v>
      </c>
      <c r="D1080" s="3" t="s">
        <v>669</v>
      </c>
      <c r="E1080" s="3" t="s">
        <v>617</v>
      </c>
      <c r="F1080" s="3">
        <v>14</v>
      </c>
      <c r="G1080" s="3" t="s">
        <v>652</v>
      </c>
      <c r="H1080" s="3">
        <v>0</v>
      </c>
    </row>
    <row r="1081" spans="1:8" x14ac:dyDescent="0.3">
      <c r="A1081" s="4">
        <v>38701</v>
      </c>
      <c r="B1081" s="3">
        <v>2005</v>
      </c>
      <c r="C1081" s="3">
        <v>12</v>
      </c>
      <c r="D1081" s="3" t="s">
        <v>669</v>
      </c>
      <c r="E1081" s="3" t="s">
        <v>617</v>
      </c>
      <c r="F1081" s="3">
        <v>15</v>
      </c>
      <c r="G1081" s="3" t="s">
        <v>653</v>
      </c>
      <c r="H1081" s="3">
        <v>0</v>
      </c>
    </row>
    <row r="1082" spans="1:8" x14ac:dyDescent="0.3">
      <c r="A1082" s="4">
        <v>38702</v>
      </c>
      <c r="B1082" s="3">
        <v>2005</v>
      </c>
      <c r="C1082" s="3">
        <v>12</v>
      </c>
      <c r="D1082" s="3" t="s">
        <v>669</v>
      </c>
      <c r="E1082" s="3" t="s">
        <v>617</v>
      </c>
      <c r="F1082" s="3">
        <v>16</v>
      </c>
      <c r="G1082" s="3" t="s">
        <v>654</v>
      </c>
      <c r="H1082" s="3">
        <v>0</v>
      </c>
    </row>
    <row r="1083" spans="1:8" x14ac:dyDescent="0.3">
      <c r="A1083" s="4">
        <v>38703</v>
      </c>
      <c r="B1083" s="3">
        <v>2005</v>
      </c>
      <c r="C1083" s="3">
        <v>12</v>
      </c>
      <c r="D1083" s="3" t="s">
        <v>669</v>
      </c>
      <c r="E1083" s="3" t="s">
        <v>617</v>
      </c>
      <c r="F1083" s="3">
        <v>17</v>
      </c>
      <c r="G1083" s="3" t="s">
        <v>655</v>
      </c>
      <c r="H1083" s="3">
        <v>1</v>
      </c>
    </row>
    <row r="1084" spans="1:8" x14ac:dyDescent="0.3">
      <c r="A1084" s="4">
        <v>38704</v>
      </c>
      <c r="B1084" s="3">
        <v>2005</v>
      </c>
      <c r="C1084" s="3">
        <v>12</v>
      </c>
      <c r="D1084" s="3" t="s">
        <v>669</v>
      </c>
      <c r="E1084" s="3" t="s">
        <v>617</v>
      </c>
      <c r="F1084" s="3">
        <v>18</v>
      </c>
      <c r="G1084" s="3" t="s">
        <v>656</v>
      </c>
      <c r="H1084" s="3">
        <v>1</v>
      </c>
    </row>
    <row r="1085" spans="1:8" x14ac:dyDescent="0.3">
      <c r="A1085" s="4">
        <v>38705</v>
      </c>
      <c r="B1085" s="3">
        <v>2005</v>
      </c>
      <c r="C1085" s="3">
        <v>12</v>
      </c>
      <c r="D1085" s="3" t="s">
        <v>669</v>
      </c>
      <c r="E1085" s="3" t="s">
        <v>617</v>
      </c>
      <c r="F1085" s="3">
        <v>19</v>
      </c>
      <c r="G1085" s="3" t="s">
        <v>657</v>
      </c>
      <c r="H1085" s="3">
        <v>0</v>
      </c>
    </row>
    <row r="1086" spans="1:8" x14ac:dyDescent="0.3">
      <c r="A1086" s="4">
        <v>38706</v>
      </c>
      <c r="B1086" s="3">
        <v>2005</v>
      </c>
      <c r="C1086" s="3">
        <v>12</v>
      </c>
      <c r="D1086" s="3" t="s">
        <v>669</v>
      </c>
      <c r="E1086" s="3" t="s">
        <v>617</v>
      </c>
      <c r="F1086" s="3">
        <v>20</v>
      </c>
      <c r="G1086" s="3" t="s">
        <v>658</v>
      </c>
      <c r="H1086" s="3">
        <v>0</v>
      </c>
    </row>
    <row r="1087" spans="1:8" x14ac:dyDescent="0.3">
      <c r="A1087" s="4">
        <v>38707</v>
      </c>
      <c r="B1087" s="3">
        <v>2005</v>
      </c>
      <c r="C1087" s="3">
        <v>12</v>
      </c>
      <c r="D1087" s="3" t="s">
        <v>669</v>
      </c>
      <c r="E1087" s="3" t="s">
        <v>617</v>
      </c>
      <c r="F1087" s="3">
        <v>21</v>
      </c>
      <c r="G1087" s="3" t="s">
        <v>652</v>
      </c>
      <c r="H1087" s="3">
        <v>0</v>
      </c>
    </row>
    <row r="1088" spans="1:8" x14ac:dyDescent="0.3">
      <c r="A1088" s="4">
        <v>38708</v>
      </c>
      <c r="B1088" s="3">
        <v>2005</v>
      </c>
      <c r="C1088" s="3">
        <v>12</v>
      </c>
      <c r="D1088" s="3" t="s">
        <v>669</v>
      </c>
      <c r="E1088" s="3" t="s">
        <v>617</v>
      </c>
      <c r="F1088" s="3">
        <v>22</v>
      </c>
      <c r="G1088" s="3" t="s">
        <v>653</v>
      </c>
      <c r="H1088" s="3">
        <v>0</v>
      </c>
    </row>
    <row r="1089" spans="1:8" x14ac:dyDescent="0.3">
      <c r="A1089" s="4">
        <v>38709</v>
      </c>
      <c r="B1089" s="3">
        <v>2005</v>
      </c>
      <c r="C1089" s="3">
        <v>12</v>
      </c>
      <c r="D1089" s="3" t="s">
        <v>669</v>
      </c>
      <c r="E1089" s="3" t="s">
        <v>617</v>
      </c>
      <c r="F1089" s="3">
        <v>23</v>
      </c>
      <c r="G1089" s="3" t="s">
        <v>654</v>
      </c>
      <c r="H1089" s="3">
        <v>0</v>
      </c>
    </row>
    <row r="1090" spans="1:8" x14ac:dyDescent="0.3">
      <c r="A1090" s="4">
        <v>38710</v>
      </c>
      <c r="B1090" s="3">
        <v>2005</v>
      </c>
      <c r="C1090" s="3">
        <v>12</v>
      </c>
      <c r="D1090" s="3" t="s">
        <v>669</v>
      </c>
      <c r="E1090" s="3" t="s">
        <v>617</v>
      </c>
      <c r="F1090" s="3">
        <v>24</v>
      </c>
      <c r="G1090" s="3" t="s">
        <v>655</v>
      </c>
      <c r="H1090" s="3">
        <v>1</v>
      </c>
    </row>
    <row r="1091" spans="1:8" x14ac:dyDescent="0.3">
      <c r="A1091" s="4">
        <v>38711</v>
      </c>
      <c r="B1091" s="3">
        <v>2005</v>
      </c>
      <c r="C1091" s="3">
        <v>12</v>
      </c>
      <c r="D1091" s="3" t="s">
        <v>669</v>
      </c>
      <c r="E1091" s="3" t="s">
        <v>617</v>
      </c>
      <c r="F1091" s="3">
        <v>25</v>
      </c>
      <c r="G1091" s="3" t="s">
        <v>656</v>
      </c>
      <c r="H1091" s="3">
        <v>1</v>
      </c>
    </row>
    <row r="1092" spans="1:8" x14ac:dyDescent="0.3">
      <c r="A1092" s="4">
        <v>38712</v>
      </c>
      <c r="B1092" s="3">
        <v>2005</v>
      </c>
      <c r="C1092" s="3">
        <v>12</v>
      </c>
      <c r="D1092" s="3" t="s">
        <v>669</v>
      </c>
      <c r="E1092" s="3" t="s">
        <v>617</v>
      </c>
      <c r="F1092" s="3">
        <v>26</v>
      </c>
      <c r="G1092" s="3" t="s">
        <v>657</v>
      </c>
      <c r="H1092" s="3">
        <v>0</v>
      </c>
    </row>
    <row r="1093" spans="1:8" x14ac:dyDescent="0.3">
      <c r="A1093" s="4">
        <v>38713</v>
      </c>
      <c r="B1093" s="3">
        <v>2005</v>
      </c>
      <c r="C1093" s="3">
        <v>12</v>
      </c>
      <c r="D1093" s="3" t="s">
        <v>669</v>
      </c>
      <c r="E1093" s="3" t="s">
        <v>617</v>
      </c>
      <c r="F1093" s="3">
        <v>27</v>
      </c>
      <c r="G1093" s="3" t="s">
        <v>658</v>
      </c>
      <c r="H1093" s="3">
        <v>0</v>
      </c>
    </row>
    <row r="1094" spans="1:8" x14ac:dyDescent="0.3">
      <c r="A1094" s="4">
        <v>38714</v>
      </c>
      <c r="B1094" s="3">
        <v>2005</v>
      </c>
      <c r="C1094" s="3">
        <v>12</v>
      </c>
      <c r="D1094" s="3" t="s">
        <v>669</v>
      </c>
      <c r="E1094" s="3" t="s">
        <v>617</v>
      </c>
      <c r="F1094" s="3">
        <v>28</v>
      </c>
      <c r="G1094" s="3" t="s">
        <v>652</v>
      </c>
      <c r="H1094" s="3">
        <v>0</v>
      </c>
    </row>
    <row r="1095" spans="1:8" x14ac:dyDescent="0.3">
      <c r="A1095" s="4">
        <v>38715</v>
      </c>
      <c r="B1095" s="3">
        <v>2005</v>
      </c>
      <c r="C1095" s="3">
        <v>12</v>
      </c>
      <c r="D1095" s="3" t="s">
        <v>669</v>
      </c>
      <c r="E1095" s="3" t="s">
        <v>617</v>
      </c>
      <c r="F1095" s="3">
        <v>29</v>
      </c>
      <c r="G1095" s="3" t="s">
        <v>653</v>
      </c>
      <c r="H1095" s="3">
        <v>0</v>
      </c>
    </row>
    <row r="1096" spans="1:8" x14ac:dyDescent="0.3">
      <c r="A1096" s="4">
        <v>38716</v>
      </c>
      <c r="B1096" s="3">
        <v>2005</v>
      </c>
      <c r="C1096" s="3">
        <v>12</v>
      </c>
      <c r="D1096" s="3" t="s">
        <v>669</v>
      </c>
      <c r="E1096" s="3" t="s">
        <v>617</v>
      </c>
      <c r="F1096" s="3">
        <v>30</v>
      </c>
      <c r="G1096" s="3" t="s">
        <v>654</v>
      </c>
      <c r="H1096" s="3">
        <v>0</v>
      </c>
    </row>
    <row r="1097" spans="1:8" x14ac:dyDescent="0.3">
      <c r="A1097" s="4">
        <v>38717</v>
      </c>
      <c r="B1097" s="3">
        <v>2005</v>
      </c>
      <c r="C1097" s="3">
        <v>12</v>
      </c>
      <c r="D1097" s="3" t="s">
        <v>669</v>
      </c>
      <c r="E1097" s="3" t="s">
        <v>617</v>
      </c>
      <c r="F1097" s="3">
        <v>31</v>
      </c>
      <c r="G1097" s="3" t="s">
        <v>655</v>
      </c>
      <c r="H1097" s="3">
        <v>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8A9B6-67F1-47E8-B7BB-A796574E2D6F}">
  <sheetPr>
    <tabColor rgb="FFFF0000"/>
  </sheetPr>
  <dimension ref="A1:C74"/>
  <sheetViews>
    <sheetView workbookViewId="0">
      <selection activeCell="N16" sqref="N16"/>
    </sheetView>
  </sheetViews>
  <sheetFormatPr defaultRowHeight="14.4" x14ac:dyDescent="0.3"/>
  <cols>
    <col min="1" max="1" width="14.6640625" bestFit="1" customWidth="1"/>
    <col min="2" max="2" width="13.21875" bestFit="1" customWidth="1"/>
    <col min="3" max="3" width="13.6640625" bestFit="1" customWidth="1"/>
  </cols>
  <sheetData>
    <row r="1" spans="1:3" ht="15.6" x14ac:dyDescent="0.3">
      <c r="A1" s="65" t="s">
        <v>3</v>
      </c>
      <c r="B1" s="65" t="s">
        <v>4</v>
      </c>
      <c r="C1" s="65" t="s">
        <v>5</v>
      </c>
    </row>
    <row r="2" spans="1:3" ht="15.6" x14ac:dyDescent="0.3">
      <c r="A2" s="3" t="s">
        <v>14</v>
      </c>
      <c r="B2" s="3" t="s">
        <v>15</v>
      </c>
      <c r="C2" s="3" t="s">
        <v>16</v>
      </c>
    </row>
    <row r="3" spans="1:3" ht="15.6" x14ac:dyDescent="0.3">
      <c r="A3" s="3" t="s">
        <v>23</v>
      </c>
      <c r="B3" s="3" t="s">
        <v>24</v>
      </c>
      <c r="C3" s="3" t="s">
        <v>25</v>
      </c>
    </row>
    <row r="4" spans="1:3" ht="15.6" x14ac:dyDescent="0.3">
      <c r="A4" s="3" t="s">
        <v>28</v>
      </c>
      <c r="B4" s="3" t="s">
        <v>15</v>
      </c>
      <c r="C4" s="3" t="s">
        <v>16</v>
      </c>
    </row>
    <row r="5" spans="1:3" ht="15.6" x14ac:dyDescent="0.3">
      <c r="A5" s="3" t="s">
        <v>30</v>
      </c>
      <c r="B5" s="3" t="s">
        <v>31</v>
      </c>
      <c r="C5" s="3" t="s">
        <v>25</v>
      </c>
    </row>
    <row r="6" spans="1:3" ht="15.6" x14ac:dyDescent="0.3">
      <c r="A6" s="3" t="s">
        <v>42</v>
      </c>
      <c r="B6" s="3" t="s">
        <v>43</v>
      </c>
      <c r="C6" s="3" t="s">
        <v>25</v>
      </c>
    </row>
    <row r="7" spans="1:3" ht="15.6" x14ac:dyDescent="0.3">
      <c r="A7" s="3" t="s">
        <v>50</v>
      </c>
      <c r="B7" s="3" t="s">
        <v>51</v>
      </c>
      <c r="C7" s="3" t="s">
        <v>25</v>
      </c>
    </row>
    <row r="8" spans="1:3" ht="15.6" x14ac:dyDescent="0.3">
      <c r="A8" s="3" t="s">
        <v>59</v>
      </c>
      <c r="B8" s="3" t="s">
        <v>60</v>
      </c>
      <c r="C8" s="3" t="s">
        <v>25</v>
      </c>
    </row>
    <row r="9" spans="1:3" ht="15.6" x14ac:dyDescent="0.3">
      <c r="A9" s="3" t="s">
        <v>72</v>
      </c>
      <c r="B9" s="3" t="s">
        <v>73</v>
      </c>
      <c r="C9" s="3" t="s">
        <v>74</v>
      </c>
    </row>
    <row r="10" spans="1:3" ht="15.6" x14ac:dyDescent="0.3">
      <c r="A10" s="3" t="s">
        <v>78</v>
      </c>
      <c r="B10" s="3" t="s">
        <v>15</v>
      </c>
      <c r="C10" s="3" t="s">
        <v>16</v>
      </c>
    </row>
    <row r="11" spans="1:3" ht="15.6" x14ac:dyDescent="0.3">
      <c r="A11" s="3" t="s">
        <v>80</v>
      </c>
      <c r="B11" s="3" t="s">
        <v>81</v>
      </c>
      <c r="C11" s="3" t="s">
        <v>25</v>
      </c>
    </row>
    <row r="12" spans="1:3" ht="15.6" x14ac:dyDescent="0.3">
      <c r="A12" s="3" t="s">
        <v>84</v>
      </c>
      <c r="B12" s="3" t="s">
        <v>85</v>
      </c>
      <c r="C12" s="3" t="s">
        <v>25</v>
      </c>
    </row>
    <row r="13" spans="1:3" ht="15.6" x14ac:dyDescent="0.3">
      <c r="A13" s="3" t="s">
        <v>87</v>
      </c>
      <c r="B13" s="3" t="s">
        <v>15</v>
      </c>
      <c r="C13" s="3" t="s">
        <v>16</v>
      </c>
    </row>
    <row r="14" spans="1:3" ht="15.6" x14ac:dyDescent="0.3">
      <c r="A14" s="3" t="s">
        <v>89</v>
      </c>
      <c r="B14" s="3" t="s">
        <v>15</v>
      </c>
      <c r="C14" s="3" t="s">
        <v>16</v>
      </c>
    </row>
    <row r="15" spans="1:3" ht="15.6" x14ac:dyDescent="0.3">
      <c r="A15" s="3" t="s">
        <v>91</v>
      </c>
      <c r="B15" s="3" t="s">
        <v>92</v>
      </c>
      <c r="C15" s="3" t="s">
        <v>25</v>
      </c>
    </row>
    <row r="16" spans="1:3" ht="15.6" x14ac:dyDescent="0.3">
      <c r="A16" s="3" t="s">
        <v>95</v>
      </c>
      <c r="B16" s="3" t="s">
        <v>96</v>
      </c>
      <c r="C16" s="3" t="s">
        <v>25</v>
      </c>
    </row>
    <row r="17" spans="1:3" ht="15.6" x14ac:dyDescent="0.3">
      <c r="A17" s="3" t="s">
        <v>98</v>
      </c>
      <c r="B17" s="3" t="s">
        <v>98</v>
      </c>
      <c r="C17" s="3" t="s">
        <v>74</v>
      </c>
    </row>
    <row r="18" spans="1:3" ht="15.6" x14ac:dyDescent="0.3">
      <c r="A18" s="3" t="s">
        <v>100</v>
      </c>
      <c r="B18" s="3" t="s">
        <v>43</v>
      </c>
      <c r="C18" s="3" t="s">
        <v>25</v>
      </c>
    </row>
    <row r="19" spans="1:3" ht="15.6" x14ac:dyDescent="0.3">
      <c r="A19" s="3" t="s">
        <v>102</v>
      </c>
      <c r="B19" s="3" t="s">
        <v>103</v>
      </c>
      <c r="C19" s="3" t="s">
        <v>25</v>
      </c>
    </row>
    <row r="20" spans="1:3" ht="15.6" x14ac:dyDescent="0.3">
      <c r="A20" s="3" t="s">
        <v>105</v>
      </c>
      <c r="B20" s="3" t="s">
        <v>106</v>
      </c>
      <c r="C20" s="3" t="s">
        <v>107</v>
      </c>
    </row>
    <row r="21" spans="1:3" ht="15.6" x14ac:dyDescent="0.3">
      <c r="A21" s="3" t="s">
        <v>110</v>
      </c>
      <c r="B21" s="3" t="s">
        <v>92</v>
      </c>
      <c r="C21" s="3" t="s">
        <v>25</v>
      </c>
    </row>
    <row r="22" spans="1:3" ht="15.6" x14ac:dyDescent="0.3">
      <c r="A22" s="3" t="s">
        <v>112</v>
      </c>
      <c r="B22" s="3" t="s">
        <v>92</v>
      </c>
      <c r="C22" s="3" t="s">
        <v>25</v>
      </c>
    </row>
    <row r="23" spans="1:3" ht="15.6" x14ac:dyDescent="0.3">
      <c r="A23" s="3" t="s">
        <v>114</v>
      </c>
      <c r="B23" s="3" t="s">
        <v>92</v>
      </c>
      <c r="C23" s="3" t="s">
        <v>25</v>
      </c>
    </row>
    <row r="24" spans="1:3" ht="15.6" x14ac:dyDescent="0.3">
      <c r="A24" s="3" t="s">
        <v>116</v>
      </c>
      <c r="B24" s="3" t="s">
        <v>15</v>
      </c>
      <c r="C24" s="3" t="s">
        <v>16</v>
      </c>
    </row>
    <row r="25" spans="1:3" ht="15.6" x14ac:dyDescent="0.3">
      <c r="A25" s="3" t="s">
        <v>121</v>
      </c>
      <c r="B25" s="3" t="s">
        <v>81</v>
      </c>
      <c r="C25" s="3" t="s">
        <v>25</v>
      </c>
    </row>
    <row r="26" spans="1:3" ht="15.6" x14ac:dyDescent="0.3">
      <c r="A26" s="3" t="s">
        <v>123</v>
      </c>
      <c r="B26" s="3" t="s">
        <v>15</v>
      </c>
      <c r="C26" s="3" t="s">
        <v>16</v>
      </c>
    </row>
    <row r="27" spans="1:3" ht="15.6" x14ac:dyDescent="0.3">
      <c r="A27" s="3" t="s">
        <v>125</v>
      </c>
      <c r="B27" s="3" t="s">
        <v>15</v>
      </c>
      <c r="C27" s="3" t="s">
        <v>16</v>
      </c>
    </row>
    <row r="28" spans="1:3" ht="15.6" x14ac:dyDescent="0.3">
      <c r="A28" s="3" t="s">
        <v>128</v>
      </c>
      <c r="B28" s="3" t="s">
        <v>92</v>
      </c>
      <c r="C28" s="3" t="s">
        <v>25</v>
      </c>
    </row>
    <row r="29" spans="1:3" ht="15.6" x14ac:dyDescent="0.3">
      <c r="A29" s="3" t="s">
        <v>130</v>
      </c>
      <c r="B29" s="3" t="s">
        <v>106</v>
      </c>
      <c r="C29" s="3" t="s">
        <v>107</v>
      </c>
    </row>
    <row r="30" spans="1:3" ht="15.6" x14ac:dyDescent="0.3">
      <c r="A30" s="3" t="s">
        <v>132</v>
      </c>
      <c r="B30" s="3" t="s">
        <v>15</v>
      </c>
      <c r="C30" s="3" t="s">
        <v>16</v>
      </c>
    </row>
    <row r="31" spans="1:3" ht="15.6" x14ac:dyDescent="0.3">
      <c r="A31" s="3" t="s">
        <v>134</v>
      </c>
      <c r="B31" s="3" t="s">
        <v>135</v>
      </c>
      <c r="C31" s="3" t="s">
        <v>25</v>
      </c>
    </row>
    <row r="32" spans="1:3" ht="15.6" x14ac:dyDescent="0.3">
      <c r="A32" s="3" t="s">
        <v>137</v>
      </c>
      <c r="B32" s="3" t="s">
        <v>15</v>
      </c>
      <c r="C32" s="3" t="s">
        <v>16</v>
      </c>
    </row>
    <row r="33" spans="1:3" ht="15.6" x14ac:dyDescent="0.3">
      <c r="A33" s="3" t="s">
        <v>139</v>
      </c>
      <c r="B33" s="3" t="s">
        <v>15</v>
      </c>
      <c r="C33" s="3" t="s">
        <v>16</v>
      </c>
    </row>
    <row r="34" spans="1:3" ht="15.6" x14ac:dyDescent="0.3">
      <c r="A34" s="3" t="s">
        <v>142</v>
      </c>
      <c r="B34" s="3" t="s">
        <v>106</v>
      </c>
      <c r="C34" s="3" t="s">
        <v>107</v>
      </c>
    </row>
    <row r="35" spans="1:3" ht="15.6" x14ac:dyDescent="0.3">
      <c r="A35" s="3" t="s">
        <v>144</v>
      </c>
      <c r="B35" s="3" t="s">
        <v>15</v>
      </c>
      <c r="C35" s="3" t="s">
        <v>16</v>
      </c>
    </row>
    <row r="36" spans="1:3" ht="15.6" x14ac:dyDescent="0.3">
      <c r="A36" s="3" t="s">
        <v>146</v>
      </c>
      <c r="B36" s="3" t="s">
        <v>135</v>
      </c>
      <c r="C36" s="3" t="s">
        <v>25</v>
      </c>
    </row>
    <row r="37" spans="1:3" ht="15.6" x14ac:dyDescent="0.3">
      <c r="A37" s="3" t="s">
        <v>148</v>
      </c>
      <c r="B37" s="3" t="s">
        <v>106</v>
      </c>
      <c r="C37" s="3" t="s">
        <v>107</v>
      </c>
    </row>
    <row r="38" spans="1:3" ht="15.6" x14ac:dyDescent="0.3">
      <c r="A38" s="3" t="s">
        <v>151</v>
      </c>
      <c r="B38" s="3" t="s">
        <v>31</v>
      </c>
      <c r="C38" s="3" t="s">
        <v>25</v>
      </c>
    </row>
    <row r="39" spans="1:3" ht="15.6" x14ac:dyDescent="0.3">
      <c r="A39" s="3" t="s">
        <v>153</v>
      </c>
      <c r="B39" s="3" t="s">
        <v>135</v>
      </c>
      <c r="C39" s="3" t="s">
        <v>25</v>
      </c>
    </row>
    <row r="40" spans="1:3" ht="15.6" x14ac:dyDescent="0.3">
      <c r="A40" s="3" t="s">
        <v>155</v>
      </c>
      <c r="B40" s="3" t="s">
        <v>81</v>
      </c>
      <c r="C40" s="3" t="s">
        <v>25</v>
      </c>
    </row>
    <row r="41" spans="1:3" ht="15.6" x14ac:dyDescent="0.3">
      <c r="A41" s="3" t="s">
        <v>158</v>
      </c>
      <c r="B41" s="3" t="s">
        <v>15</v>
      </c>
      <c r="C41" s="3" t="s">
        <v>16</v>
      </c>
    </row>
    <row r="42" spans="1:3" ht="15.6" x14ac:dyDescent="0.3">
      <c r="A42" s="3" t="s">
        <v>160</v>
      </c>
      <c r="B42" s="3" t="s">
        <v>51</v>
      </c>
      <c r="C42" s="3" t="s">
        <v>25</v>
      </c>
    </row>
    <row r="43" spans="1:3" ht="15.6" x14ac:dyDescent="0.3">
      <c r="A43" s="3" t="s">
        <v>162</v>
      </c>
      <c r="B43" s="3" t="s">
        <v>103</v>
      </c>
      <c r="C43" s="3" t="s">
        <v>25</v>
      </c>
    </row>
    <row r="44" spans="1:3" ht="15.6" x14ac:dyDescent="0.3">
      <c r="A44" s="3" t="s">
        <v>168</v>
      </c>
      <c r="B44" s="3" t="s">
        <v>169</v>
      </c>
      <c r="C44" s="3" t="s">
        <v>16</v>
      </c>
    </row>
    <row r="45" spans="1:3" ht="15.6" x14ac:dyDescent="0.3">
      <c r="A45" s="3" t="s">
        <v>171</v>
      </c>
      <c r="B45" s="3" t="s">
        <v>15</v>
      </c>
      <c r="C45" s="3" t="s">
        <v>16</v>
      </c>
    </row>
    <row r="46" spans="1:3" ht="15.6" x14ac:dyDescent="0.3">
      <c r="A46" s="3" t="s">
        <v>173</v>
      </c>
      <c r="B46" s="3" t="s">
        <v>60</v>
      </c>
      <c r="C46" s="3" t="s">
        <v>25</v>
      </c>
    </row>
    <row r="47" spans="1:3" ht="15.6" x14ac:dyDescent="0.3">
      <c r="A47" s="3" t="s">
        <v>176</v>
      </c>
      <c r="B47" s="3" t="s">
        <v>92</v>
      </c>
      <c r="C47" s="3" t="s">
        <v>25</v>
      </c>
    </row>
    <row r="48" spans="1:3" ht="15.6" x14ac:dyDescent="0.3">
      <c r="A48" s="3" t="s">
        <v>178</v>
      </c>
      <c r="B48" s="3" t="s">
        <v>31</v>
      </c>
      <c r="C48" s="3" t="s">
        <v>25</v>
      </c>
    </row>
    <row r="49" spans="1:3" ht="15.6" x14ac:dyDescent="0.3">
      <c r="A49" s="3" t="s">
        <v>182</v>
      </c>
      <c r="B49" s="3" t="s">
        <v>43</v>
      </c>
      <c r="C49" s="3" t="s">
        <v>25</v>
      </c>
    </row>
    <row r="50" spans="1:3" ht="15.6" x14ac:dyDescent="0.3">
      <c r="A50" s="3" t="s">
        <v>184</v>
      </c>
      <c r="B50" s="3" t="s">
        <v>24</v>
      </c>
      <c r="C50" s="3" t="s">
        <v>25</v>
      </c>
    </row>
    <row r="51" spans="1:3" ht="15.6" x14ac:dyDescent="0.3">
      <c r="A51" s="3" t="s">
        <v>186</v>
      </c>
      <c r="B51" s="3" t="s">
        <v>106</v>
      </c>
      <c r="C51" s="3" t="s">
        <v>107</v>
      </c>
    </row>
    <row r="52" spans="1:3" ht="15.6" x14ac:dyDescent="0.3">
      <c r="A52" s="3" t="s">
        <v>188</v>
      </c>
      <c r="B52" s="3" t="s">
        <v>92</v>
      </c>
      <c r="C52" s="3" t="s">
        <v>25</v>
      </c>
    </row>
    <row r="53" spans="1:3" ht="15.6" x14ac:dyDescent="0.3">
      <c r="A53" s="3" t="s">
        <v>190</v>
      </c>
      <c r="B53" s="3" t="s">
        <v>15</v>
      </c>
      <c r="C53" s="3" t="s">
        <v>16</v>
      </c>
    </row>
    <row r="54" spans="1:3" ht="15.6" x14ac:dyDescent="0.3">
      <c r="A54" s="3" t="s">
        <v>192</v>
      </c>
      <c r="B54" s="3" t="s">
        <v>15</v>
      </c>
      <c r="C54" s="3" t="s">
        <v>16</v>
      </c>
    </row>
    <row r="55" spans="1:3" ht="15.6" x14ac:dyDescent="0.3">
      <c r="A55" s="3" t="s">
        <v>194</v>
      </c>
      <c r="B55" s="3" t="s">
        <v>15</v>
      </c>
      <c r="C55" s="3" t="s">
        <v>16</v>
      </c>
    </row>
    <row r="56" spans="1:3" ht="15.6" x14ac:dyDescent="0.3">
      <c r="A56" s="3" t="s">
        <v>196</v>
      </c>
      <c r="B56" s="3" t="s">
        <v>169</v>
      </c>
      <c r="C56" s="3" t="s">
        <v>16</v>
      </c>
    </row>
    <row r="57" spans="1:3" ht="15.6" x14ac:dyDescent="0.3">
      <c r="A57" s="3" t="s">
        <v>198</v>
      </c>
      <c r="B57" s="3" t="s">
        <v>15</v>
      </c>
      <c r="C57" s="3" t="s">
        <v>16</v>
      </c>
    </row>
    <row r="58" spans="1:3" ht="15.6" x14ac:dyDescent="0.3">
      <c r="A58" s="3" t="s">
        <v>200</v>
      </c>
      <c r="B58" s="3" t="s">
        <v>74</v>
      </c>
      <c r="C58" s="3" t="s">
        <v>74</v>
      </c>
    </row>
    <row r="59" spans="1:3" ht="15.6" x14ac:dyDescent="0.3">
      <c r="A59" s="3" t="s">
        <v>203</v>
      </c>
      <c r="B59" s="3" t="s">
        <v>92</v>
      </c>
      <c r="C59" s="3" t="s">
        <v>25</v>
      </c>
    </row>
    <row r="60" spans="1:3" ht="15.6" x14ac:dyDescent="0.3">
      <c r="A60" s="3" t="s">
        <v>206</v>
      </c>
      <c r="B60" s="3" t="s">
        <v>207</v>
      </c>
      <c r="C60" s="3" t="s">
        <v>25</v>
      </c>
    </row>
    <row r="61" spans="1:3" ht="15.6" x14ac:dyDescent="0.3">
      <c r="A61" s="3" t="s">
        <v>209</v>
      </c>
      <c r="B61" s="3" t="s">
        <v>96</v>
      </c>
      <c r="C61" s="3" t="s">
        <v>25</v>
      </c>
    </row>
    <row r="62" spans="1:3" ht="15.6" x14ac:dyDescent="0.3">
      <c r="A62" s="3" t="s">
        <v>211</v>
      </c>
      <c r="B62" s="3" t="s">
        <v>15</v>
      </c>
      <c r="C62" s="3" t="s">
        <v>16</v>
      </c>
    </row>
    <row r="63" spans="1:3" ht="15.6" x14ac:dyDescent="0.3">
      <c r="A63" s="3" t="s">
        <v>213</v>
      </c>
      <c r="B63" s="3" t="s">
        <v>214</v>
      </c>
      <c r="C63" s="3" t="s">
        <v>25</v>
      </c>
    </row>
    <row r="64" spans="1:3" ht="15.6" x14ac:dyDescent="0.3">
      <c r="A64" s="3" t="s">
        <v>216</v>
      </c>
      <c r="B64" s="3" t="s">
        <v>15</v>
      </c>
      <c r="C64" s="3" t="s">
        <v>16</v>
      </c>
    </row>
    <row r="65" spans="1:3" ht="15.6" x14ac:dyDescent="0.3">
      <c r="A65" s="3" t="s">
        <v>218</v>
      </c>
      <c r="B65" s="3" t="s">
        <v>81</v>
      </c>
      <c r="C65" s="3" t="s">
        <v>25</v>
      </c>
    </row>
    <row r="66" spans="1:3" ht="15.6" x14ac:dyDescent="0.3">
      <c r="A66" s="3" t="s">
        <v>220</v>
      </c>
      <c r="B66" s="3" t="s">
        <v>15</v>
      </c>
      <c r="C66" s="3" t="s">
        <v>16</v>
      </c>
    </row>
    <row r="67" spans="1:3" ht="15.6" x14ac:dyDescent="0.3">
      <c r="A67" s="3" t="s">
        <v>222</v>
      </c>
      <c r="B67" s="3" t="s">
        <v>169</v>
      </c>
      <c r="C67" s="3" t="s">
        <v>16</v>
      </c>
    </row>
    <row r="68" spans="1:3" ht="15.6" x14ac:dyDescent="0.3">
      <c r="A68" s="3" t="s">
        <v>224</v>
      </c>
      <c r="B68" s="3" t="s">
        <v>92</v>
      </c>
      <c r="C68" s="3" t="s">
        <v>25</v>
      </c>
    </row>
    <row r="69" spans="1:3" ht="15.6" x14ac:dyDescent="0.3">
      <c r="A69" s="3" t="s">
        <v>227</v>
      </c>
      <c r="B69" s="3" t="s">
        <v>15</v>
      </c>
      <c r="C69" s="3" t="s">
        <v>16</v>
      </c>
    </row>
    <row r="70" spans="1:3" ht="15.6" x14ac:dyDescent="0.3">
      <c r="A70" s="3" t="s">
        <v>229</v>
      </c>
      <c r="B70" s="3" t="s">
        <v>74</v>
      </c>
      <c r="C70" s="3" t="s">
        <v>74</v>
      </c>
    </row>
    <row r="71" spans="1:3" ht="15.6" x14ac:dyDescent="0.3">
      <c r="A71" s="3" t="s">
        <v>232</v>
      </c>
      <c r="B71" s="3" t="s">
        <v>15</v>
      </c>
      <c r="C71" s="3" t="s">
        <v>16</v>
      </c>
    </row>
    <row r="72" spans="1:3" ht="15.6" x14ac:dyDescent="0.3">
      <c r="A72" s="3" t="s">
        <v>236</v>
      </c>
      <c r="B72" s="3" t="s">
        <v>60</v>
      </c>
      <c r="C72" s="3" t="s">
        <v>25</v>
      </c>
    </row>
    <row r="73" spans="1:3" ht="15.6" x14ac:dyDescent="0.3">
      <c r="A73" s="3" t="s">
        <v>165</v>
      </c>
      <c r="B73" s="3" t="s">
        <v>85</v>
      </c>
      <c r="C73" s="3" t="s">
        <v>25</v>
      </c>
    </row>
    <row r="74" spans="1:3" ht="15.6" x14ac:dyDescent="0.3">
      <c r="A74" s="3" t="s">
        <v>239</v>
      </c>
      <c r="B74" s="3" t="s">
        <v>24</v>
      </c>
      <c r="C74" s="3" t="s">
        <v>25</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952BC-69A5-4338-90A3-2492B6DD3EA7}">
  <sheetPr>
    <tabColor rgb="FFFF0000"/>
  </sheetPr>
  <dimension ref="A1:A2824"/>
  <sheetViews>
    <sheetView workbookViewId="0">
      <selection activeCell="K13" sqref="K13"/>
    </sheetView>
  </sheetViews>
  <sheetFormatPr defaultRowHeight="14.4" x14ac:dyDescent="0.3"/>
  <cols>
    <col min="1" max="1" width="22.88671875" style="5" bestFit="1" customWidth="1"/>
  </cols>
  <sheetData>
    <row r="1" spans="1:1" ht="15.6" x14ac:dyDescent="0.3">
      <c r="A1" s="1" t="s">
        <v>8</v>
      </c>
    </row>
    <row r="2" spans="1:1" ht="15.6" x14ac:dyDescent="0.3">
      <c r="A2" s="3" t="s">
        <v>32</v>
      </c>
    </row>
    <row r="3" spans="1:1" ht="15.6" x14ac:dyDescent="0.3">
      <c r="A3" s="3" t="s">
        <v>17</v>
      </c>
    </row>
    <row r="4" spans="1:1" ht="15.6" x14ac:dyDescent="0.3">
      <c r="A4" s="3" t="s">
        <v>47</v>
      </c>
    </row>
    <row r="5" spans="1:1" ht="15.6" x14ac:dyDescent="0.3">
      <c r="A5" s="3" t="s">
        <v>54</v>
      </c>
    </row>
    <row r="6" spans="1:1" ht="15.6" x14ac:dyDescent="0.3">
      <c r="A6" s="3" t="s">
        <v>68</v>
      </c>
    </row>
    <row r="7" spans="1:1" ht="15.6" x14ac:dyDescent="0.3">
      <c r="A7" s="3" t="s">
        <v>35</v>
      </c>
    </row>
    <row r="8" spans="1:1" ht="15.6" x14ac:dyDescent="0.3">
      <c r="A8" s="3" t="s">
        <v>61</v>
      </c>
    </row>
    <row r="9" spans="1:1" x14ac:dyDescent="0.3">
      <c r="A9"/>
    </row>
    <row r="10" spans="1:1" x14ac:dyDescent="0.3">
      <c r="A10"/>
    </row>
    <row r="11" spans="1:1" x14ac:dyDescent="0.3">
      <c r="A11"/>
    </row>
    <row r="12" spans="1:1" x14ac:dyDescent="0.3">
      <c r="A12"/>
    </row>
    <row r="13" spans="1:1" x14ac:dyDescent="0.3">
      <c r="A13"/>
    </row>
    <row r="14" spans="1:1" x14ac:dyDescent="0.3">
      <c r="A14"/>
    </row>
    <row r="15" spans="1:1" x14ac:dyDescent="0.3">
      <c r="A15"/>
    </row>
    <row r="16" spans="1:1" x14ac:dyDescent="0.3">
      <c r="A16"/>
    </row>
    <row r="17" spans="1:1" x14ac:dyDescent="0.3">
      <c r="A17"/>
    </row>
    <row r="18" spans="1:1" x14ac:dyDescent="0.3">
      <c r="A18"/>
    </row>
    <row r="19" spans="1:1" x14ac:dyDescent="0.3">
      <c r="A19"/>
    </row>
    <row r="20" spans="1:1" x14ac:dyDescent="0.3">
      <c r="A20"/>
    </row>
    <row r="21" spans="1:1" x14ac:dyDescent="0.3">
      <c r="A21"/>
    </row>
    <row r="22" spans="1:1" x14ac:dyDescent="0.3">
      <c r="A22"/>
    </row>
    <row r="23" spans="1:1" x14ac:dyDescent="0.3">
      <c r="A23"/>
    </row>
    <row r="24" spans="1:1" x14ac:dyDescent="0.3">
      <c r="A24"/>
    </row>
    <row r="25" spans="1:1" x14ac:dyDescent="0.3">
      <c r="A25"/>
    </row>
    <row r="26" spans="1:1" x14ac:dyDescent="0.3">
      <c r="A26"/>
    </row>
    <row r="27" spans="1:1" x14ac:dyDescent="0.3">
      <c r="A27"/>
    </row>
    <row r="28" spans="1:1" x14ac:dyDescent="0.3">
      <c r="A28"/>
    </row>
    <row r="29" spans="1:1" x14ac:dyDescent="0.3">
      <c r="A29"/>
    </row>
    <row r="30" spans="1:1" x14ac:dyDescent="0.3">
      <c r="A30"/>
    </row>
    <row r="31" spans="1:1" x14ac:dyDescent="0.3">
      <c r="A31"/>
    </row>
    <row r="32" spans="1:1" x14ac:dyDescent="0.3">
      <c r="A32"/>
    </row>
    <row r="33" spans="1:1" x14ac:dyDescent="0.3">
      <c r="A33"/>
    </row>
    <row r="34" spans="1:1" x14ac:dyDescent="0.3">
      <c r="A34"/>
    </row>
    <row r="35" spans="1:1" x14ac:dyDescent="0.3">
      <c r="A35"/>
    </row>
    <row r="36" spans="1:1" x14ac:dyDescent="0.3">
      <c r="A36"/>
    </row>
    <row r="37" spans="1:1" x14ac:dyDescent="0.3">
      <c r="A37"/>
    </row>
    <row r="38" spans="1:1" x14ac:dyDescent="0.3">
      <c r="A38"/>
    </row>
    <row r="39" spans="1:1" x14ac:dyDescent="0.3">
      <c r="A39"/>
    </row>
    <row r="40" spans="1:1" x14ac:dyDescent="0.3">
      <c r="A40"/>
    </row>
    <row r="41" spans="1:1" x14ac:dyDescent="0.3">
      <c r="A41"/>
    </row>
    <row r="42" spans="1:1" x14ac:dyDescent="0.3">
      <c r="A42"/>
    </row>
    <row r="43" spans="1:1" x14ac:dyDescent="0.3">
      <c r="A43"/>
    </row>
    <row r="44" spans="1:1" x14ac:dyDescent="0.3">
      <c r="A44"/>
    </row>
    <row r="45" spans="1:1" x14ac:dyDescent="0.3">
      <c r="A45"/>
    </row>
    <row r="46" spans="1:1" x14ac:dyDescent="0.3">
      <c r="A46"/>
    </row>
    <row r="47" spans="1:1" x14ac:dyDescent="0.3">
      <c r="A47"/>
    </row>
    <row r="48" spans="1:1" x14ac:dyDescent="0.3">
      <c r="A48"/>
    </row>
    <row r="49" spans="1:1" x14ac:dyDescent="0.3">
      <c r="A49"/>
    </row>
    <row r="50" spans="1:1" x14ac:dyDescent="0.3">
      <c r="A50"/>
    </row>
    <row r="51" spans="1:1" x14ac:dyDescent="0.3">
      <c r="A51"/>
    </row>
    <row r="52" spans="1:1" x14ac:dyDescent="0.3">
      <c r="A52"/>
    </row>
    <row r="53" spans="1:1" x14ac:dyDescent="0.3">
      <c r="A53"/>
    </row>
    <row r="54" spans="1:1" x14ac:dyDescent="0.3">
      <c r="A54"/>
    </row>
    <row r="55" spans="1:1" x14ac:dyDescent="0.3">
      <c r="A55"/>
    </row>
    <row r="56" spans="1:1" x14ac:dyDescent="0.3">
      <c r="A56"/>
    </row>
    <row r="57" spans="1:1" x14ac:dyDescent="0.3">
      <c r="A57"/>
    </row>
    <row r="58" spans="1:1" x14ac:dyDescent="0.3">
      <c r="A58"/>
    </row>
    <row r="59" spans="1:1" x14ac:dyDescent="0.3">
      <c r="A59"/>
    </row>
    <row r="60" spans="1:1" x14ac:dyDescent="0.3">
      <c r="A60"/>
    </row>
    <row r="61" spans="1:1" x14ac:dyDescent="0.3">
      <c r="A61"/>
    </row>
    <row r="62" spans="1:1" x14ac:dyDescent="0.3">
      <c r="A62"/>
    </row>
    <row r="63" spans="1:1" x14ac:dyDescent="0.3">
      <c r="A63"/>
    </row>
    <row r="64" spans="1:1" x14ac:dyDescent="0.3">
      <c r="A64"/>
    </row>
    <row r="65" spans="1:1" x14ac:dyDescent="0.3">
      <c r="A65"/>
    </row>
    <row r="66" spans="1:1" x14ac:dyDescent="0.3">
      <c r="A66"/>
    </row>
    <row r="67" spans="1:1" x14ac:dyDescent="0.3">
      <c r="A67"/>
    </row>
    <row r="68" spans="1:1" x14ac:dyDescent="0.3">
      <c r="A68"/>
    </row>
    <row r="69" spans="1:1" x14ac:dyDescent="0.3">
      <c r="A69"/>
    </row>
    <row r="70" spans="1:1" x14ac:dyDescent="0.3">
      <c r="A70"/>
    </row>
    <row r="71" spans="1:1" x14ac:dyDescent="0.3">
      <c r="A71"/>
    </row>
    <row r="72" spans="1:1" x14ac:dyDescent="0.3">
      <c r="A72"/>
    </row>
    <row r="73" spans="1:1" x14ac:dyDescent="0.3">
      <c r="A73"/>
    </row>
    <row r="74" spans="1:1" x14ac:dyDescent="0.3">
      <c r="A74"/>
    </row>
    <row r="75" spans="1:1" x14ac:dyDescent="0.3">
      <c r="A75"/>
    </row>
    <row r="76" spans="1:1" x14ac:dyDescent="0.3">
      <c r="A76"/>
    </row>
    <row r="77" spans="1:1" x14ac:dyDescent="0.3">
      <c r="A77"/>
    </row>
    <row r="78" spans="1:1" x14ac:dyDescent="0.3">
      <c r="A78"/>
    </row>
    <row r="79" spans="1:1" x14ac:dyDescent="0.3">
      <c r="A79"/>
    </row>
    <row r="80" spans="1:1" x14ac:dyDescent="0.3">
      <c r="A80"/>
    </row>
    <row r="81" spans="1:1" x14ac:dyDescent="0.3">
      <c r="A81"/>
    </row>
    <row r="82" spans="1:1" x14ac:dyDescent="0.3">
      <c r="A82"/>
    </row>
    <row r="83" spans="1:1" x14ac:dyDescent="0.3">
      <c r="A83"/>
    </row>
    <row r="84" spans="1:1" x14ac:dyDescent="0.3">
      <c r="A84"/>
    </row>
    <row r="85" spans="1:1" x14ac:dyDescent="0.3">
      <c r="A85"/>
    </row>
    <row r="86" spans="1:1" x14ac:dyDescent="0.3">
      <c r="A86"/>
    </row>
    <row r="87" spans="1:1" x14ac:dyDescent="0.3">
      <c r="A87"/>
    </row>
    <row r="88" spans="1:1" x14ac:dyDescent="0.3">
      <c r="A88"/>
    </row>
    <row r="89" spans="1:1" x14ac:dyDescent="0.3">
      <c r="A89"/>
    </row>
    <row r="90" spans="1:1" x14ac:dyDescent="0.3">
      <c r="A90"/>
    </row>
    <row r="91" spans="1:1" x14ac:dyDescent="0.3">
      <c r="A91"/>
    </row>
    <row r="92" spans="1:1" x14ac:dyDescent="0.3">
      <c r="A92"/>
    </row>
    <row r="93" spans="1:1" x14ac:dyDescent="0.3">
      <c r="A93"/>
    </row>
    <row r="94" spans="1:1" x14ac:dyDescent="0.3">
      <c r="A94"/>
    </row>
    <row r="95" spans="1:1" x14ac:dyDescent="0.3">
      <c r="A95"/>
    </row>
    <row r="96" spans="1:1" x14ac:dyDescent="0.3">
      <c r="A96"/>
    </row>
    <row r="97" spans="1:1" x14ac:dyDescent="0.3">
      <c r="A97"/>
    </row>
    <row r="98" spans="1:1" x14ac:dyDescent="0.3">
      <c r="A98"/>
    </row>
    <row r="99" spans="1:1" x14ac:dyDescent="0.3">
      <c r="A99"/>
    </row>
    <row r="100" spans="1:1" x14ac:dyDescent="0.3">
      <c r="A100"/>
    </row>
    <row r="101" spans="1:1" x14ac:dyDescent="0.3">
      <c r="A101"/>
    </row>
    <row r="102" spans="1:1" x14ac:dyDescent="0.3">
      <c r="A102"/>
    </row>
    <row r="103" spans="1:1" x14ac:dyDescent="0.3">
      <c r="A103"/>
    </row>
    <row r="104" spans="1:1" x14ac:dyDescent="0.3">
      <c r="A104"/>
    </row>
    <row r="105" spans="1:1" x14ac:dyDescent="0.3">
      <c r="A105"/>
    </row>
    <row r="106" spans="1:1" x14ac:dyDescent="0.3">
      <c r="A106"/>
    </row>
    <row r="107" spans="1:1" x14ac:dyDescent="0.3">
      <c r="A107"/>
    </row>
    <row r="108" spans="1:1" x14ac:dyDescent="0.3">
      <c r="A108"/>
    </row>
    <row r="109" spans="1:1" x14ac:dyDescent="0.3">
      <c r="A109"/>
    </row>
    <row r="110" spans="1:1" x14ac:dyDescent="0.3">
      <c r="A110"/>
    </row>
    <row r="111" spans="1:1" x14ac:dyDescent="0.3">
      <c r="A111"/>
    </row>
    <row r="112" spans="1:1" x14ac:dyDescent="0.3">
      <c r="A112"/>
    </row>
    <row r="113" spans="1:1" x14ac:dyDescent="0.3">
      <c r="A113"/>
    </row>
    <row r="114" spans="1:1" x14ac:dyDescent="0.3">
      <c r="A114"/>
    </row>
    <row r="115" spans="1:1" x14ac:dyDescent="0.3">
      <c r="A115"/>
    </row>
    <row r="116" spans="1:1" x14ac:dyDescent="0.3">
      <c r="A116"/>
    </row>
    <row r="117" spans="1:1" x14ac:dyDescent="0.3">
      <c r="A117"/>
    </row>
    <row r="118" spans="1:1" x14ac:dyDescent="0.3">
      <c r="A118"/>
    </row>
    <row r="119" spans="1:1" x14ac:dyDescent="0.3">
      <c r="A119"/>
    </row>
    <row r="120" spans="1:1" x14ac:dyDescent="0.3">
      <c r="A120"/>
    </row>
    <row r="121" spans="1:1" x14ac:dyDescent="0.3">
      <c r="A121"/>
    </row>
    <row r="122" spans="1:1" x14ac:dyDescent="0.3">
      <c r="A122"/>
    </row>
    <row r="123" spans="1:1" x14ac:dyDescent="0.3">
      <c r="A123"/>
    </row>
    <row r="124" spans="1:1" x14ac:dyDescent="0.3">
      <c r="A124"/>
    </row>
    <row r="125" spans="1:1" x14ac:dyDescent="0.3">
      <c r="A125"/>
    </row>
    <row r="126" spans="1:1" x14ac:dyDescent="0.3">
      <c r="A126"/>
    </row>
    <row r="127" spans="1:1" x14ac:dyDescent="0.3">
      <c r="A127"/>
    </row>
    <row r="128" spans="1:1" x14ac:dyDescent="0.3">
      <c r="A128"/>
    </row>
    <row r="129" spans="1:1" x14ac:dyDescent="0.3">
      <c r="A129"/>
    </row>
    <row r="130" spans="1:1" x14ac:dyDescent="0.3">
      <c r="A130"/>
    </row>
    <row r="131" spans="1:1" x14ac:dyDescent="0.3">
      <c r="A131"/>
    </row>
    <row r="132" spans="1:1" x14ac:dyDescent="0.3">
      <c r="A132"/>
    </row>
    <row r="133" spans="1:1" x14ac:dyDescent="0.3">
      <c r="A133"/>
    </row>
    <row r="134" spans="1:1" x14ac:dyDescent="0.3">
      <c r="A134"/>
    </row>
    <row r="135" spans="1:1" x14ac:dyDescent="0.3">
      <c r="A135"/>
    </row>
    <row r="136" spans="1:1" x14ac:dyDescent="0.3">
      <c r="A136"/>
    </row>
    <row r="137" spans="1:1" x14ac:dyDescent="0.3">
      <c r="A137"/>
    </row>
    <row r="138" spans="1:1" x14ac:dyDescent="0.3">
      <c r="A138"/>
    </row>
    <row r="139" spans="1:1" x14ac:dyDescent="0.3">
      <c r="A139"/>
    </row>
    <row r="140" spans="1:1" x14ac:dyDescent="0.3">
      <c r="A140"/>
    </row>
    <row r="141" spans="1:1" x14ac:dyDescent="0.3">
      <c r="A141"/>
    </row>
    <row r="142" spans="1:1" x14ac:dyDescent="0.3">
      <c r="A142"/>
    </row>
    <row r="143" spans="1:1" x14ac:dyDescent="0.3">
      <c r="A143"/>
    </row>
    <row r="144" spans="1:1" x14ac:dyDescent="0.3">
      <c r="A144"/>
    </row>
    <row r="145" spans="1:1" x14ac:dyDescent="0.3">
      <c r="A145"/>
    </row>
    <row r="146" spans="1:1" x14ac:dyDescent="0.3">
      <c r="A146"/>
    </row>
    <row r="147" spans="1:1" x14ac:dyDescent="0.3">
      <c r="A147"/>
    </row>
    <row r="148" spans="1:1" x14ac:dyDescent="0.3">
      <c r="A148"/>
    </row>
    <row r="149" spans="1:1" x14ac:dyDescent="0.3">
      <c r="A149"/>
    </row>
    <row r="150" spans="1:1" x14ac:dyDescent="0.3">
      <c r="A150"/>
    </row>
    <row r="151" spans="1:1" x14ac:dyDescent="0.3">
      <c r="A151"/>
    </row>
    <row r="152" spans="1:1" x14ac:dyDescent="0.3">
      <c r="A152"/>
    </row>
    <row r="153" spans="1:1" x14ac:dyDescent="0.3">
      <c r="A153"/>
    </row>
    <row r="154" spans="1:1" x14ac:dyDescent="0.3">
      <c r="A154"/>
    </row>
    <row r="155" spans="1:1" x14ac:dyDescent="0.3">
      <c r="A155"/>
    </row>
    <row r="156" spans="1:1" x14ac:dyDescent="0.3">
      <c r="A156"/>
    </row>
    <row r="157" spans="1:1" x14ac:dyDescent="0.3">
      <c r="A157"/>
    </row>
    <row r="158" spans="1:1" x14ac:dyDescent="0.3">
      <c r="A158"/>
    </row>
    <row r="159" spans="1:1" x14ac:dyDescent="0.3">
      <c r="A159"/>
    </row>
    <row r="160" spans="1:1" x14ac:dyDescent="0.3">
      <c r="A160"/>
    </row>
    <row r="161" spans="1:1" x14ac:dyDescent="0.3">
      <c r="A161"/>
    </row>
    <row r="162" spans="1:1" x14ac:dyDescent="0.3">
      <c r="A162"/>
    </row>
    <row r="163" spans="1:1" x14ac:dyDescent="0.3">
      <c r="A163"/>
    </row>
    <row r="164" spans="1:1" x14ac:dyDescent="0.3">
      <c r="A164"/>
    </row>
    <row r="165" spans="1:1" x14ac:dyDescent="0.3">
      <c r="A165"/>
    </row>
    <row r="166" spans="1:1" x14ac:dyDescent="0.3">
      <c r="A166"/>
    </row>
    <row r="167" spans="1:1" x14ac:dyDescent="0.3">
      <c r="A167"/>
    </row>
    <row r="168" spans="1:1" x14ac:dyDescent="0.3">
      <c r="A168"/>
    </row>
    <row r="169" spans="1:1" x14ac:dyDescent="0.3">
      <c r="A169"/>
    </row>
    <row r="170" spans="1:1" x14ac:dyDescent="0.3">
      <c r="A170"/>
    </row>
    <row r="171" spans="1:1" x14ac:dyDescent="0.3">
      <c r="A171"/>
    </row>
    <row r="172" spans="1:1" x14ac:dyDescent="0.3">
      <c r="A172"/>
    </row>
    <row r="173" spans="1:1" x14ac:dyDescent="0.3">
      <c r="A173"/>
    </row>
    <row r="174" spans="1:1" x14ac:dyDescent="0.3">
      <c r="A174"/>
    </row>
    <row r="175" spans="1:1" x14ac:dyDescent="0.3">
      <c r="A175"/>
    </row>
    <row r="176" spans="1:1" x14ac:dyDescent="0.3">
      <c r="A176"/>
    </row>
    <row r="177" spans="1:1" x14ac:dyDescent="0.3">
      <c r="A177"/>
    </row>
    <row r="178" spans="1:1" x14ac:dyDescent="0.3">
      <c r="A178"/>
    </row>
    <row r="179" spans="1:1" x14ac:dyDescent="0.3">
      <c r="A179"/>
    </row>
    <row r="180" spans="1:1" x14ac:dyDescent="0.3">
      <c r="A180"/>
    </row>
    <row r="181" spans="1:1" x14ac:dyDescent="0.3">
      <c r="A181"/>
    </row>
    <row r="182" spans="1:1" x14ac:dyDescent="0.3">
      <c r="A182"/>
    </row>
    <row r="183" spans="1:1" x14ac:dyDescent="0.3">
      <c r="A183"/>
    </row>
    <row r="184" spans="1:1" x14ac:dyDescent="0.3">
      <c r="A184"/>
    </row>
    <row r="185" spans="1:1" x14ac:dyDescent="0.3">
      <c r="A185"/>
    </row>
    <row r="186" spans="1:1" x14ac:dyDescent="0.3">
      <c r="A186"/>
    </row>
    <row r="187" spans="1:1" x14ac:dyDescent="0.3">
      <c r="A187"/>
    </row>
    <row r="188" spans="1:1" x14ac:dyDescent="0.3">
      <c r="A188"/>
    </row>
    <row r="189" spans="1:1" x14ac:dyDescent="0.3">
      <c r="A189"/>
    </row>
    <row r="190" spans="1:1" x14ac:dyDescent="0.3">
      <c r="A190"/>
    </row>
    <row r="191" spans="1:1" x14ac:dyDescent="0.3">
      <c r="A191"/>
    </row>
    <row r="192" spans="1:1" x14ac:dyDescent="0.3">
      <c r="A192"/>
    </row>
    <row r="193" spans="1:1" x14ac:dyDescent="0.3">
      <c r="A193"/>
    </row>
    <row r="194" spans="1:1" x14ac:dyDescent="0.3">
      <c r="A194"/>
    </row>
    <row r="195" spans="1:1" x14ac:dyDescent="0.3">
      <c r="A195"/>
    </row>
    <row r="196" spans="1:1" x14ac:dyDescent="0.3">
      <c r="A196"/>
    </row>
    <row r="197" spans="1:1" x14ac:dyDescent="0.3">
      <c r="A197"/>
    </row>
    <row r="198" spans="1:1" x14ac:dyDescent="0.3">
      <c r="A198"/>
    </row>
    <row r="199" spans="1:1" x14ac:dyDescent="0.3">
      <c r="A199"/>
    </row>
    <row r="200" spans="1:1" x14ac:dyDescent="0.3">
      <c r="A200"/>
    </row>
    <row r="201" spans="1:1" x14ac:dyDescent="0.3">
      <c r="A201"/>
    </row>
    <row r="202" spans="1:1" x14ac:dyDescent="0.3">
      <c r="A202"/>
    </row>
    <row r="203" spans="1:1" x14ac:dyDescent="0.3">
      <c r="A203"/>
    </row>
    <row r="204" spans="1:1" x14ac:dyDescent="0.3">
      <c r="A204"/>
    </row>
    <row r="205" spans="1:1" x14ac:dyDescent="0.3">
      <c r="A205"/>
    </row>
    <row r="206" spans="1:1" x14ac:dyDescent="0.3">
      <c r="A206"/>
    </row>
    <row r="207" spans="1:1" x14ac:dyDescent="0.3">
      <c r="A207"/>
    </row>
    <row r="208" spans="1:1" x14ac:dyDescent="0.3">
      <c r="A208"/>
    </row>
    <row r="209" spans="1:1" x14ac:dyDescent="0.3">
      <c r="A209"/>
    </row>
    <row r="210" spans="1:1" x14ac:dyDescent="0.3">
      <c r="A210"/>
    </row>
    <row r="211" spans="1:1" x14ac:dyDescent="0.3">
      <c r="A211"/>
    </row>
    <row r="212" spans="1:1" x14ac:dyDescent="0.3">
      <c r="A212"/>
    </row>
    <row r="213" spans="1:1" x14ac:dyDescent="0.3">
      <c r="A213"/>
    </row>
    <row r="214" spans="1:1" x14ac:dyDescent="0.3">
      <c r="A214"/>
    </row>
    <row r="215" spans="1:1" x14ac:dyDescent="0.3">
      <c r="A215"/>
    </row>
    <row r="216" spans="1:1" x14ac:dyDescent="0.3">
      <c r="A216"/>
    </row>
    <row r="217" spans="1:1" x14ac:dyDescent="0.3">
      <c r="A217"/>
    </row>
    <row r="218" spans="1:1" x14ac:dyDescent="0.3">
      <c r="A218"/>
    </row>
    <row r="219" spans="1:1" x14ac:dyDescent="0.3">
      <c r="A219"/>
    </row>
    <row r="220" spans="1:1" x14ac:dyDescent="0.3">
      <c r="A220"/>
    </row>
    <row r="221" spans="1:1" x14ac:dyDescent="0.3">
      <c r="A221"/>
    </row>
    <row r="222" spans="1:1" x14ac:dyDescent="0.3">
      <c r="A222"/>
    </row>
    <row r="223" spans="1:1" x14ac:dyDescent="0.3">
      <c r="A223"/>
    </row>
    <row r="224" spans="1:1" x14ac:dyDescent="0.3">
      <c r="A224"/>
    </row>
    <row r="225" spans="1:1" x14ac:dyDescent="0.3">
      <c r="A225"/>
    </row>
    <row r="226" spans="1:1" x14ac:dyDescent="0.3">
      <c r="A226"/>
    </row>
    <row r="227" spans="1:1" x14ac:dyDescent="0.3">
      <c r="A227"/>
    </row>
    <row r="228" spans="1:1" x14ac:dyDescent="0.3">
      <c r="A228"/>
    </row>
    <row r="229" spans="1:1" x14ac:dyDescent="0.3">
      <c r="A229"/>
    </row>
    <row r="230" spans="1:1" x14ac:dyDescent="0.3">
      <c r="A230"/>
    </row>
    <row r="231" spans="1:1" x14ac:dyDescent="0.3">
      <c r="A231"/>
    </row>
    <row r="232" spans="1:1" x14ac:dyDescent="0.3">
      <c r="A232"/>
    </row>
    <row r="233" spans="1:1" x14ac:dyDescent="0.3">
      <c r="A233"/>
    </row>
    <row r="234" spans="1:1" x14ac:dyDescent="0.3">
      <c r="A234"/>
    </row>
    <row r="235" spans="1:1" x14ac:dyDescent="0.3">
      <c r="A235"/>
    </row>
    <row r="236" spans="1:1" x14ac:dyDescent="0.3">
      <c r="A236"/>
    </row>
    <row r="237" spans="1:1" x14ac:dyDescent="0.3">
      <c r="A237"/>
    </row>
    <row r="238" spans="1:1" x14ac:dyDescent="0.3">
      <c r="A238"/>
    </row>
    <row r="239" spans="1:1" x14ac:dyDescent="0.3">
      <c r="A239"/>
    </row>
    <row r="240" spans="1:1" x14ac:dyDescent="0.3">
      <c r="A240"/>
    </row>
    <row r="241" spans="1:1" x14ac:dyDescent="0.3">
      <c r="A241"/>
    </row>
    <row r="242" spans="1:1" x14ac:dyDescent="0.3">
      <c r="A242"/>
    </row>
    <row r="243" spans="1:1" x14ac:dyDescent="0.3">
      <c r="A243"/>
    </row>
    <row r="244" spans="1:1" x14ac:dyDescent="0.3">
      <c r="A244"/>
    </row>
    <row r="245" spans="1:1" x14ac:dyDescent="0.3">
      <c r="A245"/>
    </row>
    <row r="246" spans="1:1" x14ac:dyDescent="0.3">
      <c r="A246"/>
    </row>
    <row r="247" spans="1:1" x14ac:dyDescent="0.3">
      <c r="A247"/>
    </row>
    <row r="248" spans="1:1" x14ac:dyDescent="0.3">
      <c r="A248"/>
    </row>
    <row r="249" spans="1:1" x14ac:dyDescent="0.3">
      <c r="A249"/>
    </row>
    <row r="250" spans="1:1" x14ac:dyDescent="0.3">
      <c r="A250"/>
    </row>
    <row r="251" spans="1:1" x14ac:dyDescent="0.3">
      <c r="A251"/>
    </row>
    <row r="252" spans="1:1" x14ac:dyDescent="0.3">
      <c r="A252"/>
    </row>
    <row r="253" spans="1:1" x14ac:dyDescent="0.3">
      <c r="A253"/>
    </row>
    <row r="254" spans="1:1" x14ac:dyDescent="0.3">
      <c r="A254"/>
    </row>
    <row r="255" spans="1:1" x14ac:dyDescent="0.3">
      <c r="A255"/>
    </row>
    <row r="256" spans="1:1" x14ac:dyDescent="0.3">
      <c r="A256"/>
    </row>
    <row r="257" spans="1:1" x14ac:dyDescent="0.3">
      <c r="A257"/>
    </row>
    <row r="258" spans="1:1" x14ac:dyDescent="0.3">
      <c r="A258"/>
    </row>
    <row r="259" spans="1:1" x14ac:dyDescent="0.3">
      <c r="A259"/>
    </row>
    <row r="260" spans="1:1" x14ac:dyDescent="0.3">
      <c r="A260"/>
    </row>
    <row r="261" spans="1:1" x14ac:dyDescent="0.3">
      <c r="A261"/>
    </row>
    <row r="262" spans="1:1" x14ac:dyDescent="0.3">
      <c r="A262"/>
    </row>
    <row r="263" spans="1:1" x14ac:dyDescent="0.3">
      <c r="A263"/>
    </row>
    <row r="264" spans="1:1" x14ac:dyDescent="0.3">
      <c r="A264"/>
    </row>
    <row r="265" spans="1:1" x14ac:dyDescent="0.3">
      <c r="A265"/>
    </row>
    <row r="266" spans="1:1" x14ac:dyDescent="0.3">
      <c r="A266"/>
    </row>
    <row r="267" spans="1:1" x14ac:dyDescent="0.3">
      <c r="A267"/>
    </row>
    <row r="268" spans="1:1" x14ac:dyDescent="0.3">
      <c r="A268"/>
    </row>
    <row r="269" spans="1:1" x14ac:dyDescent="0.3">
      <c r="A269"/>
    </row>
    <row r="270" spans="1:1" x14ac:dyDescent="0.3">
      <c r="A270"/>
    </row>
    <row r="271" spans="1:1" x14ac:dyDescent="0.3">
      <c r="A271"/>
    </row>
    <row r="272" spans="1:1" x14ac:dyDescent="0.3">
      <c r="A272"/>
    </row>
    <row r="273" spans="1:1" x14ac:dyDescent="0.3">
      <c r="A273"/>
    </row>
    <row r="274" spans="1:1" x14ac:dyDescent="0.3">
      <c r="A274"/>
    </row>
    <row r="275" spans="1:1" x14ac:dyDescent="0.3">
      <c r="A275"/>
    </row>
    <row r="276" spans="1:1" x14ac:dyDescent="0.3">
      <c r="A276"/>
    </row>
    <row r="277" spans="1:1" x14ac:dyDescent="0.3">
      <c r="A277"/>
    </row>
    <row r="278" spans="1:1" x14ac:dyDescent="0.3">
      <c r="A278"/>
    </row>
    <row r="279" spans="1:1" x14ac:dyDescent="0.3">
      <c r="A279"/>
    </row>
    <row r="280" spans="1:1" x14ac:dyDescent="0.3">
      <c r="A280"/>
    </row>
    <row r="281" spans="1:1" x14ac:dyDescent="0.3">
      <c r="A281"/>
    </row>
    <row r="282" spans="1:1" x14ac:dyDescent="0.3">
      <c r="A282"/>
    </row>
    <row r="283" spans="1:1" x14ac:dyDescent="0.3">
      <c r="A283"/>
    </row>
    <row r="284" spans="1:1" x14ac:dyDescent="0.3">
      <c r="A284"/>
    </row>
    <row r="285" spans="1:1" x14ac:dyDescent="0.3">
      <c r="A285"/>
    </row>
    <row r="286" spans="1:1" x14ac:dyDescent="0.3">
      <c r="A286"/>
    </row>
    <row r="287" spans="1:1" x14ac:dyDescent="0.3">
      <c r="A287"/>
    </row>
    <row r="288" spans="1:1" x14ac:dyDescent="0.3">
      <c r="A288"/>
    </row>
    <row r="289" spans="1:1" x14ac:dyDescent="0.3">
      <c r="A289"/>
    </row>
    <row r="290" spans="1:1" x14ac:dyDescent="0.3">
      <c r="A290"/>
    </row>
    <row r="291" spans="1:1" x14ac:dyDescent="0.3">
      <c r="A291"/>
    </row>
    <row r="292" spans="1:1" x14ac:dyDescent="0.3">
      <c r="A292"/>
    </row>
    <row r="293" spans="1:1" x14ac:dyDescent="0.3">
      <c r="A293"/>
    </row>
    <row r="294" spans="1:1" x14ac:dyDescent="0.3">
      <c r="A294"/>
    </row>
    <row r="295" spans="1:1" x14ac:dyDescent="0.3">
      <c r="A295"/>
    </row>
    <row r="296" spans="1:1" x14ac:dyDescent="0.3">
      <c r="A296"/>
    </row>
    <row r="297" spans="1:1" x14ac:dyDescent="0.3">
      <c r="A297"/>
    </row>
    <row r="298" spans="1:1" x14ac:dyDescent="0.3">
      <c r="A298"/>
    </row>
    <row r="299" spans="1:1" x14ac:dyDescent="0.3">
      <c r="A299"/>
    </row>
    <row r="300" spans="1:1" x14ac:dyDescent="0.3">
      <c r="A300"/>
    </row>
    <row r="301" spans="1:1" x14ac:dyDescent="0.3">
      <c r="A301"/>
    </row>
    <row r="302" spans="1:1" x14ac:dyDescent="0.3">
      <c r="A302"/>
    </row>
    <row r="303" spans="1:1" x14ac:dyDescent="0.3">
      <c r="A303"/>
    </row>
    <row r="304" spans="1:1" x14ac:dyDescent="0.3">
      <c r="A304"/>
    </row>
    <row r="305" spans="1:1" x14ac:dyDescent="0.3">
      <c r="A305"/>
    </row>
    <row r="306" spans="1:1" x14ac:dyDescent="0.3">
      <c r="A306"/>
    </row>
    <row r="307" spans="1:1" x14ac:dyDescent="0.3">
      <c r="A307"/>
    </row>
    <row r="308" spans="1:1" x14ac:dyDescent="0.3">
      <c r="A308"/>
    </row>
    <row r="309" spans="1:1" x14ac:dyDescent="0.3">
      <c r="A309"/>
    </row>
    <row r="310" spans="1:1" x14ac:dyDescent="0.3">
      <c r="A310"/>
    </row>
    <row r="311" spans="1:1" x14ac:dyDescent="0.3">
      <c r="A311"/>
    </row>
    <row r="312" spans="1:1" x14ac:dyDescent="0.3">
      <c r="A312"/>
    </row>
    <row r="313" spans="1:1" x14ac:dyDescent="0.3">
      <c r="A313"/>
    </row>
    <row r="314" spans="1:1" x14ac:dyDescent="0.3">
      <c r="A314"/>
    </row>
    <row r="315" spans="1:1" x14ac:dyDescent="0.3">
      <c r="A315"/>
    </row>
    <row r="316" spans="1:1" x14ac:dyDescent="0.3">
      <c r="A316"/>
    </row>
    <row r="317" spans="1:1" x14ac:dyDescent="0.3">
      <c r="A317"/>
    </row>
    <row r="318" spans="1:1" x14ac:dyDescent="0.3">
      <c r="A318"/>
    </row>
    <row r="319" spans="1:1" x14ac:dyDescent="0.3">
      <c r="A319"/>
    </row>
    <row r="320" spans="1:1" x14ac:dyDescent="0.3">
      <c r="A320"/>
    </row>
    <row r="321" spans="1:1" x14ac:dyDescent="0.3">
      <c r="A321"/>
    </row>
    <row r="322" spans="1:1" x14ac:dyDescent="0.3">
      <c r="A322"/>
    </row>
    <row r="323" spans="1:1" x14ac:dyDescent="0.3">
      <c r="A323"/>
    </row>
    <row r="324" spans="1:1" x14ac:dyDescent="0.3">
      <c r="A324"/>
    </row>
    <row r="325" spans="1:1" x14ac:dyDescent="0.3">
      <c r="A325"/>
    </row>
    <row r="326" spans="1:1" x14ac:dyDescent="0.3">
      <c r="A326"/>
    </row>
    <row r="327" spans="1:1" x14ac:dyDescent="0.3">
      <c r="A327"/>
    </row>
    <row r="328" spans="1:1" x14ac:dyDescent="0.3">
      <c r="A328"/>
    </row>
    <row r="329" spans="1:1" x14ac:dyDescent="0.3">
      <c r="A329"/>
    </row>
    <row r="330" spans="1:1" x14ac:dyDescent="0.3">
      <c r="A330"/>
    </row>
    <row r="331" spans="1:1" x14ac:dyDescent="0.3">
      <c r="A331"/>
    </row>
    <row r="332" spans="1:1" x14ac:dyDescent="0.3">
      <c r="A332"/>
    </row>
    <row r="333" spans="1:1" x14ac:dyDescent="0.3">
      <c r="A333"/>
    </row>
    <row r="334" spans="1:1" x14ac:dyDescent="0.3">
      <c r="A334"/>
    </row>
    <row r="335" spans="1:1" x14ac:dyDescent="0.3">
      <c r="A335"/>
    </row>
    <row r="336" spans="1:1" x14ac:dyDescent="0.3">
      <c r="A336"/>
    </row>
    <row r="337" spans="1:1" x14ac:dyDescent="0.3">
      <c r="A337"/>
    </row>
    <row r="338" spans="1:1" x14ac:dyDescent="0.3">
      <c r="A338"/>
    </row>
    <row r="339" spans="1:1" x14ac:dyDescent="0.3">
      <c r="A339"/>
    </row>
    <row r="340" spans="1:1" x14ac:dyDescent="0.3">
      <c r="A340"/>
    </row>
    <row r="341" spans="1:1" x14ac:dyDescent="0.3">
      <c r="A341"/>
    </row>
    <row r="342" spans="1:1" x14ac:dyDescent="0.3">
      <c r="A342"/>
    </row>
    <row r="343" spans="1:1" x14ac:dyDescent="0.3">
      <c r="A343"/>
    </row>
    <row r="344" spans="1:1" x14ac:dyDescent="0.3">
      <c r="A344"/>
    </row>
    <row r="345" spans="1:1" x14ac:dyDescent="0.3">
      <c r="A345"/>
    </row>
    <row r="346" spans="1:1" x14ac:dyDescent="0.3">
      <c r="A346"/>
    </row>
    <row r="347" spans="1:1" x14ac:dyDescent="0.3">
      <c r="A347"/>
    </row>
    <row r="348" spans="1:1" x14ac:dyDescent="0.3">
      <c r="A348"/>
    </row>
    <row r="349" spans="1:1" x14ac:dyDescent="0.3">
      <c r="A349"/>
    </row>
    <row r="350" spans="1:1" x14ac:dyDescent="0.3">
      <c r="A350"/>
    </row>
    <row r="351" spans="1:1" x14ac:dyDescent="0.3">
      <c r="A351"/>
    </row>
    <row r="352" spans="1:1" x14ac:dyDescent="0.3">
      <c r="A352"/>
    </row>
    <row r="353" spans="1:1" x14ac:dyDescent="0.3">
      <c r="A353"/>
    </row>
    <row r="354" spans="1:1" x14ac:dyDescent="0.3">
      <c r="A354"/>
    </row>
    <row r="355" spans="1:1" x14ac:dyDescent="0.3">
      <c r="A355"/>
    </row>
    <row r="356" spans="1:1" x14ac:dyDescent="0.3">
      <c r="A356"/>
    </row>
    <row r="357" spans="1:1" x14ac:dyDescent="0.3">
      <c r="A357"/>
    </row>
    <row r="358" spans="1:1" x14ac:dyDescent="0.3">
      <c r="A358"/>
    </row>
    <row r="359" spans="1:1" x14ac:dyDescent="0.3">
      <c r="A359"/>
    </row>
    <row r="360" spans="1:1" x14ac:dyDescent="0.3">
      <c r="A360"/>
    </row>
    <row r="361" spans="1:1" x14ac:dyDescent="0.3">
      <c r="A361"/>
    </row>
    <row r="362" spans="1:1" x14ac:dyDescent="0.3">
      <c r="A362"/>
    </row>
    <row r="363" spans="1:1" x14ac:dyDescent="0.3">
      <c r="A363"/>
    </row>
    <row r="364" spans="1:1" x14ac:dyDescent="0.3">
      <c r="A364"/>
    </row>
    <row r="365" spans="1:1" x14ac:dyDescent="0.3">
      <c r="A365"/>
    </row>
    <row r="366" spans="1:1" x14ac:dyDescent="0.3">
      <c r="A366"/>
    </row>
    <row r="367" spans="1:1" x14ac:dyDescent="0.3">
      <c r="A367"/>
    </row>
    <row r="368" spans="1:1" x14ac:dyDescent="0.3">
      <c r="A368"/>
    </row>
    <row r="369" spans="1:1" x14ac:dyDescent="0.3">
      <c r="A369"/>
    </row>
    <row r="370" spans="1:1" x14ac:dyDescent="0.3">
      <c r="A370"/>
    </row>
    <row r="371" spans="1:1" x14ac:dyDescent="0.3">
      <c r="A371"/>
    </row>
    <row r="372" spans="1:1" x14ac:dyDescent="0.3">
      <c r="A372"/>
    </row>
    <row r="373" spans="1:1" x14ac:dyDescent="0.3">
      <c r="A373"/>
    </row>
    <row r="374" spans="1:1" x14ac:dyDescent="0.3">
      <c r="A374"/>
    </row>
    <row r="375" spans="1:1" x14ac:dyDescent="0.3">
      <c r="A375"/>
    </row>
    <row r="376" spans="1:1" x14ac:dyDescent="0.3">
      <c r="A376"/>
    </row>
    <row r="377" spans="1:1" x14ac:dyDescent="0.3">
      <c r="A377"/>
    </row>
    <row r="378" spans="1:1" x14ac:dyDescent="0.3">
      <c r="A378"/>
    </row>
    <row r="379" spans="1:1" x14ac:dyDescent="0.3">
      <c r="A379"/>
    </row>
    <row r="380" spans="1:1" x14ac:dyDescent="0.3">
      <c r="A380"/>
    </row>
    <row r="381" spans="1:1" x14ac:dyDescent="0.3">
      <c r="A381"/>
    </row>
    <row r="382" spans="1:1" x14ac:dyDescent="0.3">
      <c r="A382"/>
    </row>
    <row r="383" spans="1:1" x14ac:dyDescent="0.3">
      <c r="A383"/>
    </row>
    <row r="384" spans="1:1" x14ac:dyDescent="0.3">
      <c r="A384"/>
    </row>
    <row r="385" spans="1:1" x14ac:dyDescent="0.3">
      <c r="A385"/>
    </row>
    <row r="386" spans="1:1" x14ac:dyDescent="0.3">
      <c r="A386"/>
    </row>
    <row r="387" spans="1:1" x14ac:dyDescent="0.3">
      <c r="A387"/>
    </row>
    <row r="388" spans="1:1" x14ac:dyDescent="0.3">
      <c r="A388"/>
    </row>
    <row r="389" spans="1:1" x14ac:dyDescent="0.3">
      <c r="A389"/>
    </row>
    <row r="390" spans="1:1" x14ac:dyDescent="0.3">
      <c r="A390"/>
    </row>
    <row r="391" spans="1:1" x14ac:dyDescent="0.3">
      <c r="A391"/>
    </row>
    <row r="392" spans="1:1" x14ac:dyDescent="0.3">
      <c r="A392"/>
    </row>
    <row r="393" spans="1:1" x14ac:dyDescent="0.3">
      <c r="A393"/>
    </row>
    <row r="394" spans="1:1" x14ac:dyDescent="0.3">
      <c r="A394"/>
    </row>
    <row r="395" spans="1:1" x14ac:dyDescent="0.3">
      <c r="A395"/>
    </row>
    <row r="396" spans="1:1" x14ac:dyDescent="0.3">
      <c r="A396"/>
    </row>
    <row r="397" spans="1:1" x14ac:dyDescent="0.3">
      <c r="A397"/>
    </row>
    <row r="398" spans="1:1" x14ac:dyDescent="0.3">
      <c r="A398"/>
    </row>
    <row r="399" spans="1:1" x14ac:dyDescent="0.3">
      <c r="A399"/>
    </row>
    <row r="400" spans="1:1" x14ac:dyDescent="0.3">
      <c r="A400"/>
    </row>
    <row r="401" spans="1:1" x14ac:dyDescent="0.3">
      <c r="A401"/>
    </row>
    <row r="402" spans="1:1" x14ac:dyDescent="0.3">
      <c r="A402"/>
    </row>
    <row r="403" spans="1:1" x14ac:dyDescent="0.3">
      <c r="A403"/>
    </row>
    <row r="404" spans="1:1" x14ac:dyDescent="0.3">
      <c r="A404"/>
    </row>
    <row r="405" spans="1:1" x14ac:dyDescent="0.3">
      <c r="A405"/>
    </row>
    <row r="406" spans="1:1" x14ac:dyDescent="0.3">
      <c r="A406"/>
    </row>
    <row r="407" spans="1:1" x14ac:dyDescent="0.3">
      <c r="A407"/>
    </row>
    <row r="408" spans="1:1" x14ac:dyDescent="0.3">
      <c r="A408"/>
    </row>
    <row r="409" spans="1:1" x14ac:dyDescent="0.3">
      <c r="A409"/>
    </row>
    <row r="410" spans="1:1" x14ac:dyDescent="0.3">
      <c r="A410"/>
    </row>
    <row r="411" spans="1:1" x14ac:dyDescent="0.3">
      <c r="A411"/>
    </row>
    <row r="412" spans="1:1" x14ac:dyDescent="0.3">
      <c r="A412"/>
    </row>
    <row r="413" spans="1:1" x14ac:dyDescent="0.3">
      <c r="A413"/>
    </row>
    <row r="414" spans="1:1" x14ac:dyDescent="0.3">
      <c r="A414"/>
    </row>
    <row r="415" spans="1:1" x14ac:dyDescent="0.3">
      <c r="A415"/>
    </row>
    <row r="416" spans="1:1" x14ac:dyDescent="0.3">
      <c r="A416"/>
    </row>
    <row r="417" spans="1:1" x14ac:dyDescent="0.3">
      <c r="A417"/>
    </row>
    <row r="418" spans="1:1" x14ac:dyDescent="0.3">
      <c r="A418"/>
    </row>
    <row r="419" spans="1:1" x14ac:dyDescent="0.3">
      <c r="A419"/>
    </row>
    <row r="420" spans="1:1" x14ac:dyDescent="0.3">
      <c r="A420"/>
    </row>
    <row r="421" spans="1:1" x14ac:dyDescent="0.3">
      <c r="A421"/>
    </row>
    <row r="422" spans="1:1" x14ac:dyDescent="0.3">
      <c r="A422"/>
    </row>
    <row r="423" spans="1:1" x14ac:dyDescent="0.3">
      <c r="A423"/>
    </row>
    <row r="424" spans="1:1" x14ac:dyDescent="0.3">
      <c r="A424"/>
    </row>
    <row r="425" spans="1:1" x14ac:dyDescent="0.3">
      <c r="A425"/>
    </row>
    <row r="426" spans="1:1" x14ac:dyDescent="0.3">
      <c r="A426"/>
    </row>
    <row r="427" spans="1:1" x14ac:dyDescent="0.3">
      <c r="A427"/>
    </row>
    <row r="428" spans="1:1" x14ac:dyDescent="0.3">
      <c r="A428"/>
    </row>
    <row r="429" spans="1:1" x14ac:dyDescent="0.3">
      <c r="A429"/>
    </row>
    <row r="430" spans="1:1" x14ac:dyDescent="0.3">
      <c r="A430"/>
    </row>
    <row r="431" spans="1:1" x14ac:dyDescent="0.3">
      <c r="A431"/>
    </row>
    <row r="432" spans="1:1" x14ac:dyDescent="0.3">
      <c r="A432"/>
    </row>
    <row r="433" spans="1:1" x14ac:dyDescent="0.3">
      <c r="A433"/>
    </row>
    <row r="434" spans="1:1" x14ac:dyDescent="0.3">
      <c r="A434"/>
    </row>
    <row r="435" spans="1:1" x14ac:dyDescent="0.3">
      <c r="A435"/>
    </row>
    <row r="436" spans="1:1" x14ac:dyDescent="0.3">
      <c r="A436"/>
    </row>
    <row r="437" spans="1:1" x14ac:dyDescent="0.3">
      <c r="A437"/>
    </row>
    <row r="438" spans="1:1" x14ac:dyDescent="0.3">
      <c r="A438"/>
    </row>
    <row r="439" spans="1:1" x14ac:dyDescent="0.3">
      <c r="A439"/>
    </row>
    <row r="440" spans="1:1" x14ac:dyDescent="0.3">
      <c r="A440"/>
    </row>
    <row r="441" spans="1:1" x14ac:dyDescent="0.3">
      <c r="A441"/>
    </row>
    <row r="442" spans="1:1" x14ac:dyDescent="0.3">
      <c r="A442"/>
    </row>
    <row r="443" spans="1:1" x14ac:dyDescent="0.3">
      <c r="A443"/>
    </row>
    <row r="444" spans="1:1" x14ac:dyDescent="0.3">
      <c r="A444"/>
    </row>
    <row r="445" spans="1:1" x14ac:dyDescent="0.3">
      <c r="A445"/>
    </row>
    <row r="446" spans="1:1" x14ac:dyDescent="0.3">
      <c r="A446"/>
    </row>
    <row r="447" spans="1:1" x14ac:dyDescent="0.3">
      <c r="A447"/>
    </row>
    <row r="448" spans="1:1" x14ac:dyDescent="0.3">
      <c r="A448"/>
    </row>
    <row r="449" spans="1:1" x14ac:dyDescent="0.3">
      <c r="A449"/>
    </row>
    <row r="450" spans="1:1" x14ac:dyDescent="0.3">
      <c r="A450"/>
    </row>
    <row r="451" spans="1:1" x14ac:dyDescent="0.3">
      <c r="A451"/>
    </row>
    <row r="452" spans="1:1" x14ac:dyDescent="0.3">
      <c r="A452"/>
    </row>
    <row r="453" spans="1:1" x14ac:dyDescent="0.3">
      <c r="A453"/>
    </row>
    <row r="454" spans="1:1" x14ac:dyDescent="0.3">
      <c r="A454"/>
    </row>
    <row r="455" spans="1:1" x14ac:dyDescent="0.3">
      <c r="A455"/>
    </row>
    <row r="456" spans="1:1" x14ac:dyDescent="0.3">
      <c r="A456"/>
    </row>
    <row r="457" spans="1:1" x14ac:dyDescent="0.3">
      <c r="A457"/>
    </row>
    <row r="458" spans="1:1" x14ac:dyDescent="0.3">
      <c r="A458"/>
    </row>
    <row r="459" spans="1:1" x14ac:dyDescent="0.3">
      <c r="A459"/>
    </row>
    <row r="460" spans="1:1" x14ac:dyDescent="0.3">
      <c r="A460"/>
    </row>
    <row r="461" spans="1:1" x14ac:dyDescent="0.3">
      <c r="A461"/>
    </row>
    <row r="462" spans="1:1" x14ac:dyDescent="0.3">
      <c r="A462"/>
    </row>
    <row r="463" spans="1:1" x14ac:dyDescent="0.3">
      <c r="A463"/>
    </row>
    <row r="464" spans="1:1" x14ac:dyDescent="0.3">
      <c r="A464"/>
    </row>
    <row r="465" spans="1:1" x14ac:dyDescent="0.3">
      <c r="A465"/>
    </row>
    <row r="466" spans="1:1" x14ac:dyDescent="0.3">
      <c r="A466"/>
    </row>
    <row r="467" spans="1:1" x14ac:dyDescent="0.3">
      <c r="A467"/>
    </row>
    <row r="468" spans="1:1" x14ac:dyDescent="0.3">
      <c r="A468"/>
    </row>
    <row r="469" spans="1:1" x14ac:dyDescent="0.3">
      <c r="A469"/>
    </row>
    <row r="470" spans="1:1" x14ac:dyDescent="0.3">
      <c r="A470"/>
    </row>
    <row r="471" spans="1:1" x14ac:dyDescent="0.3">
      <c r="A471"/>
    </row>
    <row r="472" spans="1:1" x14ac:dyDescent="0.3">
      <c r="A472"/>
    </row>
    <row r="473" spans="1:1" x14ac:dyDescent="0.3">
      <c r="A473"/>
    </row>
    <row r="474" spans="1:1" x14ac:dyDescent="0.3">
      <c r="A474"/>
    </row>
    <row r="475" spans="1:1" x14ac:dyDescent="0.3">
      <c r="A475"/>
    </row>
    <row r="476" spans="1:1" x14ac:dyDescent="0.3">
      <c r="A476"/>
    </row>
    <row r="477" spans="1:1" x14ac:dyDescent="0.3">
      <c r="A477"/>
    </row>
    <row r="478" spans="1:1" x14ac:dyDescent="0.3">
      <c r="A478"/>
    </row>
    <row r="479" spans="1:1" x14ac:dyDescent="0.3">
      <c r="A479"/>
    </row>
    <row r="480" spans="1:1" x14ac:dyDescent="0.3">
      <c r="A480"/>
    </row>
    <row r="481" spans="1:1" x14ac:dyDescent="0.3">
      <c r="A481"/>
    </row>
    <row r="482" spans="1:1" x14ac:dyDescent="0.3">
      <c r="A482"/>
    </row>
    <row r="483" spans="1:1" x14ac:dyDescent="0.3">
      <c r="A483"/>
    </row>
    <row r="484" spans="1:1" x14ac:dyDescent="0.3">
      <c r="A484"/>
    </row>
    <row r="485" spans="1:1" x14ac:dyDescent="0.3">
      <c r="A485"/>
    </row>
    <row r="486" spans="1:1" x14ac:dyDescent="0.3">
      <c r="A486"/>
    </row>
    <row r="487" spans="1:1" x14ac:dyDescent="0.3">
      <c r="A487"/>
    </row>
    <row r="488" spans="1:1" x14ac:dyDescent="0.3">
      <c r="A488"/>
    </row>
    <row r="489" spans="1:1" x14ac:dyDescent="0.3">
      <c r="A489"/>
    </row>
    <row r="490" spans="1:1" x14ac:dyDescent="0.3">
      <c r="A490"/>
    </row>
    <row r="491" spans="1:1" x14ac:dyDescent="0.3">
      <c r="A491"/>
    </row>
    <row r="492" spans="1:1" x14ac:dyDescent="0.3">
      <c r="A492"/>
    </row>
    <row r="493" spans="1:1" x14ac:dyDescent="0.3">
      <c r="A493"/>
    </row>
    <row r="494" spans="1:1" x14ac:dyDescent="0.3">
      <c r="A494"/>
    </row>
    <row r="495" spans="1:1" x14ac:dyDescent="0.3">
      <c r="A495"/>
    </row>
    <row r="496" spans="1:1" x14ac:dyDescent="0.3">
      <c r="A496"/>
    </row>
    <row r="497" spans="1:1" x14ac:dyDescent="0.3">
      <c r="A497"/>
    </row>
    <row r="498" spans="1:1" x14ac:dyDescent="0.3">
      <c r="A498"/>
    </row>
    <row r="499" spans="1:1" x14ac:dyDescent="0.3">
      <c r="A499"/>
    </row>
    <row r="500" spans="1:1" x14ac:dyDescent="0.3">
      <c r="A500"/>
    </row>
    <row r="501" spans="1:1" x14ac:dyDescent="0.3">
      <c r="A501"/>
    </row>
    <row r="502" spans="1:1" x14ac:dyDescent="0.3">
      <c r="A502"/>
    </row>
    <row r="503" spans="1:1" x14ac:dyDescent="0.3">
      <c r="A503"/>
    </row>
    <row r="504" spans="1:1" x14ac:dyDescent="0.3">
      <c r="A504"/>
    </row>
    <row r="505" spans="1:1" x14ac:dyDescent="0.3">
      <c r="A505"/>
    </row>
    <row r="506" spans="1:1" x14ac:dyDescent="0.3">
      <c r="A506"/>
    </row>
    <row r="507" spans="1:1" x14ac:dyDescent="0.3">
      <c r="A507"/>
    </row>
    <row r="508" spans="1:1" x14ac:dyDescent="0.3">
      <c r="A508"/>
    </row>
    <row r="509" spans="1:1" x14ac:dyDescent="0.3">
      <c r="A509"/>
    </row>
    <row r="510" spans="1:1" x14ac:dyDescent="0.3">
      <c r="A510"/>
    </row>
    <row r="511" spans="1:1" x14ac:dyDescent="0.3">
      <c r="A511"/>
    </row>
    <row r="512" spans="1:1" x14ac:dyDescent="0.3">
      <c r="A512"/>
    </row>
    <row r="513" spans="1:1" x14ac:dyDescent="0.3">
      <c r="A513"/>
    </row>
    <row r="514" spans="1:1" x14ac:dyDescent="0.3">
      <c r="A514"/>
    </row>
    <row r="515" spans="1:1" x14ac:dyDescent="0.3">
      <c r="A515"/>
    </row>
    <row r="516" spans="1:1" x14ac:dyDescent="0.3">
      <c r="A516"/>
    </row>
    <row r="517" spans="1:1" x14ac:dyDescent="0.3">
      <c r="A517"/>
    </row>
    <row r="518" spans="1:1" x14ac:dyDescent="0.3">
      <c r="A518"/>
    </row>
    <row r="519" spans="1:1" x14ac:dyDescent="0.3">
      <c r="A519"/>
    </row>
    <row r="520" spans="1:1" x14ac:dyDescent="0.3">
      <c r="A520"/>
    </row>
    <row r="521" spans="1:1" x14ac:dyDescent="0.3">
      <c r="A521"/>
    </row>
    <row r="522" spans="1:1" x14ac:dyDescent="0.3">
      <c r="A522"/>
    </row>
    <row r="523" spans="1:1" x14ac:dyDescent="0.3">
      <c r="A523"/>
    </row>
    <row r="524" spans="1:1" x14ac:dyDescent="0.3">
      <c r="A524"/>
    </row>
    <row r="525" spans="1:1" x14ac:dyDescent="0.3">
      <c r="A525"/>
    </row>
    <row r="526" spans="1:1" x14ac:dyDescent="0.3">
      <c r="A526"/>
    </row>
    <row r="527" spans="1:1" x14ac:dyDescent="0.3">
      <c r="A527"/>
    </row>
    <row r="528" spans="1:1" x14ac:dyDescent="0.3">
      <c r="A528"/>
    </row>
    <row r="529" spans="1:1" x14ac:dyDescent="0.3">
      <c r="A529"/>
    </row>
    <row r="530" spans="1:1" x14ac:dyDescent="0.3">
      <c r="A530"/>
    </row>
    <row r="531" spans="1:1" x14ac:dyDescent="0.3">
      <c r="A531"/>
    </row>
    <row r="532" spans="1:1" x14ac:dyDescent="0.3">
      <c r="A532"/>
    </row>
    <row r="533" spans="1:1" x14ac:dyDescent="0.3">
      <c r="A533"/>
    </row>
    <row r="534" spans="1:1" x14ac:dyDescent="0.3">
      <c r="A534"/>
    </row>
    <row r="535" spans="1:1" x14ac:dyDescent="0.3">
      <c r="A535"/>
    </row>
    <row r="536" spans="1:1" x14ac:dyDescent="0.3">
      <c r="A536"/>
    </row>
    <row r="537" spans="1:1" x14ac:dyDescent="0.3">
      <c r="A537"/>
    </row>
    <row r="538" spans="1:1" x14ac:dyDescent="0.3">
      <c r="A538"/>
    </row>
    <row r="539" spans="1:1" x14ac:dyDescent="0.3">
      <c r="A539"/>
    </row>
    <row r="540" spans="1:1" x14ac:dyDescent="0.3">
      <c r="A540"/>
    </row>
    <row r="541" spans="1:1" x14ac:dyDescent="0.3">
      <c r="A541"/>
    </row>
    <row r="542" spans="1:1" x14ac:dyDescent="0.3">
      <c r="A542"/>
    </row>
    <row r="543" spans="1:1" x14ac:dyDescent="0.3">
      <c r="A543"/>
    </row>
    <row r="544" spans="1:1" x14ac:dyDescent="0.3">
      <c r="A544"/>
    </row>
    <row r="545" spans="1:1" x14ac:dyDescent="0.3">
      <c r="A545"/>
    </row>
    <row r="546" spans="1:1" x14ac:dyDescent="0.3">
      <c r="A546"/>
    </row>
    <row r="547" spans="1:1" x14ac:dyDescent="0.3">
      <c r="A547"/>
    </row>
    <row r="548" spans="1:1" x14ac:dyDescent="0.3">
      <c r="A548"/>
    </row>
    <row r="549" spans="1:1" x14ac:dyDescent="0.3">
      <c r="A549"/>
    </row>
    <row r="550" spans="1:1" x14ac:dyDescent="0.3">
      <c r="A550"/>
    </row>
    <row r="551" spans="1:1" x14ac:dyDescent="0.3">
      <c r="A551"/>
    </row>
    <row r="552" spans="1:1" x14ac:dyDescent="0.3">
      <c r="A552"/>
    </row>
    <row r="553" spans="1:1" x14ac:dyDescent="0.3">
      <c r="A553"/>
    </row>
    <row r="554" spans="1:1" x14ac:dyDescent="0.3">
      <c r="A554"/>
    </row>
    <row r="555" spans="1:1" x14ac:dyDescent="0.3">
      <c r="A555"/>
    </row>
    <row r="556" spans="1:1" x14ac:dyDescent="0.3">
      <c r="A556"/>
    </row>
    <row r="557" spans="1:1" x14ac:dyDescent="0.3">
      <c r="A557"/>
    </row>
    <row r="558" spans="1:1" x14ac:dyDescent="0.3">
      <c r="A558"/>
    </row>
    <row r="559" spans="1:1" x14ac:dyDescent="0.3">
      <c r="A559"/>
    </row>
    <row r="560" spans="1:1" x14ac:dyDescent="0.3">
      <c r="A560"/>
    </row>
    <row r="561" spans="1:1" x14ac:dyDescent="0.3">
      <c r="A561"/>
    </row>
    <row r="562" spans="1:1" x14ac:dyDescent="0.3">
      <c r="A562"/>
    </row>
    <row r="563" spans="1:1" x14ac:dyDescent="0.3">
      <c r="A563"/>
    </row>
    <row r="564" spans="1:1" x14ac:dyDescent="0.3">
      <c r="A564"/>
    </row>
    <row r="565" spans="1:1" x14ac:dyDescent="0.3">
      <c r="A565"/>
    </row>
    <row r="566" spans="1:1" x14ac:dyDescent="0.3">
      <c r="A566"/>
    </row>
    <row r="567" spans="1:1" x14ac:dyDescent="0.3">
      <c r="A567"/>
    </row>
    <row r="568" spans="1:1" x14ac:dyDescent="0.3">
      <c r="A568"/>
    </row>
    <row r="569" spans="1:1" x14ac:dyDescent="0.3">
      <c r="A569"/>
    </row>
    <row r="570" spans="1:1" x14ac:dyDescent="0.3">
      <c r="A570"/>
    </row>
    <row r="571" spans="1:1" x14ac:dyDescent="0.3">
      <c r="A571"/>
    </row>
    <row r="572" spans="1:1" x14ac:dyDescent="0.3">
      <c r="A572"/>
    </row>
    <row r="573" spans="1:1" x14ac:dyDescent="0.3">
      <c r="A573"/>
    </row>
    <row r="574" spans="1:1" x14ac:dyDescent="0.3">
      <c r="A574"/>
    </row>
    <row r="575" spans="1:1" x14ac:dyDescent="0.3">
      <c r="A575"/>
    </row>
    <row r="576" spans="1:1" x14ac:dyDescent="0.3">
      <c r="A576"/>
    </row>
    <row r="577" spans="1:1" x14ac:dyDescent="0.3">
      <c r="A577"/>
    </row>
    <row r="578" spans="1:1" x14ac:dyDescent="0.3">
      <c r="A578"/>
    </row>
    <row r="579" spans="1:1" x14ac:dyDescent="0.3">
      <c r="A579"/>
    </row>
    <row r="580" spans="1:1" x14ac:dyDescent="0.3">
      <c r="A580"/>
    </row>
    <row r="581" spans="1:1" x14ac:dyDescent="0.3">
      <c r="A581"/>
    </row>
    <row r="582" spans="1:1" x14ac:dyDescent="0.3">
      <c r="A582"/>
    </row>
    <row r="583" spans="1:1" x14ac:dyDescent="0.3">
      <c r="A583"/>
    </row>
    <row r="584" spans="1:1" x14ac:dyDescent="0.3">
      <c r="A584"/>
    </row>
    <row r="585" spans="1:1" x14ac:dyDescent="0.3">
      <c r="A585"/>
    </row>
    <row r="586" spans="1:1" x14ac:dyDescent="0.3">
      <c r="A586"/>
    </row>
    <row r="587" spans="1:1" x14ac:dyDescent="0.3">
      <c r="A587"/>
    </row>
    <row r="588" spans="1:1" x14ac:dyDescent="0.3">
      <c r="A588"/>
    </row>
    <row r="589" spans="1:1" x14ac:dyDescent="0.3">
      <c r="A589"/>
    </row>
    <row r="590" spans="1:1" x14ac:dyDescent="0.3">
      <c r="A590"/>
    </row>
    <row r="591" spans="1:1" x14ac:dyDescent="0.3">
      <c r="A591"/>
    </row>
    <row r="592" spans="1:1" x14ac:dyDescent="0.3">
      <c r="A592"/>
    </row>
    <row r="593" spans="1:1" x14ac:dyDescent="0.3">
      <c r="A593"/>
    </row>
    <row r="594" spans="1:1" x14ac:dyDescent="0.3">
      <c r="A594"/>
    </row>
    <row r="595" spans="1:1" x14ac:dyDescent="0.3">
      <c r="A595"/>
    </row>
    <row r="596" spans="1:1" x14ac:dyDescent="0.3">
      <c r="A596"/>
    </row>
    <row r="597" spans="1:1" x14ac:dyDescent="0.3">
      <c r="A597"/>
    </row>
    <row r="598" spans="1:1" x14ac:dyDescent="0.3">
      <c r="A598"/>
    </row>
    <row r="599" spans="1:1" x14ac:dyDescent="0.3">
      <c r="A599"/>
    </row>
    <row r="600" spans="1:1" x14ac:dyDescent="0.3">
      <c r="A600"/>
    </row>
    <row r="601" spans="1:1" x14ac:dyDescent="0.3">
      <c r="A601"/>
    </row>
    <row r="602" spans="1:1" x14ac:dyDescent="0.3">
      <c r="A602"/>
    </row>
    <row r="603" spans="1:1" x14ac:dyDescent="0.3">
      <c r="A603"/>
    </row>
    <row r="604" spans="1:1" x14ac:dyDescent="0.3">
      <c r="A604"/>
    </row>
    <row r="605" spans="1:1" x14ac:dyDescent="0.3">
      <c r="A605"/>
    </row>
    <row r="606" spans="1:1" x14ac:dyDescent="0.3">
      <c r="A606"/>
    </row>
    <row r="607" spans="1:1" x14ac:dyDescent="0.3">
      <c r="A607"/>
    </row>
    <row r="608" spans="1:1" x14ac:dyDescent="0.3">
      <c r="A608"/>
    </row>
    <row r="609" spans="1:1" x14ac:dyDescent="0.3">
      <c r="A609"/>
    </row>
    <row r="610" spans="1:1" x14ac:dyDescent="0.3">
      <c r="A610"/>
    </row>
    <row r="611" spans="1:1" x14ac:dyDescent="0.3">
      <c r="A611"/>
    </row>
    <row r="612" spans="1:1" x14ac:dyDescent="0.3">
      <c r="A612"/>
    </row>
    <row r="613" spans="1:1" x14ac:dyDescent="0.3">
      <c r="A613"/>
    </row>
    <row r="614" spans="1:1" x14ac:dyDescent="0.3">
      <c r="A614"/>
    </row>
    <row r="615" spans="1:1" x14ac:dyDescent="0.3">
      <c r="A615"/>
    </row>
    <row r="616" spans="1:1" x14ac:dyDescent="0.3">
      <c r="A616"/>
    </row>
    <row r="617" spans="1:1" x14ac:dyDescent="0.3">
      <c r="A617"/>
    </row>
    <row r="618" spans="1:1" x14ac:dyDescent="0.3">
      <c r="A618"/>
    </row>
    <row r="619" spans="1:1" x14ac:dyDescent="0.3">
      <c r="A619"/>
    </row>
    <row r="620" spans="1:1" x14ac:dyDescent="0.3">
      <c r="A620"/>
    </row>
    <row r="621" spans="1:1" x14ac:dyDescent="0.3">
      <c r="A621"/>
    </row>
    <row r="622" spans="1:1" x14ac:dyDescent="0.3">
      <c r="A622"/>
    </row>
    <row r="623" spans="1:1" x14ac:dyDescent="0.3">
      <c r="A623"/>
    </row>
    <row r="624" spans="1:1" x14ac:dyDescent="0.3">
      <c r="A624"/>
    </row>
    <row r="625" spans="1:1" x14ac:dyDescent="0.3">
      <c r="A625"/>
    </row>
    <row r="626" spans="1:1" x14ac:dyDescent="0.3">
      <c r="A626"/>
    </row>
    <row r="627" spans="1:1" x14ac:dyDescent="0.3">
      <c r="A627"/>
    </row>
    <row r="628" spans="1:1" x14ac:dyDescent="0.3">
      <c r="A628"/>
    </row>
    <row r="629" spans="1:1" x14ac:dyDescent="0.3">
      <c r="A629"/>
    </row>
    <row r="630" spans="1:1" x14ac:dyDescent="0.3">
      <c r="A630"/>
    </row>
    <row r="631" spans="1:1" x14ac:dyDescent="0.3">
      <c r="A631"/>
    </row>
    <row r="632" spans="1:1" x14ac:dyDescent="0.3">
      <c r="A632"/>
    </row>
    <row r="633" spans="1:1" x14ac:dyDescent="0.3">
      <c r="A633"/>
    </row>
    <row r="634" spans="1:1" x14ac:dyDescent="0.3">
      <c r="A634"/>
    </row>
    <row r="635" spans="1:1" x14ac:dyDescent="0.3">
      <c r="A635"/>
    </row>
    <row r="636" spans="1:1" x14ac:dyDescent="0.3">
      <c r="A636"/>
    </row>
    <row r="637" spans="1:1" x14ac:dyDescent="0.3">
      <c r="A637"/>
    </row>
    <row r="638" spans="1:1" x14ac:dyDescent="0.3">
      <c r="A638"/>
    </row>
    <row r="639" spans="1:1" x14ac:dyDescent="0.3">
      <c r="A639"/>
    </row>
    <row r="640" spans="1:1" x14ac:dyDescent="0.3">
      <c r="A640"/>
    </row>
    <row r="641" spans="1:1" x14ac:dyDescent="0.3">
      <c r="A641"/>
    </row>
    <row r="642" spans="1:1" x14ac:dyDescent="0.3">
      <c r="A642"/>
    </row>
    <row r="643" spans="1:1" x14ac:dyDescent="0.3">
      <c r="A643"/>
    </row>
    <row r="644" spans="1:1" x14ac:dyDescent="0.3">
      <c r="A644"/>
    </row>
    <row r="645" spans="1:1" x14ac:dyDescent="0.3">
      <c r="A645"/>
    </row>
    <row r="646" spans="1:1" x14ac:dyDescent="0.3">
      <c r="A646"/>
    </row>
    <row r="647" spans="1:1" x14ac:dyDescent="0.3">
      <c r="A647"/>
    </row>
    <row r="648" spans="1:1" x14ac:dyDescent="0.3">
      <c r="A648"/>
    </row>
    <row r="649" spans="1:1" x14ac:dyDescent="0.3">
      <c r="A649"/>
    </row>
    <row r="650" spans="1:1" x14ac:dyDescent="0.3">
      <c r="A650"/>
    </row>
    <row r="651" spans="1:1" x14ac:dyDescent="0.3">
      <c r="A651"/>
    </row>
    <row r="652" spans="1:1" x14ac:dyDescent="0.3">
      <c r="A652"/>
    </row>
    <row r="653" spans="1:1" x14ac:dyDescent="0.3">
      <c r="A653"/>
    </row>
    <row r="654" spans="1:1" x14ac:dyDescent="0.3">
      <c r="A654"/>
    </row>
    <row r="655" spans="1:1" x14ac:dyDescent="0.3">
      <c r="A655"/>
    </row>
    <row r="656" spans="1:1" x14ac:dyDescent="0.3">
      <c r="A656"/>
    </row>
    <row r="657" spans="1:1" x14ac:dyDescent="0.3">
      <c r="A657"/>
    </row>
    <row r="658" spans="1:1" x14ac:dyDescent="0.3">
      <c r="A658"/>
    </row>
    <row r="659" spans="1:1" x14ac:dyDescent="0.3">
      <c r="A659"/>
    </row>
    <row r="660" spans="1:1" x14ac:dyDescent="0.3">
      <c r="A660"/>
    </row>
    <row r="661" spans="1:1" x14ac:dyDescent="0.3">
      <c r="A661"/>
    </row>
    <row r="662" spans="1:1" x14ac:dyDescent="0.3">
      <c r="A662"/>
    </row>
    <row r="663" spans="1:1" x14ac:dyDescent="0.3">
      <c r="A663"/>
    </row>
    <row r="664" spans="1:1" x14ac:dyDescent="0.3">
      <c r="A664"/>
    </row>
    <row r="665" spans="1:1" x14ac:dyDescent="0.3">
      <c r="A665"/>
    </row>
    <row r="666" spans="1:1" x14ac:dyDescent="0.3">
      <c r="A666"/>
    </row>
    <row r="667" spans="1:1" x14ac:dyDescent="0.3">
      <c r="A667"/>
    </row>
    <row r="668" spans="1:1" x14ac:dyDescent="0.3">
      <c r="A668"/>
    </row>
    <row r="669" spans="1:1" x14ac:dyDescent="0.3">
      <c r="A669"/>
    </row>
    <row r="670" spans="1:1" x14ac:dyDescent="0.3">
      <c r="A670"/>
    </row>
    <row r="671" spans="1:1" x14ac:dyDescent="0.3">
      <c r="A671"/>
    </row>
    <row r="672" spans="1:1" x14ac:dyDescent="0.3">
      <c r="A672"/>
    </row>
    <row r="673" spans="1:1" x14ac:dyDescent="0.3">
      <c r="A673"/>
    </row>
    <row r="674" spans="1:1" x14ac:dyDescent="0.3">
      <c r="A674"/>
    </row>
    <row r="675" spans="1:1" x14ac:dyDescent="0.3">
      <c r="A675"/>
    </row>
    <row r="676" spans="1:1" x14ac:dyDescent="0.3">
      <c r="A676"/>
    </row>
    <row r="677" spans="1:1" x14ac:dyDescent="0.3">
      <c r="A677"/>
    </row>
    <row r="678" spans="1:1" x14ac:dyDescent="0.3">
      <c r="A678"/>
    </row>
    <row r="679" spans="1:1" x14ac:dyDescent="0.3">
      <c r="A679"/>
    </row>
    <row r="680" spans="1:1" x14ac:dyDescent="0.3">
      <c r="A680"/>
    </row>
    <row r="681" spans="1:1" x14ac:dyDescent="0.3">
      <c r="A681"/>
    </row>
    <row r="682" spans="1:1" x14ac:dyDescent="0.3">
      <c r="A682"/>
    </row>
    <row r="683" spans="1:1" x14ac:dyDescent="0.3">
      <c r="A683"/>
    </row>
    <row r="684" spans="1:1" x14ac:dyDescent="0.3">
      <c r="A684"/>
    </row>
    <row r="685" spans="1:1" x14ac:dyDescent="0.3">
      <c r="A685"/>
    </row>
    <row r="686" spans="1:1" x14ac:dyDescent="0.3">
      <c r="A686"/>
    </row>
    <row r="687" spans="1:1" x14ac:dyDescent="0.3">
      <c r="A687"/>
    </row>
    <row r="688" spans="1:1" x14ac:dyDescent="0.3">
      <c r="A688"/>
    </row>
    <row r="689" spans="1:1" x14ac:dyDescent="0.3">
      <c r="A689"/>
    </row>
    <row r="690" spans="1:1" x14ac:dyDescent="0.3">
      <c r="A690"/>
    </row>
    <row r="691" spans="1:1" x14ac:dyDescent="0.3">
      <c r="A691"/>
    </row>
    <row r="692" spans="1:1" x14ac:dyDescent="0.3">
      <c r="A692"/>
    </row>
    <row r="693" spans="1:1" x14ac:dyDescent="0.3">
      <c r="A693"/>
    </row>
    <row r="694" spans="1:1" x14ac:dyDescent="0.3">
      <c r="A694"/>
    </row>
    <row r="695" spans="1:1" x14ac:dyDescent="0.3">
      <c r="A695"/>
    </row>
    <row r="696" spans="1:1" x14ac:dyDescent="0.3">
      <c r="A696"/>
    </row>
    <row r="697" spans="1:1" x14ac:dyDescent="0.3">
      <c r="A697"/>
    </row>
    <row r="698" spans="1:1" x14ac:dyDescent="0.3">
      <c r="A698"/>
    </row>
    <row r="699" spans="1:1" x14ac:dyDescent="0.3">
      <c r="A699"/>
    </row>
    <row r="700" spans="1:1" x14ac:dyDescent="0.3">
      <c r="A700"/>
    </row>
    <row r="701" spans="1:1" x14ac:dyDescent="0.3">
      <c r="A701"/>
    </row>
    <row r="702" spans="1:1" x14ac:dyDescent="0.3">
      <c r="A702"/>
    </row>
    <row r="703" spans="1:1" x14ac:dyDescent="0.3">
      <c r="A703"/>
    </row>
    <row r="704" spans="1:1" x14ac:dyDescent="0.3">
      <c r="A704"/>
    </row>
    <row r="705" spans="1:1" x14ac:dyDescent="0.3">
      <c r="A705"/>
    </row>
    <row r="706" spans="1:1" x14ac:dyDescent="0.3">
      <c r="A706"/>
    </row>
    <row r="707" spans="1:1" x14ac:dyDescent="0.3">
      <c r="A707"/>
    </row>
    <row r="708" spans="1:1" x14ac:dyDescent="0.3">
      <c r="A708"/>
    </row>
    <row r="709" spans="1:1" x14ac:dyDescent="0.3">
      <c r="A709"/>
    </row>
    <row r="710" spans="1:1" x14ac:dyDescent="0.3">
      <c r="A710"/>
    </row>
    <row r="711" spans="1:1" x14ac:dyDescent="0.3">
      <c r="A711"/>
    </row>
    <row r="712" spans="1:1" x14ac:dyDescent="0.3">
      <c r="A712"/>
    </row>
    <row r="713" spans="1:1" x14ac:dyDescent="0.3">
      <c r="A713"/>
    </row>
    <row r="714" spans="1:1" x14ac:dyDescent="0.3">
      <c r="A714"/>
    </row>
    <row r="715" spans="1:1" x14ac:dyDescent="0.3">
      <c r="A715"/>
    </row>
    <row r="716" spans="1:1" x14ac:dyDescent="0.3">
      <c r="A716"/>
    </row>
    <row r="717" spans="1:1" x14ac:dyDescent="0.3">
      <c r="A717"/>
    </row>
    <row r="718" spans="1:1" x14ac:dyDescent="0.3">
      <c r="A718"/>
    </row>
    <row r="719" spans="1:1" x14ac:dyDescent="0.3">
      <c r="A719"/>
    </row>
    <row r="720" spans="1:1" x14ac:dyDescent="0.3">
      <c r="A720"/>
    </row>
    <row r="721" spans="1:1" x14ac:dyDescent="0.3">
      <c r="A721"/>
    </row>
    <row r="722" spans="1:1" x14ac:dyDescent="0.3">
      <c r="A722"/>
    </row>
    <row r="723" spans="1:1" x14ac:dyDescent="0.3">
      <c r="A723"/>
    </row>
    <row r="724" spans="1:1" x14ac:dyDescent="0.3">
      <c r="A724"/>
    </row>
    <row r="725" spans="1:1" x14ac:dyDescent="0.3">
      <c r="A725"/>
    </row>
    <row r="726" spans="1:1" x14ac:dyDescent="0.3">
      <c r="A726"/>
    </row>
    <row r="727" spans="1:1" x14ac:dyDescent="0.3">
      <c r="A727"/>
    </row>
    <row r="728" spans="1:1" x14ac:dyDescent="0.3">
      <c r="A728"/>
    </row>
    <row r="729" spans="1:1" x14ac:dyDescent="0.3">
      <c r="A729"/>
    </row>
    <row r="730" spans="1:1" x14ac:dyDescent="0.3">
      <c r="A730"/>
    </row>
    <row r="731" spans="1:1" x14ac:dyDescent="0.3">
      <c r="A731"/>
    </row>
    <row r="732" spans="1:1" x14ac:dyDescent="0.3">
      <c r="A732"/>
    </row>
    <row r="733" spans="1:1" x14ac:dyDescent="0.3">
      <c r="A733"/>
    </row>
    <row r="734" spans="1:1" x14ac:dyDescent="0.3">
      <c r="A734"/>
    </row>
    <row r="735" spans="1:1" x14ac:dyDescent="0.3">
      <c r="A735"/>
    </row>
    <row r="736" spans="1:1" x14ac:dyDescent="0.3">
      <c r="A736"/>
    </row>
    <row r="737" spans="1:1" x14ac:dyDescent="0.3">
      <c r="A737"/>
    </row>
    <row r="738" spans="1:1" x14ac:dyDescent="0.3">
      <c r="A738"/>
    </row>
    <row r="739" spans="1:1" x14ac:dyDescent="0.3">
      <c r="A739"/>
    </row>
    <row r="740" spans="1:1" x14ac:dyDescent="0.3">
      <c r="A740"/>
    </row>
    <row r="741" spans="1:1" x14ac:dyDescent="0.3">
      <c r="A741"/>
    </row>
    <row r="742" spans="1:1" x14ac:dyDescent="0.3">
      <c r="A742"/>
    </row>
    <row r="743" spans="1:1" x14ac:dyDescent="0.3">
      <c r="A743"/>
    </row>
    <row r="744" spans="1:1" x14ac:dyDescent="0.3">
      <c r="A744"/>
    </row>
    <row r="745" spans="1:1" x14ac:dyDescent="0.3">
      <c r="A745"/>
    </row>
    <row r="746" spans="1:1" x14ac:dyDescent="0.3">
      <c r="A746"/>
    </row>
    <row r="747" spans="1:1" x14ac:dyDescent="0.3">
      <c r="A747"/>
    </row>
    <row r="748" spans="1:1" x14ac:dyDescent="0.3">
      <c r="A748"/>
    </row>
    <row r="749" spans="1:1" x14ac:dyDescent="0.3">
      <c r="A749"/>
    </row>
    <row r="750" spans="1:1" x14ac:dyDescent="0.3">
      <c r="A750"/>
    </row>
    <row r="751" spans="1:1" x14ac:dyDescent="0.3">
      <c r="A751"/>
    </row>
    <row r="752" spans="1:1" x14ac:dyDescent="0.3">
      <c r="A752"/>
    </row>
    <row r="753" spans="1:1" x14ac:dyDescent="0.3">
      <c r="A753"/>
    </row>
    <row r="754" spans="1:1" x14ac:dyDescent="0.3">
      <c r="A754"/>
    </row>
    <row r="755" spans="1:1" x14ac:dyDescent="0.3">
      <c r="A755"/>
    </row>
    <row r="756" spans="1:1" x14ac:dyDescent="0.3">
      <c r="A756"/>
    </row>
    <row r="757" spans="1:1" x14ac:dyDescent="0.3">
      <c r="A757"/>
    </row>
    <row r="758" spans="1:1" x14ac:dyDescent="0.3">
      <c r="A758"/>
    </row>
    <row r="759" spans="1:1" x14ac:dyDescent="0.3">
      <c r="A759"/>
    </row>
    <row r="760" spans="1:1" x14ac:dyDescent="0.3">
      <c r="A760"/>
    </row>
    <row r="761" spans="1:1" x14ac:dyDescent="0.3">
      <c r="A761"/>
    </row>
    <row r="762" spans="1:1" x14ac:dyDescent="0.3">
      <c r="A762"/>
    </row>
    <row r="763" spans="1:1" x14ac:dyDescent="0.3">
      <c r="A763"/>
    </row>
    <row r="764" spans="1:1" x14ac:dyDescent="0.3">
      <c r="A764"/>
    </row>
    <row r="765" spans="1:1" x14ac:dyDescent="0.3">
      <c r="A765"/>
    </row>
    <row r="766" spans="1:1" x14ac:dyDescent="0.3">
      <c r="A766"/>
    </row>
    <row r="767" spans="1:1" x14ac:dyDescent="0.3">
      <c r="A767"/>
    </row>
    <row r="768" spans="1:1" x14ac:dyDescent="0.3">
      <c r="A768"/>
    </row>
    <row r="769" spans="1:1" x14ac:dyDescent="0.3">
      <c r="A769"/>
    </row>
    <row r="770" spans="1:1" x14ac:dyDescent="0.3">
      <c r="A770"/>
    </row>
    <row r="771" spans="1:1" x14ac:dyDescent="0.3">
      <c r="A771"/>
    </row>
    <row r="772" spans="1:1" x14ac:dyDescent="0.3">
      <c r="A772"/>
    </row>
    <row r="773" spans="1:1" x14ac:dyDescent="0.3">
      <c r="A773"/>
    </row>
    <row r="774" spans="1:1" x14ac:dyDescent="0.3">
      <c r="A774"/>
    </row>
    <row r="775" spans="1:1" x14ac:dyDescent="0.3">
      <c r="A775"/>
    </row>
    <row r="776" spans="1:1" x14ac:dyDescent="0.3">
      <c r="A776"/>
    </row>
    <row r="777" spans="1:1" x14ac:dyDescent="0.3">
      <c r="A777"/>
    </row>
    <row r="778" spans="1:1" x14ac:dyDescent="0.3">
      <c r="A778"/>
    </row>
    <row r="779" spans="1:1" x14ac:dyDescent="0.3">
      <c r="A779"/>
    </row>
    <row r="780" spans="1:1" x14ac:dyDescent="0.3">
      <c r="A780"/>
    </row>
    <row r="781" spans="1:1" x14ac:dyDescent="0.3">
      <c r="A781"/>
    </row>
    <row r="782" spans="1:1" x14ac:dyDescent="0.3">
      <c r="A782"/>
    </row>
    <row r="783" spans="1:1" x14ac:dyDescent="0.3">
      <c r="A783"/>
    </row>
    <row r="784" spans="1:1" x14ac:dyDescent="0.3">
      <c r="A784"/>
    </row>
    <row r="785" spans="1:1" x14ac:dyDescent="0.3">
      <c r="A785"/>
    </row>
    <row r="786" spans="1:1" x14ac:dyDescent="0.3">
      <c r="A786"/>
    </row>
    <row r="787" spans="1:1" x14ac:dyDescent="0.3">
      <c r="A787"/>
    </row>
    <row r="788" spans="1:1" x14ac:dyDescent="0.3">
      <c r="A788"/>
    </row>
    <row r="789" spans="1:1" x14ac:dyDescent="0.3">
      <c r="A789"/>
    </row>
    <row r="790" spans="1:1" x14ac:dyDescent="0.3">
      <c r="A790"/>
    </row>
    <row r="791" spans="1:1" x14ac:dyDescent="0.3">
      <c r="A791"/>
    </row>
    <row r="792" spans="1:1" x14ac:dyDescent="0.3">
      <c r="A792"/>
    </row>
    <row r="793" spans="1:1" x14ac:dyDescent="0.3">
      <c r="A793"/>
    </row>
    <row r="794" spans="1:1" x14ac:dyDescent="0.3">
      <c r="A794"/>
    </row>
    <row r="795" spans="1:1" x14ac:dyDescent="0.3">
      <c r="A795"/>
    </row>
    <row r="796" spans="1:1" x14ac:dyDescent="0.3">
      <c r="A796"/>
    </row>
    <row r="797" spans="1:1" x14ac:dyDescent="0.3">
      <c r="A797"/>
    </row>
    <row r="798" spans="1:1" x14ac:dyDescent="0.3">
      <c r="A798"/>
    </row>
    <row r="799" spans="1:1" x14ac:dyDescent="0.3">
      <c r="A799"/>
    </row>
    <row r="800" spans="1:1" x14ac:dyDescent="0.3">
      <c r="A800"/>
    </row>
    <row r="801" spans="1:1" x14ac:dyDescent="0.3">
      <c r="A801"/>
    </row>
    <row r="802" spans="1:1" x14ac:dyDescent="0.3">
      <c r="A802"/>
    </row>
    <row r="803" spans="1:1" x14ac:dyDescent="0.3">
      <c r="A803"/>
    </row>
    <row r="804" spans="1:1" x14ac:dyDescent="0.3">
      <c r="A804"/>
    </row>
    <row r="805" spans="1:1" x14ac:dyDescent="0.3">
      <c r="A805"/>
    </row>
    <row r="806" spans="1:1" x14ac:dyDescent="0.3">
      <c r="A806"/>
    </row>
    <row r="807" spans="1:1" x14ac:dyDescent="0.3">
      <c r="A807"/>
    </row>
    <row r="808" spans="1:1" x14ac:dyDescent="0.3">
      <c r="A808"/>
    </row>
    <row r="809" spans="1:1" x14ac:dyDescent="0.3">
      <c r="A809"/>
    </row>
    <row r="810" spans="1:1" x14ac:dyDescent="0.3">
      <c r="A810"/>
    </row>
    <row r="811" spans="1:1" x14ac:dyDescent="0.3">
      <c r="A811"/>
    </row>
    <row r="812" spans="1:1" x14ac:dyDescent="0.3">
      <c r="A812"/>
    </row>
    <row r="813" spans="1:1" x14ac:dyDescent="0.3">
      <c r="A813"/>
    </row>
    <row r="814" spans="1:1" x14ac:dyDescent="0.3">
      <c r="A814"/>
    </row>
    <row r="815" spans="1:1" x14ac:dyDescent="0.3">
      <c r="A815"/>
    </row>
    <row r="816" spans="1:1" x14ac:dyDescent="0.3">
      <c r="A816"/>
    </row>
    <row r="817" spans="1:1" x14ac:dyDescent="0.3">
      <c r="A817"/>
    </row>
    <row r="818" spans="1:1" x14ac:dyDescent="0.3">
      <c r="A818"/>
    </row>
    <row r="819" spans="1:1" x14ac:dyDescent="0.3">
      <c r="A819"/>
    </row>
    <row r="820" spans="1:1" x14ac:dyDescent="0.3">
      <c r="A820"/>
    </row>
    <row r="821" spans="1:1" x14ac:dyDescent="0.3">
      <c r="A821"/>
    </row>
    <row r="822" spans="1:1" x14ac:dyDescent="0.3">
      <c r="A822"/>
    </row>
    <row r="823" spans="1:1" x14ac:dyDescent="0.3">
      <c r="A823"/>
    </row>
    <row r="824" spans="1:1" x14ac:dyDescent="0.3">
      <c r="A824"/>
    </row>
    <row r="825" spans="1:1" x14ac:dyDescent="0.3">
      <c r="A825"/>
    </row>
    <row r="826" spans="1:1" x14ac:dyDescent="0.3">
      <c r="A826"/>
    </row>
    <row r="827" spans="1:1" x14ac:dyDescent="0.3">
      <c r="A827"/>
    </row>
    <row r="828" spans="1:1" x14ac:dyDescent="0.3">
      <c r="A828"/>
    </row>
    <row r="829" spans="1:1" x14ac:dyDescent="0.3">
      <c r="A829"/>
    </row>
    <row r="830" spans="1:1" x14ac:dyDescent="0.3">
      <c r="A830"/>
    </row>
    <row r="831" spans="1:1" x14ac:dyDescent="0.3">
      <c r="A831"/>
    </row>
    <row r="832" spans="1:1" x14ac:dyDescent="0.3">
      <c r="A832"/>
    </row>
    <row r="833" spans="1:1" x14ac:dyDescent="0.3">
      <c r="A833"/>
    </row>
    <row r="834" spans="1:1" x14ac:dyDescent="0.3">
      <c r="A834"/>
    </row>
    <row r="835" spans="1:1" x14ac:dyDescent="0.3">
      <c r="A835"/>
    </row>
    <row r="836" spans="1:1" x14ac:dyDescent="0.3">
      <c r="A836"/>
    </row>
    <row r="837" spans="1:1" x14ac:dyDescent="0.3">
      <c r="A837"/>
    </row>
    <row r="838" spans="1:1" x14ac:dyDescent="0.3">
      <c r="A838"/>
    </row>
    <row r="839" spans="1:1" x14ac:dyDescent="0.3">
      <c r="A839"/>
    </row>
    <row r="840" spans="1:1" x14ac:dyDescent="0.3">
      <c r="A840"/>
    </row>
    <row r="841" spans="1:1" x14ac:dyDescent="0.3">
      <c r="A841"/>
    </row>
    <row r="842" spans="1:1" x14ac:dyDescent="0.3">
      <c r="A842"/>
    </row>
    <row r="843" spans="1:1" x14ac:dyDescent="0.3">
      <c r="A843"/>
    </row>
    <row r="844" spans="1:1" x14ac:dyDescent="0.3">
      <c r="A844"/>
    </row>
    <row r="845" spans="1:1" x14ac:dyDescent="0.3">
      <c r="A845"/>
    </row>
    <row r="846" spans="1:1" x14ac:dyDescent="0.3">
      <c r="A846"/>
    </row>
    <row r="847" spans="1:1" x14ac:dyDescent="0.3">
      <c r="A847"/>
    </row>
    <row r="848" spans="1:1" x14ac:dyDescent="0.3">
      <c r="A848"/>
    </row>
    <row r="849" spans="1:1" x14ac:dyDescent="0.3">
      <c r="A849"/>
    </row>
    <row r="850" spans="1:1" x14ac:dyDescent="0.3">
      <c r="A850"/>
    </row>
    <row r="851" spans="1:1" x14ac:dyDescent="0.3">
      <c r="A851"/>
    </row>
    <row r="852" spans="1:1" x14ac:dyDescent="0.3">
      <c r="A852"/>
    </row>
    <row r="853" spans="1:1" x14ac:dyDescent="0.3">
      <c r="A853"/>
    </row>
    <row r="854" spans="1:1" x14ac:dyDescent="0.3">
      <c r="A854"/>
    </row>
    <row r="855" spans="1:1" x14ac:dyDescent="0.3">
      <c r="A855"/>
    </row>
    <row r="856" spans="1:1" x14ac:dyDescent="0.3">
      <c r="A856"/>
    </row>
    <row r="857" spans="1:1" x14ac:dyDescent="0.3">
      <c r="A857"/>
    </row>
    <row r="858" spans="1:1" x14ac:dyDescent="0.3">
      <c r="A858"/>
    </row>
    <row r="859" spans="1:1" x14ac:dyDescent="0.3">
      <c r="A859"/>
    </row>
    <row r="860" spans="1:1" x14ac:dyDescent="0.3">
      <c r="A860"/>
    </row>
    <row r="861" spans="1:1" x14ac:dyDescent="0.3">
      <c r="A861"/>
    </row>
    <row r="862" spans="1:1" x14ac:dyDescent="0.3">
      <c r="A862"/>
    </row>
    <row r="863" spans="1:1" x14ac:dyDescent="0.3">
      <c r="A863"/>
    </row>
    <row r="864" spans="1:1" x14ac:dyDescent="0.3">
      <c r="A864"/>
    </row>
    <row r="865" spans="1:1" x14ac:dyDescent="0.3">
      <c r="A865"/>
    </row>
    <row r="866" spans="1:1" x14ac:dyDescent="0.3">
      <c r="A866"/>
    </row>
    <row r="867" spans="1:1" x14ac:dyDescent="0.3">
      <c r="A867"/>
    </row>
    <row r="868" spans="1:1" x14ac:dyDescent="0.3">
      <c r="A868"/>
    </row>
    <row r="869" spans="1:1" x14ac:dyDescent="0.3">
      <c r="A869"/>
    </row>
    <row r="870" spans="1:1" x14ac:dyDescent="0.3">
      <c r="A870"/>
    </row>
    <row r="871" spans="1:1" x14ac:dyDescent="0.3">
      <c r="A871"/>
    </row>
    <row r="872" spans="1:1" x14ac:dyDescent="0.3">
      <c r="A872"/>
    </row>
    <row r="873" spans="1:1" x14ac:dyDescent="0.3">
      <c r="A873"/>
    </row>
    <row r="874" spans="1:1" x14ac:dyDescent="0.3">
      <c r="A874"/>
    </row>
    <row r="875" spans="1:1" x14ac:dyDescent="0.3">
      <c r="A875"/>
    </row>
    <row r="876" spans="1:1" x14ac:dyDescent="0.3">
      <c r="A876"/>
    </row>
    <row r="877" spans="1:1" x14ac:dyDescent="0.3">
      <c r="A877"/>
    </row>
    <row r="878" spans="1:1" x14ac:dyDescent="0.3">
      <c r="A878"/>
    </row>
    <row r="879" spans="1:1" x14ac:dyDescent="0.3">
      <c r="A879"/>
    </row>
    <row r="880" spans="1:1" x14ac:dyDescent="0.3">
      <c r="A880"/>
    </row>
    <row r="881" spans="1:1" x14ac:dyDescent="0.3">
      <c r="A881"/>
    </row>
    <row r="882" spans="1:1" x14ac:dyDescent="0.3">
      <c r="A882"/>
    </row>
    <row r="883" spans="1:1" x14ac:dyDescent="0.3">
      <c r="A883"/>
    </row>
    <row r="884" spans="1:1" x14ac:dyDescent="0.3">
      <c r="A884"/>
    </row>
    <row r="885" spans="1:1" x14ac:dyDescent="0.3">
      <c r="A885"/>
    </row>
    <row r="886" spans="1:1" x14ac:dyDescent="0.3">
      <c r="A886"/>
    </row>
    <row r="887" spans="1:1" x14ac:dyDescent="0.3">
      <c r="A887"/>
    </row>
    <row r="888" spans="1:1" x14ac:dyDescent="0.3">
      <c r="A888"/>
    </row>
    <row r="889" spans="1:1" x14ac:dyDescent="0.3">
      <c r="A889"/>
    </row>
    <row r="890" spans="1:1" x14ac:dyDescent="0.3">
      <c r="A890"/>
    </row>
    <row r="891" spans="1:1" x14ac:dyDescent="0.3">
      <c r="A891"/>
    </row>
    <row r="892" spans="1:1" x14ac:dyDescent="0.3">
      <c r="A892"/>
    </row>
    <row r="893" spans="1:1" x14ac:dyDescent="0.3">
      <c r="A893"/>
    </row>
    <row r="894" spans="1:1" x14ac:dyDescent="0.3">
      <c r="A894"/>
    </row>
    <row r="895" spans="1:1" x14ac:dyDescent="0.3">
      <c r="A895"/>
    </row>
    <row r="896" spans="1:1" x14ac:dyDescent="0.3">
      <c r="A896"/>
    </row>
    <row r="897" spans="1:1" x14ac:dyDescent="0.3">
      <c r="A897"/>
    </row>
    <row r="898" spans="1:1" x14ac:dyDescent="0.3">
      <c r="A898"/>
    </row>
    <row r="899" spans="1:1" x14ac:dyDescent="0.3">
      <c r="A899"/>
    </row>
    <row r="900" spans="1:1" x14ac:dyDescent="0.3">
      <c r="A900"/>
    </row>
    <row r="901" spans="1:1" x14ac:dyDescent="0.3">
      <c r="A901"/>
    </row>
    <row r="902" spans="1:1" x14ac:dyDescent="0.3">
      <c r="A902"/>
    </row>
    <row r="903" spans="1:1" x14ac:dyDescent="0.3">
      <c r="A903"/>
    </row>
    <row r="904" spans="1:1" x14ac:dyDescent="0.3">
      <c r="A904"/>
    </row>
    <row r="905" spans="1:1" x14ac:dyDescent="0.3">
      <c r="A905"/>
    </row>
    <row r="906" spans="1:1" x14ac:dyDescent="0.3">
      <c r="A906"/>
    </row>
    <row r="907" spans="1:1" x14ac:dyDescent="0.3">
      <c r="A907"/>
    </row>
    <row r="908" spans="1:1" x14ac:dyDescent="0.3">
      <c r="A908"/>
    </row>
    <row r="909" spans="1:1" x14ac:dyDescent="0.3">
      <c r="A909"/>
    </row>
    <row r="910" spans="1:1" x14ac:dyDescent="0.3">
      <c r="A910"/>
    </row>
    <row r="911" spans="1:1" x14ac:dyDescent="0.3">
      <c r="A911"/>
    </row>
    <row r="912" spans="1:1" x14ac:dyDescent="0.3">
      <c r="A912"/>
    </row>
    <row r="913" spans="1:1" x14ac:dyDescent="0.3">
      <c r="A913"/>
    </row>
    <row r="914" spans="1:1" x14ac:dyDescent="0.3">
      <c r="A914"/>
    </row>
    <row r="915" spans="1:1" x14ac:dyDescent="0.3">
      <c r="A915"/>
    </row>
    <row r="916" spans="1:1" x14ac:dyDescent="0.3">
      <c r="A916"/>
    </row>
    <row r="917" spans="1:1" x14ac:dyDescent="0.3">
      <c r="A917"/>
    </row>
    <row r="918" spans="1:1" x14ac:dyDescent="0.3">
      <c r="A918"/>
    </row>
    <row r="919" spans="1:1" x14ac:dyDescent="0.3">
      <c r="A919"/>
    </row>
    <row r="920" spans="1:1" x14ac:dyDescent="0.3">
      <c r="A920"/>
    </row>
    <row r="921" spans="1:1" x14ac:dyDescent="0.3">
      <c r="A921"/>
    </row>
    <row r="922" spans="1:1" x14ac:dyDescent="0.3">
      <c r="A922"/>
    </row>
    <row r="923" spans="1:1" x14ac:dyDescent="0.3">
      <c r="A923"/>
    </row>
    <row r="924" spans="1:1" x14ac:dyDescent="0.3">
      <c r="A924"/>
    </row>
    <row r="925" spans="1:1" x14ac:dyDescent="0.3">
      <c r="A925"/>
    </row>
    <row r="926" spans="1:1" x14ac:dyDescent="0.3">
      <c r="A926"/>
    </row>
    <row r="927" spans="1:1" x14ac:dyDescent="0.3">
      <c r="A927"/>
    </row>
    <row r="928" spans="1:1" x14ac:dyDescent="0.3">
      <c r="A928"/>
    </row>
    <row r="929" spans="1:1" x14ac:dyDescent="0.3">
      <c r="A929"/>
    </row>
    <row r="930" spans="1:1" x14ac:dyDescent="0.3">
      <c r="A930"/>
    </row>
    <row r="931" spans="1:1" x14ac:dyDescent="0.3">
      <c r="A931"/>
    </row>
    <row r="932" spans="1:1" x14ac:dyDescent="0.3">
      <c r="A932"/>
    </row>
    <row r="933" spans="1:1" x14ac:dyDescent="0.3">
      <c r="A933"/>
    </row>
    <row r="934" spans="1:1" x14ac:dyDescent="0.3">
      <c r="A934"/>
    </row>
    <row r="935" spans="1:1" x14ac:dyDescent="0.3">
      <c r="A935"/>
    </row>
    <row r="936" spans="1:1" x14ac:dyDescent="0.3">
      <c r="A936"/>
    </row>
    <row r="937" spans="1:1" x14ac:dyDescent="0.3">
      <c r="A937"/>
    </row>
    <row r="938" spans="1:1" x14ac:dyDescent="0.3">
      <c r="A938"/>
    </row>
    <row r="939" spans="1:1" x14ac:dyDescent="0.3">
      <c r="A939"/>
    </row>
    <row r="940" spans="1:1" x14ac:dyDescent="0.3">
      <c r="A940"/>
    </row>
    <row r="941" spans="1:1" x14ac:dyDescent="0.3">
      <c r="A941"/>
    </row>
    <row r="942" spans="1:1" x14ac:dyDescent="0.3">
      <c r="A942"/>
    </row>
    <row r="943" spans="1:1" x14ac:dyDescent="0.3">
      <c r="A943"/>
    </row>
    <row r="944" spans="1:1" x14ac:dyDescent="0.3">
      <c r="A944"/>
    </row>
    <row r="945" spans="1:1" x14ac:dyDescent="0.3">
      <c r="A945"/>
    </row>
    <row r="946" spans="1:1" x14ac:dyDescent="0.3">
      <c r="A946"/>
    </row>
    <row r="947" spans="1:1" x14ac:dyDescent="0.3">
      <c r="A947"/>
    </row>
    <row r="948" spans="1:1" x14ac:dyDescent="0.3">
      <c r="A948"/>
    </row>
    <row r="949" spans="1:1" x14ac:dyDescent="0.3">
      <c r="A949"/>
    </row>
    <row r="950" spans="1:1" x14ac:dyDescent="0.3">
      <c r="A950"/>
    </row>
    <row r="951" spans="1:1" x14ac:dyDescent="0.3">
      <c r="A951"/>
    </row>
    <row r="952" spans="1:1" x14ac:dyDescent="0.3">
      <c r="A952"/>
    </row>
    <row r="953" spans="1:1" x14ac:dyDescent="0.3">
      <c r="A953"/>
    </row>
    <row r="954" spans="1:1" x14ac:dyDescent="0.3">
      <c r="A954"/>
    </row>
    <row r="955" spans="1:1" x14ac:dyDescent="0.3">
      <c r="A955"/>
    </row>
    <row r="956" spans="1:1" x14ac:dyDescent="0.3">
      <c r="A956"/>
    </row>
    <row r="957" spans="1:1" x14ac:dyDescent="0.3">
      <c r="A957"/>
    </row>
    <row r="958" spans="1:1" x14ac:dyDescent="0.3">
      <c r="A958"/>
    </row>
    <row r="959" spans="1:1" x14ac:dyDescent="0.3">
      <c r="A959"/>
    </row>
    <row r="960" spans="1:1" x14ac:dyDescent="0.3">
      <c r="A960"/>
    </row>
    <row r="961" spans="1:1" x14ac:dyDescent="0.3">
      <c r="A961"/>
    </row>
    <row r="962" spans="1:1" x14ac:dyDescent="0.3">
      <c r="A962"/>
    </row>
    <row r="963" spans="1:1" x14ac:dyDescent="0.3">
      <c r="A963"/>
    </row>
    <row r="964" spans="1:1" x14ac:dyDescent="0.3">
      <c r="A964"/>
    </row>
    <row r="965" spans="1:1" x14ac:dyDescent="0.3">
      <c r="A965"/>
    </row>
    <row r="966" spans="1:1" x14ac:dyDescent="0.3">
      <c r="A966"/>
    </row>
    <row r="967" spans="1:1" x14ac:dyDescent="0.3">
      <c r="A967"/>
    </row>
    <row r="968" spans="1:1" x14ac:dyDescent="0.3">
      <c r="A968"/>
    </row>
    <row r="969" spans="1:1" x14ac:dyDescent="0.3">
      <c r="A969"/>
    </row>
    <row r="970" spans="1:1" x14ac:dyDescent="0.3">
      <c r="A970"/>
    </row>
    <row r="971" spans="1:1" x14ac:dyDescent="0.3">
      <c r="A971"/>
    </row>
    <row r="972" spans="1:1" x14ac:dyDescent="0.3">
      <c r="A972"/>
    </row>
    <row r="973" spans="1:1" x14ac:dyDescent="0.3">
      <c r="A973"/>
    </row>
    <row r="974" spans="1:1" x14ac:dyDescent="0.3">
      <c r="A974"/>
    </row>
    <row r="975" spans="1:1" x14ac:dyDescent="0.3">
      <c r="A975"/>
    </row>
    <row r="976" spans="1:1" x14ac:dyDescent="0.3">
      <c r="A976"/>
    </row>
    <row r="977" spans="1:1" x14ac:dyDescent="0.3">
      <c r="A977"/>
    </row>
    <row r="978" spans="1:1" x14ac:dyDescent="0.3">
      <c r="A978"/>
    </row>
    <row r="979" spans="1:1" x14ac:dyDescent="0.3">
      <c r="A979"/>
    </row>
    <row r="980" spans="1:1" x14ac:dyDescent="0.3">
      <c r="A980"/>
    </row>
    <row r="981" spans="1:1" x14ac:dyDescent="0.3">
      <c r="A981"/>
    </row>
    <row r="982" spans="1:1" x14ac:dyDescent="0.3">
      <c r="A982"/>
    </row>
    <row r="983" spans="1:1" x14ac:dyDescent="0.3">
      <c r="A983"/>
    </row>
    <row r="984" spans="1:1" x14ac:dyDescent="0.3">
      <c r="A984"/>
    </row>
    <row r="985" spans="1:1" x14ac:dyDescent="0.3">
      <c r="A985"/>
    </row>
    <row r="986" spans="1:1" x14ac:dyDescent="0.3">
      <c r="A986"/>
    </row>
    <row r="987" spans="1:1" x14ac:dyDescent="0.3">
      <c r="A987"/>
    </row>
    <row r="988" spans="1:1" x14ac:dyDescent="0.3">
      <c r="A988"/>
    </row>
    <row r="989" spans="1:1" x14ac:dyDescent="0.3">
      <c r="A989"/>
    </row>
    <row r="990" spans="1:1" x14ac:dyDescent="0.3">
      <c r="A990"/>
    </row>
    <row r="991" spans="1:1" x14ac:dyDescent="0.3">
      <c r="A991"/>
    </row>
    <row r="992" spans="1:1" x14ac:dyDescent="0.3">
      <c r="A992"/>
    </row>
    <row r="993" spans="1:1" x14ac:dyDescent="0.3">
      <c r="A993"/>
    </row>
    <row r="994" spans="1:1" x14ac:dyDescent="0.3">
      <c r="A994"/>
    </row>
    <row r="995" spans="1:1" x14ac:dyDescent="0.3">
      <c r="A995"/>
    </row>
    <row r="996" spans="1:1" x14ac:dyDescent="0.3">
      <c r="A996"/>
    </row>
    <row r="997" spans="1:1" x14ac:dyDescent="0.3">
      <c r="A997"/>
    </row>
    <row r="998" spans="1:1" x14ac:dyDescent="0.3">
      <c r="A998"/>
    </row>
    <row r="999" spans="1:1" x14ac:dyDescent="0.3">
      <c r="A999"/>
    </row>
    <row r="1000" spans="1:1" x14ac:dyDescent="0.3">
      <c r="A1000"/>
    </row>
    <row r="1001" spans="1:1" x14ac:dyDescent="0.3">
      <c r="A1001"/>
    </row>
    <row r="1002" spans="1:1" x14ac:dyDescent="0.3">
      <c r="A1002"/>
    </row>
    <row r="1003" spans="1:1" x14ac:dyDescent="0.3">
      <c r="A1003"/>
    </row>
    <row r="1004" spans="1:1" x14ac:dyDescent="0.3">
      <c r="A1004"/>
    </row>
    <row r="1005" spans="1:1" x14ac:dyDescent="0.3">
      <c r="A1005"/>
    </row>
    <row r="1006" spans="1:1" x14ac:dyDescent="0.3">
      <c r="A1006"/>
    </row>
    <row r="1007" spans="1:1" x14ac:dyDescent="0.3">
      <c r="A1007"/>
    </row>
    <row r="1008" spans="1:1" x14ac:dyDescent="0.3">
      <c r="A1008"/>
    </row>
    <row r="1009" spans="1:1" x14ac:dyDescent="0.3">
      <c r="A1009"/>
    </row>
    <row r="1010" spans="1:1" x14ac:dyDescent="0.3">
      <c r="A1010"/>
    </row>
    <row r="1011" spans="1:1" x14ac:dyDescent="0.3">
      <c r="A1011"/>
    </row>
    <row r="1012" spans="1:1" x14ac:dyDescent="0.3">
      <c r="A1012"/>
    </row>
    <row r="1013" spans="1:1" x14ac:dyDescent="0.3">
      <c r="A1013"/>
    </row>
    <row r="1014" spans="1:1" x14ac:dyDescent="0.3">
      <c r="A1014"/>
    </row>
    <row r="1015" spans="1:1" x14ac:dyDescent="0.3">
      <c r="A1015"/>
    </row>
    <row r="1016" spans="1:1" x14ac:dyDescent="0.3">
      <c r="A1016"/>
    </row>
    <row r="1017" spans="1:1" x14ac:dyDescent="0.3">
      <c r="A1017"/>
    </row>
    <row r="1018" spans="1:1" x14ac:dyDescent="0.3">
      <c r="A1018"/>
    </row>
    <row r="1019" spans="1:1" x14ac:dyDescent="0.3">
      <c r="A1019"/>
    </row>
    <row r="1020" spans="1:1" x14ac:dyDescent="0.3">
      <c r="A1020"/>
    </row>
    <row r="1021" spans="1:1" x14ac:dyDescent="0.3">
      <c r="A1021"/>
    </row>
    <row r="1022" spans="1:1" x14ac:dyDescent="0.3">
      <c r="A1022"/>
    </row>
    <row r="1023" spans="1:1" x14ac:dyDescent="0.3">
      <c r="A1023"/>
    </row>
    <row r="1024" spans="1:1" x14ac:dyDescent="0.3">
      <c r="A1024"/>
    </row>
    <row r="1025" spans="1:1" x14ac:dyDescent="0.3">
      <c r="A1025"/>
    </row>
    <row r="1026" spans="1:1" x14ac:dyDescent="0.3">
      <c r="A1026"/>
    </row>
    <row r="1027" spans="1:1" x14ac:dyDescent="0.3">
      <c r="A1027"/>
    </row>
    <row r="1028" spans="1:1" x14ac:dyDescent="0.3">
      <c r="A1028"/>
    </row>
    <row r="1029" spans="1:1" x14ac:dyDescent="0.3">
      <c r="A1029"/>
    </row>
    <row r="1030" spans="1:1" x14ac:dyDescent="0.3">
      <c r="A1030"/>
    </row>
    <row r="1031" spans="1:1" x14ac:dyDescent="0.3">
      <c r="A1031"/>
    </row>
    <row r="1032" spans="1:1" x14ac:dyDescent="0.3">
      <c r="A1032"/>
    </row>
    <row r="1033" spans="1:1" x14ac:dyDescent="0.3">
      <c r="A1033"/>
    </row>
    <row r="1034" spans="1:1" x14ac:dyDescent="0.3">
      <c r="A1034"/>
    </row>
    <row r="1035" spans="1:1" x14ac:dyDescent="0.3">
      <c r="A1035"/>
    </row>
    <row r="1036" spans="1:1" x14ac:dyDescent="0.3">
      <c r="A1036"/>
    </row>
    <row r="1037" spans="1:1" x14ac:dyDescent="0.3">
      <c r="A1037"/>
    </row>
    <row r="1038" spans="1:1" x14ac:dyDescent="0.3">
      <c r="A1038"/>
    </row>
    <row r="1039" spans="1:1" x14ac:dyDescent="0.3">
      <c r="A1039"/>
    </row>
    <row r="1040" spans="1:1" x14ac:dyDescent="0.3">
      <c r="A1040"/>
    </row>
    <row r="1041" spans="1:1" x14ac:dyDescent="0.3">
      <c r="A1041"/>
    </row>
    <row r="1042" spans="1:1" x14ac:dyDescent="0.3">
      <c r="A1042"/>
    </row>
    <row r="1043" spans="1:1" x14ac:dyDescent="0.3">
      <c r="A1043"/>
    </row>
    <row r="1044" spans="1:1" x14ac:dyDescent="0.3">
      <c r="A1044"/>
    </row>
    <row r="1045" spans="1:1" x14ac:dyDescent="0.3">
      <c r="A1045"/>
    </row>
    <row r="1046" spans="1:1" x14ac:dyDescent="0.3">
      <c r="A1046"/>
    </row>
    <row r="1047" spans="1:1" x14ac:dyDescent="0.3">
      <c r="A1047"/>
    </row>
    <row r="1048" spans="1:1" x14ac:dyDescent="0.3">
      <c r="A1048"/>
    </row>
    <row r="1049" spans="1:1" x14ac:dyDescent="0.3">
      <c r="A1049"/>
    </row>
    <row r="1050" spans="1:1" x14ac:dyDescent="0.3">
      <c r="A1050"/>
    </row>
    <row r="1051" spans="1:1" x14ac:dyDescent="0.3">
      <c r="A1051"/>
    </row>
    <row r="1052" spans="1:1" x14ac:dyDescent="0.3">
      <c r="A1052"/>
    </row>
    <row r="1053" spans="1:1" x14ac:dyDescent="0.3">
      <c r="A1053"/>
    </row>
    <row r="1054" spans="1:1" x14ac:dyDescent="0.3">
      <c r="A1054"/>
    </row>
    <row r="1055" spans="1:1" x14ac:dyDescent="0.3">
      <c r="A1055"/>
    </row>
    <row r="1056" spans="1:1" x14ac:dyDescent="0.3">
      <c r="A1056"/>
    </row>
    <row r="1057" spans="1:1" x14ac:dyDescent="0.3">
      <c r="A1057"/>
    </row>
    <row r="1058" spans="1:1" x14ac:dyDescent="0.3">
      <c r="A1058"/>
    </row>
    <row r="1059" spans="1:1" x14ac:dyDescent="0.3">
      <c r="A1059"/>
    </row>
    <row r="1060" spans="1:1" x14ac:dyDescent="0.3">
      <c r="A1060"/>
    </row>
    <row r="1061" spans="1:1" x14ac:dyDescent="0.3">
      <c r="A1061"/>
    </row>
    <row r="1062" spans="1:1" x14ac:dyDescent="0.3">
      <c r="A1062"/>
    </row>
    <row r="1063" spans="1:1" x14ac:dyDescent="0.3">
      <c r="A1063"/>
    </row>
    <row r="1064" spans="1:1" x14ac:dyDescent="0.3">
      <c r="A1064"/>
    </row>
    <row r="1065" spans="1:1" x14ac:dyDescent="0.3">
      <c r="A1065"/>
    </row>
    <row r="1066" spans="1:1" x14ac:dyDescent="0.3">
      <c r="A1066"/>
    </row>
    <row r="1067" spans="1:1" x14ac:dyDescent="0.3">
      <c r="A1067"/>
    </row>
    <row r="1068" spans="1:1" x14ac:dyDescent="0.3">
      <c r="A1068"/>
    </row>
    <row r="1069" spans="1:1" x14ac:dyDescent="0.3">
      <c r="A1069"/>
    </row>
    <row r="1070" spans="1:1" x14ac:dyDescent="0.3">
      <c r="A1070"/>
    </row>
    <row r="1071" spans="1:1" x14ac:dyDescent="0.3">
      <c r="A1071"/>
    </row>
    <row r="1072" spans="1:1" x14ac:dyDescent="0.3">
      <c r="A1072"/>
    </row>
    <row r="1073" spans="1:1" x14ac:dyDescent="0.3">
      <c r="A1073"/>
    </row>
    <row r="1074" spans="1:1" x14ac:dyDescent="0.3">
      <c r="A1074"/>
    </row>
    <row r="1075" spans="1:1" x14ac:dyDescent="0.3">
      <c r="A1075"/>
    </row>
    <row r="1076" spans="1:1" x14ac:dyDescent="0.3">
      <c r="A1076"/>
    </row>
    <row r="1077" spans="1:1" x14ac:dyDescent="0.3">
      <c r="A1077"/>
    </row>
    <row r="1078" spans="1:1" x14ac:dyDescent="0.3">
      <c r="A1078"/>
    </row>
    <row r="1079" spans="1:1" x14ac:dyDescent="0.3">
      <c r="A1079"/>
    </row>
    <row r="1080" spans="1:1" x14ac:dyDescent="0.3">
      <c r="A1080"/>
    </row>
    <row r="1081" spans="1:1" x14ac:dyDescent="0.3">
      <c r="A1081"/>
    </row>
    <row r="1082" spans="1:1" x14ac:dyDescent="0.3">
      <c r="A1082"/>
    </row>
    <row r="1083" spans="1:1" x14ac:dyDescent="0.3">
      <c r="A1083"/>
    </row>
    <row r="1084" spans="1:1" x14ac:dyDescent="0.3">
      <c r="A1084"/>
    </row>
    <row r="1085" spans="1:1" x14ac:dyDescent="0.3">
      <c r="A1085"/>
    </row>
    <row r="1086" spans="1:1" x14ac:dyDescent="0.3">
      <c r="A1086"/>
    </row>
    <row r="1087" spans="1:1" x14ac:dyDescent="0.3">
      <c r="A1087"/>
    </row>
    <row r="1088" spans="1:1" x14ac:dyDescent="0.3">
      <c r="A1088"/>
    </row>
    <row r="1089" spans="1:1" x14ac:dyDescent="0.3">
      <c r="A1089"/>
    </row>
    <row r="1090" spans="1:1" x14ac:dyDescent="0.3">
      <c r="A1090"/>
    </row>
    <row r="1091" spans="1:1" x14ac:dyDescent="0.3">
      <c r="A1091"/>
    </row>
    <row r="1092" spans="1:1" x14ac:dyDescent="0.3">
      <c r="A1092"/>
    </row>
    <row r="1093" spans="1:1" x14ac:dyDescent="0.3">
      <c r="A1093"/>
    </row>
    <row r="1094" spans="1:1" x14ac:dyDescent="0.3">
      <c r="A1094"/>
    </row>
    <row r="1095" spans="1:1" x14ac:dyDescent="0.3">
      <c r="A1095"/>
    </row>
    <row r="1096" spans="1:1" x14ac:dyDescent="0.3">
      <c r="A1096"/>
    </row>
    <row r="1097" spans="1:1" x14ac:dyDescent="0.3">
      <c r="A1097"/>
    </row>
    <row r="1098" spans="1:1" x14ac:dyDescent="0.3">
      <c r="A1098"/>
    </row>
    <row r="1099" spans="1:1" x14ac:dyDescent="0.3">
      <c r="A1099"/>
    </row>
    <row r="1100" spans="1:1" x14ac:dyDescent="0.3">
      <c r="A1100"/>
    </row>
    <row r="1101" spans="1:1" x14ac:dyDescent="0.3">
      <c r="A1101"/>
    </row>
    <row r="1102" spans="1:1" x14ac:dyDescent="0.3">
      <c r="A1102"/>
    </row>
    <row r="1103" spans="1:1" x14ac:dyDescent="0.3">
      <c r="A1103"/>
    </row>
    <row r="1104" spans="1:1" x14ac:dyDescent="0.3">
      <c r="A1104"/>
    </row>
    <row r="1105" spans="1:1" x14ac:dyDescent="0.3">
      <c r="A1105"/>
    </row>
    <row r="1106" spans="1:1" x14ac:dyDescent="0.3">
      <c r="A1106"/>
    </row>
    <row r="1107" spans="1:1" x14ac:dyDescent="0.3">
      <c r="A1107"/>
    </row>
    <row r="1108" spans="1:1" x14ac:dyDescent="0.3">
      <c r="A1108"/>
    </row>
    <row r="1109" spans="1:1" x14ac:dyDescent="0.3">
      <c r="A1109"/>
    </row>
    <row r="1110" spans="1:1" x14ac:dyDescent="0.3">
      <c r="A1110"/>
    </row>
    <row r="1111" spans="1:1" x14ac:dyDescent="0.3">
      <c r="A1111"/>
    </row>
    <row r="1112" spans="1:1" x14ac:dyDescent="0.3">
      <c r="A1112"/>
    </row>
    <row r="1113" spans="1:1" x14ac:dyDescent="0.3">
      <c r="A1113"/>
    </row>
    <row r="1114" spans="1:1" x14ac:dyDescent="0.3">
      <c r="A1114"/>
    </row>
    <row r="1115" spans="1:1" x14ac:dyDescent="0.3">
      <c r="A1115"/>
    </row>
    <row r="1116" spans="1:1" x14ac:dyDescent="0.3">
      <c r="A1116"/>
    </row>
    <row r="1117" spans="1:1" x14ac:dyDescent="0.3">
      <c r="A1117"/>
    </row>
    <row r="1118" spans="1:1" x14ac:dyDescent="0.3">
      <c r="A1118"/>
    </row>
    <row r="1119" spans="1:1" x14ac:dyDescent="0.3">
      <c r="A1119"/>
    </row>
    <row r="1120" spans="1:1" x14ac:dyDescent="0.3">
      <c r="A1120"/>
    </row>
    <row r="1121" spans="1:1" x14ac:dyDescent="0.3">
      <c r="A1121"/>
    </row>
    <row r="1122" spans="1:1" x14ac:dyDescent="0.3">
      <c r="A1122"/>
    </row>
    <row r="1123" spans="1:1" x14ac:dyDescent="0.3">
      <c r="A1123"/>
    </row>
    <row r="1124" spans="1:1" x14ac:dyDescent="0.3">
      <c r="A1124"/>
    </row>
    <row r="1125" spans="1:1" x14ac:dyDescent="0.3">
      <c r="A1125"/>
    </row>
    <row r="1126" spans="1:1" x14ac:dyDescent="0.3">
      <c r="A1126"/>
    </row>
    <row r="1127" spans="1:1" x14ac:dyDescent="0.3">
      <c r="A1127"/>
    </row>
    <row r="1128" spans="1:1" x14ac:dyDescent="0.3">
      <c r="A1128"/>
    </row>
    <row r="1129" spans="1:1" x14ac:dyDescent="0.3">
      <c r="A1129"/>
    </row>
    <row r="1130" spans="1:1" x14ac:dyDescent="0.3">
      <c r="A1130"/>
    </row>
    <row r="1131" spans="1:1" x14ac:dyDescent="0.3">
      <c r="A1131"/>
    </row>
    <row r="1132" spans="1:1" x14ac:dyDescent="0.3">
      <c r="A1132"/>
    </row>
    <row r="1133" spans="1:1" x14ac:dyDescent="0.3">
      <c r="A1133"/>
    </row>
    <row r="1134" spans="1:1" x14ac:dyDescent="0.3">
      <c r="A1134"/>
    </row>
    <row r="1135" spans="1:1" x14ac:dyDescent="0.3">
      <c r="A1135"/>
    </row>
    <row r="1136" spans="1:1" x14ac:dyDescent="0.3">
      <c r="A1136"/>
    </row>
    <row r="1137" spans="1:1" x14ac:dyDescent="0.3">
      <c r="A1137"/>
    </row>
    <row r="1138" spans="1:1" x14ac:dyDescent="0.3">
      <c r="A1138"/>
    </row>
    <row r="1139" spans="1:1" x14ac:dyDescent="0.3">
      <c r="A1139"/>
    </row>
    <row r="1140" spans="1:1" x14ac:dyDescent="0.3">
      <c r="A1140"/>
    </row>
    <row r="1141" spans="1:1" x14ac:dyDescent="0.3">
      <c r="A1141"/>
    </row>
    <row r="1142" spans="1:1" x14ac:dyDescent="0.3">
      <c r="A1142"/>
    </row>
    <row r="1143" spans="1:1" x14ac:dyDescent="0.3">
      <c r="A1143"/>
    </row>
    <row r="1144" spans="1:1" x14ac:dyDescent="0.3">
      <c r="A1144"/>
    </row>
    <row r="1145" spans="1:1" x14ac:dyDescent="0.3">
      <c r="A1145"/>
    </row>
    <row r="1146" spans="1:1" x14ac:dyDescent="0.3">
      <c r="A1146"/>
    </row>
    <row r="1147" spans="1:1" x14ac:dyDescent="0.3">
      <c r="A1147"/>
    </row>
    <row r="1148" spans="1:1" x14ac:dyDescent="0.3">
      <c r="A1148"/>
    </row>
    <row r="1149" spans="1:1" x14ac:dyDescent="0.3">
      <c r="A1149"/>
    </row>
    <row r="1150" spans="1:1" x14ac:dyDescent="0.3">
      <c r="A1150"/>
    </row>
    <row r="1151" spans="1:1" x14ac:dyDescent="0.3">
      <c r="A1151"/>
    </row>
    <row r="1152" spans="1:1" x14ac:dyDescent="0.3">
      <c r="A1152"/>
    </row>
    <row r="1153" spans="1:1" x14ac:dyDescent="0.3">
      <c r="A1153"/>
    </row>
    <row r="1154" spans="1:1" x14ac:dyDescent="0.3">
      <c r="A1154"/>
    </row>
    <row r="1155" spans="1:1" x14ac:dyDescent="0.3">
      <c r="A1155"/>
    </row>
    <row r="1156" spans="1:1" x14ac:dyDescent="0.3">
      <c r="A1156"/>
    </row>
    <row r="1157" spans="1:1" x14ac:dyDescent="0.3">
      <c r="A1157"/>
    </row>
    <row r="1158" spans="1:1" x14ac:dyDescent="0.3">
      <c r="A1158"/>
    </row>
    <row r="1159" spans="1:1" x14ac:dyDescent="0.3">
      <c r="A1159"/>
    </row>
    <row r="1160" spans="1:1" x14ac:dyDescent="0.3">
      <c r="A1160"/>
    </row>
    <row r="1161" spans="1:1" x14ac:dyDescent="0.3">
      <c r="A1161"/>
    </row>
    <row r="1162" spans="1:1" x14ac:dyDescent="0.3">
      <c r="A1162"/>
    </row>
    <row r="1163" spans="1:1" x14ac:dyDescent="0.3">
      <c r="A1163"/>
    </row>
    <row r="1164" spans="1:1" x14ac:dyDescent="0.3">
      <c r="A1164"/>
    </row>
    <row r="1165" spans="1:1" x14ac:dyDescent="0.3">
      <c r="A1165"/>
    </row>
    <row r="1166" spans="1:1" x14ac:dyDescent="0.3">
      <c r="A1166"/>
    </row>
    <row r="1167" spans="1:1" x14ac:dyDescent="0.3">
      <c r="A1167"/>
    </row>
    <row r="1168" spans="1:1" x14ac:dyDescent="0.3">
      <c r="A1168"/>
    </row>
    <row r="1169" spans="1:1" x14ac:dyDescent="0.3">
      <c r="A1169"/>
    </row>
    <row r="1170" spans="1:1" x14ac:dyDescent="0.3">
      <c r="A1170"/>
    </row>
    <row r="1171" spans="1:1" x14ac:dyDescent="0.3">
      <c r="A1171"/>
    </row>
    <row r="1172" spans="1:1" x14ac:dyDescent="0.3">
      <c r="A1172"/>
    </row>
    <row r="1173" spans="1:1" x14ac:dyDescent="0.3">
      <c r="A1173"/>
    </row>
    <row r="1174" spans="1:1" x14ac:dyDescent="0.3">
      <c r="A1174"/>
    </row>
    <row r="1175" spans="1:1" x14ac:dyDescent="0.3">
      <c r="A1175"/>
    </row>
    <row r="1176" spans="1:1" x14ac:dyDescent="0.3">
      <c r="A1176"/>
    </row>
    <row r="1177" spans="1:1" x14ac:dyDescent="0.3">
      <c r="A1177"/>
    </row>
    <row r="1178" spans="1:1" x14ac:dyDescent="0.3">
      <c r="A1178"/>
    </row>
    <row r="1179" spans="1:1" x14ac:dyDescent="0.3">
      <c r="A1179"/>
    </row>
    <row r="1180" spans="1:1" x14ac:dyDescent="0.3">
      <c r="A1180"/>
    </row>
    <row r="1181" spans="1:1" x14ac:dyDescent="0.3">
      <c r="A1181"/>
    </row>
    <row r="1182" spans="1:1" x14ac:dyDescent="0.3">
      <c r="A1182"/>
    </row>
    <row r="1183" spans="1:1" x14ac:dyDescent="0.3">
      <c r="A1183"/>
    </row>
    <row r="1184" spans="1:1" x14ac:dyDescent="0.3">
      <c r="A1184"/>
    </row>
    <row r="1185" spans="1:1" x14ac:dyDescent="0.3">
      <c r="A1185"/>
    </row>
    <row r="1186" spans="1:1" x14ac:dyDescent="0.3">
      <c r="A1186"/>
    </row>
    <row r="1187" spans="1:1" x14ac:dyDescent="0.3">
      <c r="A1187"/>
    </row>
    <row r="1188" spans="1:1" x14ac:dyDescent="0.3">
      <c r="A1188"/>
    </row>
    <row r="1189" spans="1:1" x14ac:dyDescent="0.3">
      <c r="A1189"/>
    </row>
    <row r="1190" spans="1:1" x14ac:dyDescent="0.3">
      <c r="A1190"/>
    </row>
    <row r="1191" spans="1:1" x14ac:dyDescent="0.3">
      <c r="A1191"/>
    </row>
    <row r="1192" spans="1:1" x14ac:dyDescent="0.3">
      <c r="A1192"/>
    </row>
    <row r="1193" spans="1:1" x14ac:dyDescent="0.3">
      <c r="A1193"/>
    </row>
    <row r="1194" spans="1:1" x14ac:dyDescent="0.3">
      <c r="A1194"/>
    </row>
    <row r="1195" spans="1:1" x14ac:dyDescent="0.3">
      <c r="A1195"/>
    </row>
    <row r="1196" spans="1:1" x14ac:dyDescent="0.3">
      <c r="A1196"/>
    </row>
    <row r="1197" spans="1:1" x14ac:dyDescent="0.3">
      <c r="A1197"/>
    </row>
    <row r="1198" spans="1:1" x14ac:dyDescent="0.3">
      <c r="A1198"/>
    </row>
    <row r="1199" spans="1:1" x14ac:dyDescent="0.3">
      <c r="A1199"/>
    </row>
    <row r="1200" spans="1:1" x14ac:dyDescent="0.3">
      <c r="A1200"/>
    </row>
    <row r="1201" spans="1:1" x14ac:dyDescent="0.3">
      <c r="A1201"/>
    </row>
    <row r="1202" spans="1:1" x14ac:dyDescent="0.3">
      <c r="A1202"/>
    </row>
    <row r="1203" spans="1:1" x14ac:dyDescent="0.3">
      <c r="A1203"/>
    </row>
    <row r="1204" spans="1:1" x14ac:dyDescent="0.3">
      <c r="A1204"/>
    </row>
    <row r="1205" spans="1:1" x14ac:dyDescent="0.3">
      <c r="A1205"/>
    </row>
    <row r="1206" spans="1:1" x14ac:dyDescent="0.3">
      <c r="A1206"/>
    </row>
    <row r="1207" spans="1:1" x14ac:dyDescent="0.3">
      <c r="A1207"/>
    </row>
    <row r="1208" spans="1:1" x14ac:dyDescent="0.3">
      <c r="A1208"/>
    </row>
    <row r="1209" spans="1:1" x14ac:dyDescent="0.3">
      <c r="A1209"/>
    </row>
    <row r="1210" spans="1:1" x14ac:dyDescent="0.3">
      <c r="A1210"/>
    </row>
    <row r="1211" spans="1:1" x14ac:dyDescent="0.3">
      <c r="A1211"/>
    </row>
    <row r="1212" spans="1:1" x14ac:dyDescent="0.3">
      <c r="A1212"/>
    </row>
    <row r="1213" spans="1:1" x14ac:dyDescent="0.3">
      <c r="A1213"/>
    </row>
    <row r="1214" spans="1:1" x14ac:dyDescent="0.3">
      <c r="A1214"/>
    </row>
    <row r="1215" spans="1:1" x14ac:dyDescent="0.3">
      <c r="A1215"/>
    </row>
    <row r="1216" spans="1:1" x14ac:dyDescent="0.3">
      <c r="A1216"/>
    </row>
    <row r="1217" spans="1:1" x14ac:dyDescent="0.3">
      <c r="A1217"/>
    </row>
    <row r="1218" spans="1:1" x14ac:dyDescent="0.3">
      <c r="A1218"/>
    </row>
    <row r="1219" spans="1:1" x14ac:dyDescent="0.3">
      <c r="A1219"/>
    </row>
    <row r="1220" spans="1:1" x14ac:dyDescent="0.3">
      <c r="A1220"/>
    </row>
    <row r="1221" spans="1:1" x14ac:dyDescent="0.3">
      <c r="A1221"/>
    </row>
    <row r="1222" spans="1:1" x14ac:dyDescent="0.3">
      <c r="A1222"/>
    </row>
    <row r="1223" spans="1:1" x14ac:dyDescent="0.3">
      <c r="A1223"/>
    </row>
    <row r="1224" spans="1:1" x14ac:dyDescent="0.3">
      <c r="A1224"/>
    </row>
    <row r="1225" spans="1:1" x14ac:dyDescent="0.3">
      <c r="A1225"/>
    </row>
    <row r="1226" spans="1:1" x14ac:dyDescent="0.3">
      <c r="A1226"/>
    </row>
    <row r="1227" spans="1:1" x14ac:dyDescent="0.3">
      <c r="A1227"/>
    </row>
    <row r="1228" spans="1:1" x14ac:dyDescent="0.3">
      <c r="A1228"/>
    </row>
    <row r="1229" spans="1:1" x14ac:dyDescent="0.3">
      <c r="A1229"/>
    </row>
    <row r="1230" spans="1:1" x14ac:dyDescent="0.3">
      <c r="A1230"/>
    </row>
    <row r="1231" spans="1:1" x14ac:dyDescent="0.3">
      <c r="A1231"/>
    </row>
    <row r="1232" spans="1:1" x14ac:dyDescent="0.3">
      <c r="A1232"/>
    </row>
    <row r="1233" spans="1:1" x14ac:dyDescent="0.3">
      <c r="A1233"/>
    </row>
    <row r="1234" spans="1:1" x14ac:dyDescent="0.3">
      <c r="A1234"/>
    </row>
    <row r="1235" spans="1:1" x14ac:dyDescent="0.3">
      <c r="A1235"/>
    </row>
    <row r="1236" spans="1:1" x14ac:dyDescent="0.3">
      <c r="A1236"/>
    </row>
    <row r="1237" spans="1:1" x14ac:dyDescent="0.3">
      <c r="A1237"/>
    </row>
    <row r="1238" spans="1:1" x14ac:dyDescent="0.3">
      <c r="A1238"/>
    </row>
    <row r="1239" spans="1:1" x14ac:dyDescent="0.3">
      <c r="A1239"/>
    </row>
    <row r="1240" spans="1:1" x14ac:dyDescent="0.3">
      <c r="A1240"/>
    </row>
    <row r="1241" spans="1:1" x14ac:dyDescent="0.3">
      <c r="A1241"/>
    </row>
    <row r="1242" spans="1:1" x14ac:dyDescent="0.3">
      <c r="A1242"/>
    </row>
    <row r="1243" spans="1:1" x14ac:dyDescent="0.3">
      <c r="A1243"/>
    </row>
    <row r="1244" spans="1:1" x14ac:dyDescent="0.3">
      <c r="A1244"/>
    </row>
    <row r="1245" spans="1:1" x14ac:dyDescent="0.3">
      <c r="A1245"/>
    </row>
    <row r="1246" spans="1:1" x14ac:dyDescent="0.3">
      <c r="A1246"/>
    </row>
    <row r="1247" spans="1:1" x14ac:dyDescent="0.3">
      <c r="A1247"/>
    </row>
    <row r="1248" spans="1:1" x14ac:dyDescent="0.3">
      <c r="A1248"/>
    </row>
    <row r="1249" spans="1:1" x14ac:dyDescent="0.3">
      <c r="A1249"/>
    </row>
    <row r="1250" spans="1:1" x14ac:dyDescent="0.3">
      <c r="A1250"/>
    </row>
    <row r="1251" spans="1:1" x14ac:dyDescent="0.3">
      <c r="A1251"/>
    </row>
    <row r="1252" spans="1:1" x14ac:dyDescent="0.3">
      <c r="A1252"/>
    </row>
    <row r="1253" spans="1:1" x14ac:dyDescent="0.3">
      <c r="A1253"/>
    </row>
    <row r="1254" spans="1:1" x14ac:dyDescent="0.3">
      <c r="A1254"/>
    </row>
    <row r="1255" spans="1:1" x14ac:dyDescent="0.3">
      <c r="A1255"/>
    </row>
    <row r="1256" spans="1:1" x14ac:dyDescent="0.3">
      <c r="A1256"/>
    </row>
    <row r="1257" spans="1:1" x14ac:dyDescent="0.3">
      <c r="A1257"/>
    </row>
    <row r="1258" spans="1:1" x14ac:dyDescent="0.3">
      <c r="A1258"/>
    </row>
    <row r="1259" spans="1:1" x14ac:dyDescent="0.3">
      <c r="A1259"/>
    </row>
    <row r="1260" spans="1:1" x14ac:dyDescent="0.3">
      <c r="A1260"/>
    </row>
    <row r="1261" spans="1:1" x14ac:dyDescent="0.3">
      <c r="A1261"/>
    </row>
    <row r="1262" spans="1:1" x14ac:dyDescent="0.3">
      <c r="A1262"/>
    </row>
    <row r="1263" spans="1:1" x14ac:dyDescent="0.3">
      <c r="A1263"/>
    </row>
    <row r="1264" spans="1:1" x14ac:dyDescent="0.3">
      <c r="A1264"/>
    </row>
    <row r="1265" spans="1:1" x14ac:dyDescent="0.3">
      <c r="A1265"/>
    </row>
    <row r="1266" spans="1:1" x14ac:dyDescent="0.3">
      <c r="A1266"/>
    </row>
    <row r="1267" spans="1:1" x14ac:dyDescent="0.3">
      <c r="A1267"/>
    </row>
    <row r="1268" spans="1:1" x14ac:dyDescent="0.3">
      <c r="A1268"/>
    </row>
    <row r="1269" spans="1:1" x14ac:dyDescent="0.3">
      <c r="A1269"/>
    </row>
    <row r="1270" spans="1:1" x14ac:dyDescent="0.3">
      <c r="A1270"/>
    </row>
    <row r="1271" spans="1:1" x14ac:dyDescent="0.3">
      <c r="A1271"/>
    </row>
    <row r="1272" spans="1:1" x14ac:dyDescent="0.3">
      <c r="A1272"/>
    </row>
    <row r="1273" spans="1:1" x14ac:dyDescent="0.3">
      <c r="A1273"/>
    </row>
    <row r="1274" spans="1:1" x14ac:dyDescent="0.3">
      <c r="A1274"/>
    </row>
    <row r="1275" spans="1:1" x14ac:dyDescent="0.3">
      <c r="A1275"/>
    </row>
    <row r="1276" spans="1:1" x14ac:dyDescent="0.3">
      <c r="A1276"/>
    </row>
    <row r="1277" spans="1:1" x14ac:dyDescent="0.3">
      <c r="A1277"/>
    </row>
    <row r="1278" spans="1:1" x14ac:dyDescent="0.3">
      <c r="A1278"/>
    </row>
    <row r="1279" spans="1:1" x14ac:dyDescent="0.3">
      <c r="A1279"/>
    </row>
    <row r="1280" spans="1:1" x14ac:dyDescent="0.3">
      <c r="A1280"/>
    </row>
    <row r="1281" spans="1:1" x14ac:dyDescent="0.3">
      <c r="A1281"/>
    </row>
    <row r="1282" spans="1:1" x14ac:dyDescent="0.3">
      <c r="A1282"/>
    </row>
    <row r="1283" spans="1:1" x14ac:dyDescent="0.3">
      <c r="A1283"/>
    </row>
    <row r="1284" spans="1:1" x14ac:dyDescent="0.3">
      <c r="A1284"/>
    </row>
    <row r="1285" spans="1:1" x14ac:dyDescent="0.3">
      <c r="A1285"/>
    </row>
    <row r="1286" spans="1:1" x14ac:dyDescent="0.3">
      <c r="A1286"/>
    </row>
    <row r="1287" spans="1:1" x14ac:dyDescent="0.3">
      <c r="A1287"/>
    </row>
    <row r="1288" spans="1:1" x14ac:dyDescent="0.3">
      <c r="A1288"/>
    </row>
    <row r="1289" spans="1:1" x14ac:dyDescent="0.3">
      <c r="A1289"/>
    </row>
    <row r="1290" spans="1:1" x14ac:dyDescent="0.3">
      <c r="A1290"/>
    </row>
    <row r="1291" spans="1:1" x14ac:dyDescent="0.3">
      <c r="A1291"/>
    </row>
    <row r="1292" spans="1:1" x14ac:dyDescent="0.3">
      <c r="A1292"/>
    </row>
    <row r="1293" spans="1:1" x14ac:dyDescent="0.3">
      <c r="A1293"/>
    </row>
    <row r="1294" spans="1:1" x14ac:dyDescent="0.3">
      <c r="A1294"/>
    </row>
    <row r="1295" spans="1:1" x14ac:dyDescent="0.3">
      <c r="A1295"/>
    </row>
    <row r="1296" spans="1:1" x14ac:dyDescent="0.3">
      <c r="A1296"/>
    </row>
    <row r="1297" spans="1:1" x14ac:dyDescent="0.3">
      <c r="A1297"/>
    </row>
    <row r="1298" spans="1:1" x14ac:dyDescent="0.3">
      <c r="A1298"/>
    </row>
    <row r="1299" spans="1:1" x14ac:dyDescent="0.3">
      <c r="A1299"/>
    </row>
    <row r="1300" spans="1:1" x14ac:dyDescent="0.3">
      <c r="A1300"/>
    </row>
    <row r="1301" spans="1:1" x14ac:dyDescent="0.3">
      <c r="A1301"/>
    </row>
    <row r="1302" spans="1:1" x14ac:dyDescent="0.3">
      <c r="A1302"/>
    </row>
    <row r="1303" spans="1:1" x14ac:dyDescent="0.3">
      <c r="A1303"/>
    </row>
    <row r="1304" spans="1:1" x14ac:dyDescent="0.3">
      <c r="A1304"/>
    </row>
    <row r="1305" spans="1:1" x14ac:dyDescent="0.3">
      <c r="A1305"/>
    </row>
    <row r="1306" spans="1:1" x14ac:dyDescent="0.3">
      <c r="A1306"/>
    </row>
    <row r="1307" spans="1:1" x14ac:dyDescent="0.3">
      <c r="A1307"/>
    </row>
    <row r="1308" spans="1:1" x14ac:dyDescent="0.3">
      <c r="A1308"/>
    </row>
    <row r="1309" spans="1:1" x14ac:dyDescent="0.3">
      <c r="A1309"/>
    </row>
    <row r="1310" spans="1:1" x14ac:dyDescent="0.3">
      <c r="A1310"/>
    </row>
    <row r="1311" spans="1:1" x14ac:dyDescent="0.3">
      <c r="A1311"/>
    </row>
    <row r="1312" spans="1:1" x14ac:dyDescent="0.3">
      <c r="A1312"/>
    </row>
    <row r="1313" spans="1:1" x14ac:dyDescent="0.3">
      <c r="A1313"/>
    </row>
    <row r="1314" spans="1:1" x14ac:dyDescent="0.3">
      <c r="A1314"/>
    </row>
    <row r="1315" spans="1:1" x14ac:dyDescent="0.3">
      <c r="A1315"/>
    </row>
    <row r="1316" spans="1:1" x14ac:dyDescent="0.3">
      <c r="A1316"/>
    </row>
    <row r="1317" spans="1:1" x14ac:dyDescent="0.3">
      <c r="A1317"/>
    </row>
    <row r="1318" spans="1:1" x14ac:dyDescent="0.3">
      <c r="A1318"/>
    </row>
    <row r="1319" spans="1:1" x14ac:dyDescent="0.3">
      <c r="A1319"/>
    </row>
    <row r="1320" spans="1:1" x14ac:dyDescent="0.3">
      <c r="A1320"/>
    </row>
    <row r="1321" spans="1:1" x14ac:dyDescent="0.3">
      <c r="A1321"/>
    </row>
    <row r="1322" spans="1:1" x14ac:dyDescent="0.3">
      <c r="A1322"/>
    </row>
    <row r="1323" spans="1:1" x14ac:dyDescent="0.3">
      <c r="A1323"/>
    </row>
    <row r="1324" spans="1:1" x14ac:dyDescent="0.3">
      <c r="A1324"/>
    </row>
    <row r="1325" spans="1:1" x14ac:dyDescent="0.3">
      <c r="A1325"/>
    </row>
    <row r="1326" spans="1:1" x14ac:dyDescent="0.3">
      <c r="A1326"/>
    </row>
    <row r="1327" spans="1:1" x14ac:dyDescent="0.3">
      <c r="A1327"/>
    </row>
    <row r="1328" spans="1:1" x14ac:dyDescent="0.3">
      <c r="A1328"/>
    </row>
    <row r="1329" spans="1:1" x14ac:dyDescent="0.3">
      <c r="A1329"/>
    </row>
    <row r="1330" spans="1:1" x14ac:dyDescent="0.3">
      <c r="A1330"/>
    </row>
    <row r="1331" spans="1:1" x14ac:dyDescent="0.3">
      <c r="A1331"/>
    </row>
    <row r="1332" spans="1:1" x14ac:dyDescent="0.3">
      <c r="A1332"/>
    </row>
    <row r="1333" spans="1:1" x14ac:dyDescent="0.3">
      <c r="A1333"/>
    </row>
    <row r="1334" spans="1:1" x14ac:dyDescent="0.3">
      <c r="A1334"/>
    </row>
    <row r="1335" spans="1:1" x14ac:dyDescent="0.3">
      <c r="A1335"/>
    </row>
    <row r="1336" spans="1:1" x14ac:dyDescent="0.3">
      <c r="A1336"/>
    </row>
    <row r="1337" spans="1:1" x14ac:dyDescent="0.3">
      <c r="A1337"/>
    </row>
    <row r="1338" spans="1:1" x14ac:dyDescent="0.3">
      <c r="A1338"/>
    </row>
    <row r="1339" spans="1:1" x14ac:dyDescent="0.3">
      <c r="A1339"/>
    </row>
    <row r="1340" spans="1:1" x14ac:dyDescent="0.3">
      <c r="A1340"/>
    </row>
    <row r="1341" spans="1:1" x14ac:dyDescent="0.3">
      <c r="A1341"/>
    </row>
    <row r="1342" spans="1:1" x14ac:dyDescent="0.3">
      <c r="A1342"/>
    </row>
    <row r="1343" spans="1:1" x14ac:dyDescent="0.3">
      <c r="A1343"/>
    </row>
    <row r="1344" spans="1:1" x14ac:dyDescent="0.3">
      <c r="A1344"/>
    </row>
    <row r="1345" spans="1:1" x14ac:dyDescent="0.3">
      <c r="A1345"/>
    </row>
    <row r="1346" spans="1:1" x14ac:dyDescent="0.3">
      <c r="A1346"/>
    </row>
    <row r="1347" spans="1:1" x14ac:dyDescent="0.3">
      <c r="A1347"/>
    </row>
    <row r="1348" spans="1:1" x14ac:dyDescent="0.3">
      <c r="A1348"/>
    </row>
    <row r="1349" spans="1:1" x14ac:dyDescent="0.3">
      <c r="A1349"/>
    </row>
    <row r="1350" spans="1:1" x14ac:dyDescent="0.3">
      <c r="A1350"/>
    </row>
    <row r="1351" spans="1:1" x14ac:dyDescent="0.3">
      <c r="A1351"/>
    </row>
    <row r="1352" spans="1:1" x14ac:dyDescent="0.3">
      <c r="A1352"/>
    </row>
    <row r="1353" spans="1:1" x14ac:dyDescent="0.3">
      <c r="A1353"/>
    </row>
    <row r="1354" spans="1:1" x14ac:dyDescent="0.3">
      <c r="A1354"/>
    </row>
    <row r="1355" spans="1:1" x14ac:dyDescent="0.3">
      <c r="A1355"/>
    </row>
    <row r="1356" spans="1:1" x14ac:dyDescent="0.3">
      <c r="A1356"/>
    </row>
    <row r="1357" spans="1:1" x14ac:dyDescent="0.3">
      <c r="A1357"/>
    </row>
    <row r="1358" spans="1:1" x14ac:dyDescent="0.3">
      <c r="A1358"/>
    </row>
    <row r="1359" spans="1:1" x14ac:dyDescent="0.3">
      <c r="A1359"/>
    </row>
    <row r="1360" spans="1:1" x14ac:dyDescent="0.3">
      <c r="A1360"/>
    </row>
    <row r="1361" spans="1:1" x14ac:dyDescent="0.3">
      <c r="A1361"/>
    </row>
    <row r="1362" spans="1:1" x14ac:dyDescent="0.3">
      <c r="A1362"/>
    </row>
    <row r="1363" spans="1:1" x14ac:dyDescent="0.3">
      <c r="A1363"/>
    </row>
    <row r="1364" spans="1:1" x14ac:dyDescent="0.3">
      <c r="A1364"/>
    </row>
    <row r="1365" spans="1:1" x14ac:dyDescent="0.3">
      <c r="A1365"/>
    </row>
    <row r="1366" spans="1:1" x14ac:dyDescent="0.3">
      <c r="A1366"/>
    </row>
    <row r="1367" spans="1:1" x14ac:dyDescent="0.3">
      <c r="A1367"/>
    </row>
    <row r="1368" spans="1:1" x14ac:dyDescent="0.3">
      <c r="A1368"/>
    </row>
    <row r="1369" spans="1:1" x14ac:dyDescent="0.3">
      <c r="A1369"/>
    </row>
    <row r="1370" spans="1:1" x14ac:dyDescent="0.3">
      <c r="A1370"/>
    </row>
    <row r="1371" spans="1:1" x14ac:dyDescent="0.3">
      <c r="A1371"/>
    </row>
    <row r="1372" spans="1:1" x14ac:dyDescent="0.3">
      <c r="A1372"/>
    </row>
    <row r="1373" spans="1:1" x14ac:dyDescent="0.3">
      <c r="A1373"/>
    </row>
    <row r="1374" spans="1:1" x14ac:dyDescent="0.3">
      <c r="A1374"/>
    </row>
    <row r="1375" spans="1:1" x14ac:dyDescent="0.3">
      <c r="A1375"/>
    </row>
    <row r="1376" spans="1:1" x14ac:dyDescent="0.3">
      <c r="A1376"/>
    </row>
    <row r="1377" spans="1:1" x14ac:dyDescent="0.3">
      <c r="A1377"/>
    </row>
    <row r="1378" spans="1:1" x14ac:dyDescent="0.3">
      <c r="A1378"/>
    </row>
    <row r="1379" spans="1:1" x14ac:dyDescent="0.3">
      <c r="A1379"/>
    </row>
    <row r="1380" spans="1:1" x14ac:dyDescent="0.3">
      <c r="A1380"/>
    </row>
    <row r="1381" spans="1:1" x14ac:dyDescent="0.3">
      <c r="A1381"/>
    </row>
    <row r="1382" spans="1:1" x14ac:dyDescent="0.3">
      <c r="A1382"/>
    </row>
    <row r="1383" spans="1:1" x14ac:dyDescent="0.3">
      <c r="A1383"/>
    </row>
    <row r="1384" spans="1:1" x14ac:dyDescent="0.3">
      <c r="A1384"/>
    </row>
    <row r="1385" spans="1:1" x14ac:dyDescent="0.3">
      <c r="A1385"/>
    </row>
    <row r="1386" spans="1:1" x14ac:dyDescent="0.3">
      <c r="A1386"/>
    </row>
    <row r="1387" spans="1:1" x14ac:dyDescent="0.3">
      <c r="A1387"/>
    </row>
    <row r="1388" spans="1:1" x14ac:dyDescent="0.3">
      <c r="A1388"/>
    </row>
    <row r="1389" spans="1:1" x14ac:dyDescent="0.3">
      <c r="A1389"/>
    </row>
    <row r="1390" spans="1:1" x14ac:dyDescent="0.3">
      <c r="A1390"/>
    </row>
    <row r="1391" spans="1:1" x14ac:dyDescent="0.3">
      <c r="A1391"/>
    </row>
    <row r="1392" spans="1:1" x14ac:dyDescent="0.3">
      <c r="A1392"/>
    </row>
    <row r="1393" spans="1:1" x14ac:dyDescent="0.3">
      <c r="A1393"/>
    </row>
    <row r="1394" spans="1:1" x14ac:dyDescent="0.3">
      <c r="A1394"/>
    </row>
    <row r="1395" spans="1:1" x14ac:dyDescent="0.3">
      <c r="A1395"/>
    </row>
    <row r="1396" spans="1:1" x14ac:dyDescent="0.3">
      <c r="A1396"/>
    </row>
    <row r="1397" spans="1:1" x14ac:dyDescent="0.3">
      <c r="A1397"/>
    </row>
    <row r="1398" spans="1:1" x14ac:dyDescent="0.3">
      <c r="A1398"/>
    </row>
    <row r="1399" spans="1:1" x14ac:dyDescent="0.3">
      <c r="A1399"/>
    </row>
    <row r="1400" spans="1:1" x14ac:dyDescent="0.3">
      <c r="A1400"/>
    </row>
    <row r="1401" spans="1:1" x14ac:dyDescent="0.3">
      <c r="A1401"/>
    </row>
    <row r="1402" spans="1:1" x14ac:dyDescent="0.3">
      <c r="A1402"/>
    </row>
    <row r="1403" spans="1:1" x14ac:dyDescent="0.3">
      <c r="A1403"/>
    </row>
    <row r="1404" spans="1:1" x14ac:dyDescent="0.3">
      <c r="A1404"/>
    </row>
    <row r="1405" spans="1:1" x14ac:dyDescent="0.3">
      <c r="A1405"/>
    </row>
    <row r="1406" spans="1:1" x14ac:dyDescent="0.3">
      <c r="A1406"/>
    </row>
    <row r="1407" spans="1:1" x14ac:dyDescent="0.3">
      <c r="A1407"/>
    </row>
    <row r="1408" spans="1:1" x14ac:dyDescent="0.3">
      <c r="A1408"/>
    </row>
    <row r="1409" spans="1:1" x14ac:dyDescent="0.3">
      <c r="A1409"/>
    </row>
    <row r="1410" spans="1:1" x14ac:dyDescent="0.3">
      <c r="A1410"/>
    </row>
    <row r="1411" spans="1:1" x14ac:dyDescent="0.3">
      <c r="A1411"/>
    </row>
    <row r="1412" spans="1:1" x14ac:dyDescent="0.3">
      <c r="A1412"/>
    </row>
    <row r="1413" spans="1:1" x14ac:dyDescent="0.3">
      <c r="A1413"/>
    </row>
    <row r="1414" spans="1:1" x14ac:dyDescent="0.3">
      <c r="A1414"/>
    </row>
    <row r="1415" spans="1:1" x14ac:dyDescent="0.3">
      <c r="A1415"/>
    </row>
    <row r="1416" spans="1:1" x14ac:dyDescent="0.3">
      <c r="A1416"/>
    </row>
    <row r="1417" spans="1:1" x14ac:dyDescent="0.3">
      <c r="A1417"/>
    </row>
    <row r="1418" spans="1:1" x14ac:dyDescent="0.3">
      <c r="A1418"/>
    </row>
    <row r="1419" spans="1:1" x14ac:dyDescent="0.3">
      <c r="A1419"/>
    </row>
    <row r="1420" spans="1:1" x14ac:dyDescent="0.3">
      <c r="A1420"/>
    </row>
    <row r="1421" spans="1:1" x14ac:dyDescent="0.3">
      <c r="A1421"/>
    </row>
    <row r="1422" spans="1:1" x14ac:dyDescent="0.3">
      <c r="A1422"/>
    </row>
    <row r="1423" spans="1:1" x14ac:dyDescent="0.3">
      <c r="A1423"/>
    </row>
    <row r="1424" spans="1:1" x14ac:dyDescent="0.3">
      <c r="A1424"/>
    </row>
    <row r="1425" spans="1:1" x14ac:dyDescent="0.3">
      <c r="A1425"/>
    </row>
    <row r="1426" spans="1:1" x14ac:dyDescent="0.3">
      <c r="A1426"/>
    </row>
    <row r="1427" spans="1:1" x14ac:dyDescent="0.3">
      <c r="A1427"/>
    </row>
    <row r="1428" spans="1:1" x14ac:dyDescent="0.3">
      <c r="A1428"/>
    </row>
    <row r="1429" spans="1:1" x14ac:dyDescent="0.3">
      <c r="A1429"/>
    </row>
    <row r="1430" spans="1:1" x14ac:dyDescent="0.3">
      <c r="A1430"/>
    </row>
    <row r="1431" spans="1:1" x14ac:dyDescent="0.3">
      <c r="A1431"/>
    </row>
    <row r="1432" spans="1:1" x14ac:dyDescent="0.3">
      <c r="A1432"/>
    </row>
    <row r="1433" spans="1:1" x14ac:dyDescent="0.3">
      <c r="A1433"/>
    </row>
    <row r="1434" spans="1:1" x14ac:dyDescent="0.3">
      <c r="A1434"/>
    </row>
    <row r="1435" spans="1:1" x14ac:dyDescent="0.3">
      <c r="A1435"/>
    </row>
    <row r="1436" spans="1:1" x14ac:dyDescent="0.3">
      <c r="A1436"/>
    </row>
    <row r="1437" spans="1:1" x14ac:dyDescent="0.3">
      <c r="A1437"/>
    </row>
    <row r="1438" spans="1:1" x14ac:dyDescent="0.3">
      <c r="A1438"/>
    </row>
    <row r="1439" spans="1:1" x14ac:dyDescent="0.3">
      <c r="A1439"/>
    </row>
    <row r="1440" spans="1:1" x14ac:dyDescent="0.3">
      <c r="A1440"/>
    </row>
    <row r="1441" spans="1:1" x14ac:dyDescent="0.3">
      <c r="A1441"/>
    </row>
    <row r="1442" spans="1:1" x14ac:dyDescent="0.3">
      <c r="A1442"/>
    </row>
    <row r="1443" spans="1:1" x14ac:dyDescent="0.3">
      <c r="A1443"/>
    </row>
    <row r="1444" spans="1:1" x14ac:dyDescent="0.3">
      <c r="A1444"/>
    </row>
    <row r="1445" spans="1:1" x14ac:dyDescent="0.3">
      <c r="A1445"/>
    </row>
    <row r="1446" spans="1:1" x14ac:dyDescent="0.3">
      <c r="A1446"/>
    </row>
    <row r="1447" spans="1:1" x14ac:dyDescent="0.3">
      <c r="A1447"/>
    </row>
    <row r="1448" spans="1:1" x14ac:dyDescent="0.3">
      <c r="A1448"/>
    </row>
    <row r="1449" spans="1:1" x14ac:dyDescent="0.3">
      <c r="A1449"/>
    </row>
    <row r="1450" spans="1:1" x14ac:dyDescent="0.3">
      <c r="A1450"/>
    </row>
    <row r="1451" spans="1:1" x14ac:dyDescent="0.3">
      <c r="A1451"/>
    </row>
    <row r="1452" spans="1:1" x14ac:dyDescent="0.3">
      <c r="A1452"/>
    </row>
    <row r="1453" spans="1:1" x14ac:dyDescent="0.3">
      <c r="A1453"/>
    </row>
    <row r="1454" spans="1:1" x14ac:dyDescent="0.3">
      <c r="A1454"/>
    </row>
    <row r="1455" spans="1:1" x14ac:dyDescent="0.3">
      <c r="A1455"/>
    </row>
    <row r="1456" spans="1:1" x14ac:dyDescent="0.3">
      <c r="A1456"/>
    </row>
    <row r="1457" spans="1:1" x14ac:dyDescent="0.3">
      <c r="A1457"/>
    </row>
    <row r="1458" spans="1:1" x14ac:dyDescent="0.3">
      <c r="A1458"/>
    </row>
    <row r="1459" spans="1:1" x14ac:dyDescent="0.3">
      <c r="A1459"/>
    </row>
    <row r="1460" spans="1:1" x14ac:dyDescent="0.3">
      <c r="A1460"/>
    </row>
    <row r="1461" spans="1:1" x14ac:dyDescent="0.3">
      <c r="A1461"/>
    </row>
    <row r="1462" spans="1:1" x14ac:dyDescent="0.3">
      <c r="A1462"/>
    </row>
    <row r="1463" spans="1:1" x14ac:dyDescent="0.3">
      <c r="A1463"/>
    </row>
    <row r="1464" spans="1:1" x14ac:dyDescent="0.3">
      <c r="A1464"/>
    </row>
    <row r="1465" spans="1:1" x14ac:dyDescent="0.3">
      <c r="A1465"/>
    </row>
    <row r="1466" spans="1:1" x14ac:dyDescent="0.3">
      <c r="A1466"/>
    </row>
    <row r="1467" spans="1:1" x14ac:dyDescent="0.3">
      <c r="A1467"/>
    </row>
    <row r="1468" spans="1:1" x14ac:dyDescent="0.3">
      <c r="A1468"/>
    </row>
    <row r="1469" spans="1:1" x14ac:dyDescent="0.3">
      <c r="A1469"/>
    </row>
    <row r="1470" spans="1:1" x14ac:dyDescent="0.3">
      <c r="A1470"/>
    </row>
    <row r="1471" spans="1:1" x14ac:dyDescent="0.3">
      <c r="A1471"/>
    </row>
    <row r="1472" spans="1:1" x14ac:dyDescent="0.3">
      <c r="A1472"/>
    </row>
    <row r="1473" spans="1:1" x14ac:dyDescent="0.3">
      <c r="A1473"/>
    </row>
    <row r="1474" spans="1:1" x14ac:dyDescent="0.3">
      <c r="A1474"/>
    </row>
    <row r="1475" spans="1:1" x14ac:dyDescent="0.3">
      <c r="A1475"/>
    </row>
    <row r="1476" spans="1:1" x14ac:dyDescent="0.3">
      <c r="A1476"/>
    </row>
    <row r="1477" spans="1:1" x14ac:dyDescent="0.3">
      <c r="A1477"/>
    </row>
    <row r="1478" spans="1:1" x14ac:dyDescent="0.3">
      <c r="A1478"/>
    </row>
    <row r="1479" spans="1:1" x14ac:dyDescent="0.3">
      <c r="A1479"/>
    </row>
    <row r="1480" spans="1:1" x14ac:dyDescent="0.3">
      <c r="A1480"/>
    </row>
    <row r="1481" spans="1:1" x14ac:dyDescent="0.3">
      <c r="A1481"/>
    </row>
    <row r="1482" spans="1:1" x14ac:dyDescent="0.3">
      <c r="A1482"/>
    </row>
    <row r="1483" spans="1:1" x14ac:dyDescent="0.3">
      <c r="A1483"/>
    </row>
    <row r="1484" spans="1:1" x14ac:dyDescent="0.3">
      <c r="A1484"/>
    </row>
    <row r="1485" spans="1:1" x14ac:dyDescent="0.3">
      <c r="A1485"/>
    </row>
    <row r="1486" spans="1:1" x14ac:dyDescent="0.3">
      <c r="A1486"/>
    </row>
    <row r="1487" spans="1:1" x14ac:dyDescent="0.3">
      <c r="A1487"/>
    </row>
    <row r="1488" spans="1:1" x14ac:dyDescent="0.3">
      <c r="A1488"/>
    </row>
    <row r="1489" spans="1:1" x14ac:dyDescent="0.3">
      <c r="A1489"/>
    </row>
    <row r="1490" spans="1:1" x14ac:dyDescent="0.3">
      <c r="A1490"/>
    </row>
    <row r="1491" spans="1:1" x14ac:dyDescent="0.3">
      <c r="A1491"/>
    </row>
    <row r="1492" spans="1:1" x14ac:dyDescent="0.3">
      <c r="A1492"/>
    </row>
    <row r="1493" spans="1:1" x14ac:dyDescent="0.3">
      <c r="A1493"/>
    </row>
    <row r="1494" spans="1:1" x14ac:dyDescent="0.3">
      <c r="A1494"/>
    </row>
    <row r="1495" spans="1:1" x14ac:dyDescent="0.3">
      <c r="A1495"/>
    </row>
    <row r="1496" spans="1:1" x14ac:dyDescent="0.3">
      <c r="A1496"/>
    </row>
    <row r="1497" spans="1:1" x14ac:dyDescent="0.3">
      <c r="A1497"/>
    </row>
    <row r="1498" spans="1:1" x14ac:dyDescent="0.3">
      <c r="A1498"/>
    </row>
    <row r="1499" spans="1:1" x14ac:dyDescent="0.3">
      <c r="A1499"/>
    </row>
    <row r="1500" spans="1:1" x14ac:dyDescent="0.3">
      <c r="A1500"/>
    </row>
    <row r="1501" spans="1:1" x14ac:dyDescent="0.3">
      <c r="A1501"/>
    </row>
    <row r="1502" spans="1:1" x14ac:dyDescent="0.3">
      <c r="A1502"/>
    </row>
    <row r="1503" spans="1:1" x14ac:dyDescent="0.3">
      <c r="A1503"/>
    </row>
    <row r="1504" spans="1:1" x14ac:dyDescent="0.3">
      <c r="A1504"/>
    </row>
    <row r="1505" spans="1:1" x14ac:dyDescent="0.3">
      <c r="A1505"/>
    </row>
    <row r="1506" spans="1:1" x14ac:dyDescent="0.3">
      <c r="A1506"/>
    </row>
    <row r="1507" spans="1:1" x14ac:dyDescent="0.3">
      <c r="A1507"/>
    </row>
    <row r="1508" spans="1:1" x14ac:dyDescent="0.3">
      <c r="A1508"/>
    </row>
    <row r="1509" spans="1:1" x14ac:dyDescent="0.3">
      <c r="A1509"/>
    </row>
    <row r="1510" spans="1:1" x14ac:dyDescent="0.3">
      <c r="A1510"/>
    </row>
    <row r="1511" spans="1:1" x14ac:dyDescent="0.3">
      <c r="A1511"/>
    </row>
    <row r="1512" spans="1:1" x14ac:dyDescent="0.3">
      <c r="A1512"/>
    </row>
    <row r="1513" spans="1:1" x14ac:dyDescent="0.3">
      <c r="A1513"/>
    </row>
    <row r="1514" spans="1:1" x14ac:dyDescent="0.3">
      <c r="A1514"/>
    </row>
    <row r="1515" spans="1:1" x14ac:dyDescent="0.3">
      <c r="A1515"/>
    </row>
    <row r="1516" spans="1:1" x14ac:dyDescent="0.3">
      <c r="A1516"/>
    </row>
    <row r="1517" spans="1:1" x14ac:dyDescent="0.3">
      <c r="A1517"/>
    </row>
    <row r="1518" spans="1:1" x14ac:dyDescent="0.3">
      <c r="A1518"/>
    </row>
    <row r="1519" spans="1:1" x14ac:dyDescent="0.3">
      <c r="A1519"/>
    </row>
    <row r="1520" spans="1:1" x14ac:dyDescent="0.3">
      <c r="A1520"/>
    </row>
    <row r="1521" spans="1:1" x14ac:dyDescent="0.3">
      <c r="A1521"/>
    </row>
    <row r="1522" spans="1:1" x14ac:dyDescent="0.3">
      <c r="A1522"/>
    </row>
    <row r="1523" spans="1:1" x14ac:dyDescent="0.3">
      <c r="A1523"/>
    </row>
    <row r="1524" spans="1:1" x14ac:dyDescent="0.3">
      <c r="A1524"/>
    </row>
    <row r="1525" spans="1:1" x14ac:dyDescent="0.3">
      <c r="A1525"/>
    </row>
    <row r="1526" spans="1:1" x14ac:dyDescent="0.3">
      <c r="A1526"/>
    </row>
    <row r="1527" spans="1:1" x14ac:dyDescent="0.3">
      <c r="A1527"/>
    </row>
    <row r="1528" spans="1:1" x14ac:dyDescent="0.3">
      <c r="A1528"/>
    </row>
    <row r="1529" spans="1:1" x14ac:dyDescent="0.3">
      <c r="A1529"/>
    </row>
    <row r="1530" spans="1:1" x14ac:dyDescent="0.3">
      <c r="A1530"/>
    </row>
    <row r="1531" spans="1:1" x14ac:dyDescent="0.3">
      <c r="A1531"/>
    </row>
    <row r="1532" spans="1:1" x14ac:dyDescent="0.3">
      <c r="A1532"/>
    </row>
    <row r="1533" spans="1:1" x14ac:dyDescent="0.3">
      <c r="A1533"/>
    </row>
    <row r="1534" spans="1:1" x14ac:dyDescent="0.3">
      <c r="A1534"/>
    </row>
    <row r="1535" spans="1:1" x14ac:dyDescent="0.3">
      <c r="A1535"/>
    </row>
    <row r="1536" spans="1:1" x14ac:dyDescent="0.3">
      <c r="A1536"/>
    </row>
    <row r="1537" spans="1:1" x14ac:dyDescent="0.3">
      <c r="A1537"/>
    </row>
    <row r="1538" spans="1:1" x14ac:dyDescent="0.3">
      <c r="A1538"/>
    </row>
    <row r="1539" spans="1:1" x14ac:dyDescent="0.3">
      <c r="A1539"/>
    </row>
    <row r="1540" spans="1:1" x14ac:dyDescent="0.3">
      <c r="A1540"/>
    </row>
    <row r="1541" spans="1:1" x14ac:dyDescent="0.3">
      <c r="A1541"/>
    </row>
    <row r="1542" spans="1:1" x14ac:dyDescent="0.3">
      <c r="A1542"/>
    </row>
    <row r="1543" spans="1:1" x14ac:dyDescent="0.3">
      <c r="A1543"/>
    </row>
    <row r="1544" spans="1:1" x14ac:dyDescent="0.3">
      <c r="A1544"/>
    </row>
    <row r="1545" spans="1:1" x14ac:dyDescent="0.3">
      <c r="A1545"/>
    </row>
    <row r="1546" spans="1:1" x14ac:dyDescent="0.3">
      <c r="A1546"/>
    </row>
    <row r="1547" spans="1:1" x14ac:dyDescent="0.3">
      <c r="A1547"/>
    </row>
    <row r="1548" spans="1:1" x14ac:dyDescent="0.3">
      <c r="A1548"/>
    </row>
    <row r="1549" spans="1:1" x14ac:dyDescent="0.3">
      <c r="A1549"/>
    </row>
    <row r="1550" spans="1:1" x14ac:dyDescent="0.3">
      <c r="A1550"/>
    </row>
    <row r="1551" spans="1:1" x14ac:dyDescent="0.3">
      <c r="A1551"/>
    </row>
    <row r="1552" spans="1:1" x14ac:dyDescent="0.3">
      <c r="A1552"/>
    </row>
    <row r="1553" spans="1:1" x14ac:dyDescent="0.3">
      <c r="A1553"/>
    </row>
    <row r="1554" spans="1:1" x14ac:dyDescent="0.3">
      <c r="A1554"/>
    </row>
    <row r="1555" spans="1:1" x14ac:dyDescent="0.3">
      <c r="A1555"/>
    </row>
    <row r="1556" spans="1:1" x14ac:dyDescent="0.3">
      <c r="A1556"/>
    </row>
    <row r="1557" spans="1:1" x14ac:dyDescent="0.3">
      <c r="A1557"/>
    </row>
    <row r="1558" spans="1:1" x14ac:dyDescent="0.3">
      <c r="A1558"/>
    </row>
    <row r="1559" spans="1:1" x14ac:dyDescent="0.3">
      <c r="A1559"/>
    </row>
    <row r="1560" spans="1:1" x14ac:dyDescent="0.3">
      <c r="A1560"/>
    </row>
    <row r="1561" spans="1:1" x14ac:dyDescent="0.3">
      <c r="A1561"/>
    </row>
    <row r="1562" spans="1:1" x14ac:dyDescent="0.3">
      <c r="A1562"/>
    </row>
    <row r="1563" spans="1:1" x14ac:dyDescent="0.3">
      <c r="A1563"/>
    </row>
    <row r="1564" spans="1:1" x14ac:dyDescent="0.3">
      <c r="A1564"/>
    </row>
    <row r="1565" spans="1:1" x14ac:dyDescent="0.3">
      <c r="A1565"/>
    </row>
    <row r="1566" spans="1:1" x14ac:dyDescent="0.3">
      <c r="A1566"/>
    </row>
    <row r="1567" spans="1:1" x14ac:dyDescent="0.3">
      <c r="A1567"/>
    </row>
    <row r="1568" spans="1:1" x14ac:dyDescent="0.3">
      <c r="A1568"/>
    </row>
    <row r="1569" spans="1:1" x14ac:dyDescent="0.3">
      <c r="A1569"/>
    </row>
    <row r="1570" spans="1:1" x14ac:dyDescent="0.3">
      <c r="A1570"/>
    </row>
    <row r="1571" spans="1:1" x14ac:dyDescent="0.3">
      <c r="A1571"/>
    </row>
    <row r="1572" spans="1:1" x14ac:dyDescent="0.3">
      <c r="A1572"/>
    </row>
    <row r="1573" spans="1:1" x14ac:dyDescent="0.3">
      <c r="A1573"/>
    </row>
    <row r="1574" spans="1:1" x14ac:dyDescent="0.3">
      <c r="A1574"/>
    </row>
    <row r="1575" spans="1:1" x14ac:dyDescent="0.3">
      <c r="A1575"/>
    </row>
    <row r="1576" spans="1:1" x14ac:dyDescent="0.3">
      <c r="A1576"/>
    </row>
    <row r="1577" spans="1:1" x14ac:dyDescent="0.3">
      <c r="A1577"/>
    </row>
    <row r="1578" spans="1:1" x14ac:dyDescent="0.3">
      <c r="A1578"/>
    </row>
    <row r="1579" spans="1:1" x14ac:dyDescent="0.3">
      <c r="A1579"/>
    </row>
    <row r="1580" spans="1:1" x14ac:dyDescent="0.3">
      <c r="A1580"/>
    </row>
    <row r="1581" spans="1:1" x14ac:dyDescent="0.3">
      <c r="A1581"/>
    </row>
    <row r="1582" spans="1:1" x14ac:dyDescent="0.3">
      <c r="A1582"/>
    </row>
    <row r="1583" spans="1:1" x14ac:dyDescent="0.3">
      <c r="A1583"/>
    </row>
    <row r="1584" spans="1:1" x14ac:dyDescent="0.3">
      <c r="A1584"/>
    </row>
    <row r="1585" spans="1:1" x14ac:dyDescent="0.3">
      <c r="A1585"/>
    </row>
    <row r="1586" spans="1:1" x14ac:dyDescent="0.3">
      <c r="A1586"/>
    </row>
    <row r="1587" spans="1:1" x14ac:dyDescent="0.3">
      <c r="A1587"/>
    </row>
    <row r="1588" spans="1:1" x14ac:dyDescent="0.3">
      <c r="A1588"/>
    </row>
    <row r="1589" spans="1:1" x14ac:dyDescent="0.3">
      <c r="A1589"/>
    </row>
    <row r="1590" spans="1:1" x14ac:dyDescent="0.3">
      <c r="A1590"/>
    </row>
    <row r="1591" spans="1:1" x14ac:dyDescent="0.3">
      <c r="A1591"/>
    </row>
    <row r="1592" spans="1:1" x14ac:dyDescent="0.3">
      <c r="A1592"/>
    </row>
    <row r="1593" spans="1:1" x14ac:dyDescent="0.3">
      <c r="A1593"/>
    </row>
    <row r="1594" spans="1:1" x14ac:dyDescent="0.3">
      <c r="A1594"/>
    </row>
    <row r="1595" spans="1:1" x14ac:dyDescent="0.3">
      <c r="A1595"/>
    </row>
    <row r="1596" spans="1:1" x14ac:dyDescent="0.3">
      <c r="A1596"/>
    </row>
    <row r="1597" spans="1:1" x14ac:dyDescent="0.3">
      <c r="A1597"/>
    </row>
    <row r="1598" spans="1:1" x14ac:dyDescent="0.3">
      <c r="A1598"/>
    </row>
    <row r="1599" spans="1:1" x14ac:dyDescent="0.3">
      <c r="A1599"/>
    </row>
    <row r="1600" spans="1:1" x14ac:dyDescent="0.3">
      <c r="A1600"/>
    </row>
    <row r="1601" spans="1:1" x14ac:dyDescent="0.3">
      <c r="A1601"/>
    </row>
    <row r="1602" spans="1:1" x14ac:dyDescent="0.3">
      <c r="A1602"/>
    </row>
    <row r="1603" spans="1:1" x14ac:dyDescent="0.3">
      <c r="A1603"/>
    </row>
    <row r="1604" spans="1:1" x14ac:dyDescent="0.3">
      <c r="A1604"/>
    </row>
    <row r="1605" spans="1:1" x14ac:dyDescent="0.3">
      <c r="A1605"/>
    </row>
    <row r="1606" spans="1:1" x14ac:dyDescent="0.3">
      <c r="A1606"/>
    </row>
    <row r="1607" spans="1:1" x14ac:dyDescent="0.3">
      <c r="A1607"/>
    </row>
    <row r="1608" spans="1:1" x14ac:dyDescent="0.3">
      <c r="A1608"/>
    </row>
    <row r="1609" spans="1:1" x14ac:dyDescent="0.3">
      <c r="A1609"/>
    </row>
    <row r="1610" spans="1:1" x14ac:dyDescent="0.3">
      <c r="A1610"/>
    </row>
    <row r="1611" spans="1:1" x14ac:dyDescent="0.3">
      <c r="A1611"/>
    </row>
    <row r="1612" spans="1:1" x14ac:dyDescent="0.3">
      <c r="A1612"/>
    </row>
    <row r="1613" spans="1:1" x14ac:dyDescent="0.3">
      <c r="A1613"/>
    </row>
    <row r="1614" spans="1:1" x14ac:dyDescent="0.3">
      <c r="A1614"/>
    </row>
    <row r="1615" spans="1:1" x14ac:dyDescent="0.3">
      <c r="A1615"/>
    </row>
    <row r="1616" spans="1:1" x14ac:dyDescent="0.3">
      <c r="A1616"/>
    </row>
    <row r="1617" spans="1:1" x14ac:dyDescent="0.3">
      <c r="A1617"/>
    </row>
    <row r="1618" spans="1:1" x14ac:dyDescent="0.3">
      <c r="A1618"/>
    </row>
    <row r="1619" spans="1:1" x14ac:dyDescent="0.3">
      <c r="A1619"/>
    </row>
    <row r="1620" spans="1:1" x14ac:dyDescent="0.3">
      <c r="A1620"/>
    </row>
    <row r="1621" spans="1:1" x14ac:dyDescent="0.3">
      <c r="A1621"/>
    </row>
    <row r="1622" spans="1:1" x14ac:dyDescent="0.3">
      <c r="A1622"/>
    </row>
    <row r="1623" spans="1:1" x14ac:dyDescent="0.3">
      <c r="A1623"/>
    </row>
    <row r="1624" spans="1:1" x14ac:dyDescent="0.3">
      <c r="A1624"/>
    </row>
    <row r="1625" spans="1:1" x14ac:dyDescent="0.3">
      <c r="A1625"/>
    </row>
    <row r="1626" spans="1:1" x14ac:dyDescent="0.3">
      <c r="A1626"/>
    </row>
    <row r="1627" spans="1:1" x14ac:dyDescent="0.3">
      <c r="A1627"/>
    </row>
    <row r="1628" spans="1:1" x14ac:dyDescent="0.3">
      <c r="A1628"/>
    </row>
    <row r="1629" spans="1:1" x14ac:dyDescent="0.3">
      <c r="A1629"/>
    </row>
    <row r="1630" spans="1:1" x14ac:dyDescent="0.3">
      <c r="A1630"/>
    </row>
    <row r="1631" spans="1:1" x14ac:dyDescent="0.3">
      <c r="A1631"/>
    </row>
    <row r="1632" spans="1:1" x14ac:dyDescent="0.3">
      <c r="A1632"/>
    </row>
    <row r="1633" spans="1:1" x14ac:dyDescent="0.3">
      <c r="A1633"/>
    </row>
    <row r="1634" spans="1:1" x14ac:dyDescent="0.3">
      <c r="A1634"/>
    </row>
    <row r="1635" spans="1:1" x14ac:dyDescent="0.3">
      <c r="A1635"/>
    </row>
    <row r="1636" spans="1:1" x14ac:dyDescent="0.3">
      <c r="A1636"/>
    </row>
    <row r="1637" spans="1:1" x14ac:dyDescent="0.3">
      <c r="A1637"/>
    </row>
    <row r="1638" spans="1:1" x14ac:dyDescent="0.3">
      <c r="A1638"/>
    </row>
    <row r="1639" spans="1:1" x14ac:dyDescent="0.3">
      <c r="A1639"/>
    </row>
    <row r="1640" spans="1:1" x14ac:dyDescent="0.3">
      <c r="A1640"/>
    </row>
    <row r="1641" spans="1:1" x14ac:dyDescent="0.3">
      <c r="A1641"/>
    </row>
    <row r="1642" spans="1:1" x14ac:dyDescent="0.3">
      <c r="A1642"/>
    </row>
    <row r="1643" spans="1:1" x14ac:dyDescent="0.3">
      <c r="A1643"/>
    </row>
    <row r="1644" spans="1:1" x14ac:dyDescent="0.3">
      <c r="A1644"/>
    </row>
    <row r="1645" spans="1:1" x14ac:dyDescent="0.3">
      <c r="A1645"/>
    </row>
    <row r="1646" spans="1:1" x14ac:dyDescent="0.3">
      <c r="A1646"/>
    </row>
    <row r="1647" spans="1:1" x14ac:dyDescent="0.3">
      <c r="A1647"/>
    </row>
    <row r="1648" spans="1:1" x14ac:dyDescent="0.3">
      <c r="A1648"/>
    </row>
    <row r="1649" spans="1:1" x14ac:dyDescent="0.3">
      <c r="A1649"/>
    </row>
    <row r="1650" spans="1:1" x14ac:dyDescent="0.3">
      <c r="A1650"/>
    </row>
    <row r="1651" spans="1:1" x14ac:dyDescent="0.3">
      <c r="A1651"/>
    </row>
    <row r="1652" spans="1:1" x14ac:dyDescent="0.3">
      <c r="A1652"/>
    </row>
    <row r="1653" spans="1:1" x14ac:dyDescent="0.3">
      <c r="A1653"/>
    </row>
    <row r="1654" spans="1:1" x14ac:dyDescent="0.3">
      <c r="A1654"/>
    </row>
    <row r="1655" spans="1:1" x14ac:dyDescent="0.3">
      <c r="A1655"/>
    </row>
    <row r="1656" spans="1:1" x14ac:dyDescent="0.3">
      <c r="A1656"/>
    </row>
    <row r="1657" spans="1:1" x14ac:dyDescent="0.3">
      <c r="A1657"/>
    </row>
    <row r="1658" spans="1:1" x14ac:dyDescent="0.3">
      <c r="A1658"/>
    </row>
    <row r="1659" spans="1:1" x14ac:dyDescent="0.3">
      <c r="A1659"/>
    </row>
    <row r="1660" spans="1:1" x14ac:dyDescent="0.3">
      <c r="A1660"/>
    </row>
    <row r="1661" spans="1:1" x14ac:dyDescent="0.3">
      <c r="A1661"/>
    </row>
    <row r="1662" spans="1:1" x14ac:dyDescent="0.3">
      <c r="A1662"/>
    </row>
    <row r="1663" spans="1:1" x14ac:dyDescent="0.3">
      <c r="A1663"/>
    </row>
    <row r="1664" spans="1:1" x14ac:dyDescent="0.3">
      <c r="A1664"/>
    </row>
    <row r="1665" spans="1:1" x14ac:dyDescent="0.3">
      <c r="A1665"/>
    </row>
    <row r="1666" spans="1:1" x14ac:dyDescent="0.3">
      <c r="A1666"/>
    </row>
    <row r="1667" spans="1:1" x14ac:dyDescent="0.3">
      <c r="A1667"/>
    </row>
    <row r="1668" spans="1:1" x14ac:dyDescent="0.3">
      <c r="A1668"/>
    </row>
    <row r="1669" spans="1:1" x14ac:dyDescent="0.3">
      <c r="A1669"/>
    </row>
    <row r="1670" spans="1:1" x14ac:dyDescent="0.3">
      <c r="A1670"/>
    </row>
    <row r="1671" spans="1:1" x14ac:dyDescent="0.3">
      <c r="A1671"/>
    </row>
    <row r="1672" spans="1:1" x14ac:dyDescent="0.3">
      <c r="A1672"/>
    </row>
    <row r="1673" spans="1:1" x14ac:dyDescent="0.3">
      <c r="A1673"/>
    </row>
    <row r="1674" spans="1:1" x14ac:dyDescent="0.3">
      <c r="A1674"/>
    </row>
    <row r="1675" spans="1:1" x14ac:dyDescent="0.3">
      <c r="A1675"/>
    </row>
    <row r="1676" spans="1:1" x14ac:dyDescent="0.3">
      <c r="A1676"/>
    </row>
    <row r="1677" spans="1:1" x14ac:dyDescent="0.3">
      <c r="A1677"/>
    </row>
    <row r="1678" spans="1:1" x14ac:dyDescent="0.3">
      <c r="A1678"/>
    </row>
    <row r="1679" spans="1:1" x14ac:dyDescent="0.3">
      <c r="A1679"/>
    </row>
    <row r="1680" spans="1:1" x14ac:dyDescent="0.3">
      <c r="A1680"/>
    </row>
    <row r="1681" spans="1:1" x14ac:dyDescent="0.3">
      <c r="A1681"/>
    </row>
    <row r="1682" spans="1:1" x14ac:dyDescent="0.3">
      <c r="A1682"/>
    </row>
    <row r="1683" spans="1:1" x14ac:dyDescent="0.3">
      <c r="A1683"/>
    </row>
    <row r="1684" spans="1:1" x14ac:dyDescent="0.3">
      <c r="A1684"/>
    </row>
    <row r="1685" spans="1:1" x14ac:dyDescent="0.3">
      <c r="A1685"/>
    </row>
    <row r="1686" spans="1:1" x14ac:dyDescent="0.3">
      <c r="A1686"/>
    </row>
    <row r="1687" spans="1:1" x14ac:dyDescent="0.3">
      <c r="A1687"/>
    </row>
    <row r="1688" spans="1:1" x14ac:dyDescent="0.3">
      <c r="A1688"/>
    </row>
    <row r="1689" spans="1:1" x14ac:dyDescent="0.3">
      <c r="A1689"/>
    </row>
    <row r="1690" spans="1:1" x14ac:dyDescent="0.3">
      <c r="A1690"/>
    </row>
    <row r="1691" spans="1:1" x14ac:dyDescent="0.3">
      <c r="A1691"/>
    </row>
    <row r="1692" spans="1:1" x14ac:dyDescent="0.3">
      <c r="A1692"/>
    </row>
    <row r="1693" spans="1:1" x14ac:dyDescent="0.3">
      <c r="A1693"/>
    </row>
    <row r="1694" spans="1:1" x14ac:dyDescent="0.3">
      <c r="A1694"/>
    </row>
    <row r="1695" spans="1:1" x14ac:dyDescent="0.3">
      <c r="A1695"/>
    </row>
    <row r="1696" spans="1:1" x14ac:dyDescent="0.3">
      <c r="A1696"/>
    </row>
    <row r="1697" spans="1:1" x14ac:dyDescent="0.3">
      <c r="A1697"/>
    </row>
    <row r="1698" spans="1:1" x14ac:dyDescent="0.3">
      <c r="A1698"/>
    </row>
    <row r="1699" spans="1:1" x14ac:dyDescent="0.3">
      <c r="A1699"/>
    </row>
    <row r="1700" spans="1:1" x14ac:dyDescent="0.3">
      <c r="A1700"/>
    </row>
    <row r="1701" spans="1:1" x14ac:dyDescent="0.3">
      <c r="A1701"/>
    </row>
    <row r="1702" spans="1:1" x14ac:dyDescent="0.3">
      <c r="A1702"/>
    </row>
    <row r="1703" spans="1:1" x14ac:dyDescent="0.3">
      <c r="A1703"/>
    </row>
    <row r="1704" spans="1:1" x14ac:dyDescent="0.3">
      <c r="A1704"/>
    </row>
    <row r="1705" spans="1:1" x14ac:dyDescent="0.3">
      <c r="A1705"/>
    </row>
    <row r="1706" spans="1:1" x14ac:dyDescent="0.3">
      <c r="A1706"/>
    </row>
    <row r="1707" spans="1:1" x14ac:dyDescent="0.3">
      <c r="A1707"/>
    </row>
    <row r="1708" spans="1:1" x14ac:dyDescent="0.3">
      <c r="A1708"/>
    </row>
    <row r="1709" spans="1:1" x14ac:dyDescent="0.3">
      <c r="A1709"/>
    </row>
    <row r="1710" spans="1:1" x14ac:dyDescent="0.3">
      <c r="A1710"/>
    </row>
    <row r="1711" spans="1:1" x14ac:dyDescent="0.3">
      <c r="A1711"/>
    </row>
    <row r="1712" spans="1:1" x14ac:dyDescent="0.3">
      <c r="A1712"/>
    </row>
    <row r="1713" spans="1:1" x14ac:dyDescent="0.3">
      <c r="A1713"/>
    </row>
    <row r="1714" spans="1:1" x14ac:dyDescent="0.3">
      <c r="A1714"/>
    </row>
    <row r="1715" spans="1:1" x14ac:dyDescent="0.3">
      <c r="A1715"/>
    </row>
    <row r="1716" spans="1:1" x14ac:dyDescent="0.3">
      <c r="A1716"/>
    </row>
    <row r="1717" spans="1:1" x14ac:dyDescent="0.3">
      <c r="A1717"/>
    </row>
    <row r="1718" spans="1:1" x14ac:dyDescent="0.3">
      <c r="A1718"/>
    </row>
    <row r="1719" spans="1:1" x14ac:dyDescent="0.3">
      <c r="A1719"/>
    </row>
    <row r="1720" spans="1:1" x14ac:dyDescent="0.3">
      <c r="A1720"/>
    </row>
    <row r="1721" spans="1:1" x14ac:dyDescent="0.3">
      <c r="A1721"/>
    </row>
    <row r="1722" spans="1:1" x14ac:dyDescent="0.3">
      <c r="A1722"/>
    </row>
    <row r="1723" spans="1:1" x14ac:dyDescent="0.3">
      <c r="A1723"/>
    </row>
    <row r="1724" spans="1:1" x14ac:dyDescent="0.3">
      <c r="A1724"/>
    </row>
    <row r="1725" spans="1:1" x14ac:dyDescent="0.3">
      <c r="A1725"/>
    </row>
    <row r="1726" spans="1:1" x14ac:dyDescent="0.3">
      <c r="A1726"/>
    </row>
    <row r="1727" spans="1:1" x14ac:dyDescent="0.3">
      <c r="A1727"/>
    </row>
    <row r="1728" spans="1:1" x14ac:dyDescent="0.3">
      <c r="A1728"/>
    </row>
    <row r="1729" spans="1:1" x14ac:dyDescent="0.3">
      <c r="A1729"/>
    </row>
    <row r="1730" spans="1:1" x14ac:dyDescent="0.3">
      <c r="A1730"/>
    </row>
    <row r="1731" spans="1:1" x14ac:dyDescent="0.3">
      <c r="A1731"/>
    </row>
    <row r="1732" spans="1:1" x14ac:dyDescent="0.3">
      <c r="A1732"/>
    </row>
    <row r="1733" spans="1:1" x14ac:dyDescent="0.3">
      <c r="A1733"/>
    </row>
    <row r="1734" spans="1:1" x14ac:dyDescent="0.3">
      <c r="A1734"/>
    </row>
    <row r="1735" spans="1:1" x14ac:dyDescent="0.3">
      <c r="A1735"/>
    </row>
    <row r="1736" spans="1:1" x14ac:dyDescent="0.3">
      <c r="A1736"/>
    </row>
    <row r="1737" spans="1:1" x14ac:dyDescent="0.3">
      <c r="A1737"/>
    </row>
    <row r="1738" spans="1:1" x14ac:dyDescent="0.3">
      <c r="A1738"/>
    </row>
    <row r="1739" spans="1:1" x14ac:dyDescent="0.3">
      <c r="A1739"/>
    </row>
    <row r="1740" spans="1:1" x14ac:dyDescent="0.3">
      <c r="A1740"/>
    </row>
    <row r="1741" spans="1:1" x14ac:dyDescent="0.3">
      <c r="A1741"/>
    </row>
    <row r="1742" spans="1:1" x14ac:dyDescent="0.3">
      <c r="A1742"/>
    </row>
    <row r="1743" spans="1:1" x14ac:dyDescent="0.3">
      <c r="A1743"/>
    </row>
    <row r="1744" spans="1:1" x14ac:dyDescent="0.3">
      <c r="A1744"/>
    </row>
    <row r="1745" spans="1:1" x14ac:dyDescent="0.3">
      <c r="A1745"/>
    </row>
    <row r="1746" spans="1:1" x14ac:dyDescent="0.3">
      <c r="A1746"/>
    </row>
    <row r="1747" spans="1:1" x14ac:dyDescent="0.3">
      <c r="A1747"/>
    </row>
    <row r="1748" spans="1:1" x14ac:dyDescent="0.3">
      <c r="A1748"/>
    </row>
    <row r="1749" spans="1:1" x14ac:dyDescent="0.3">
      <c r="A1749"/>
    </row>
    <row r="1750" spans="1:1" x14ac:dyDescent="0.3">
      <c r="A1750"/>
    </row>
    <row r="1751" spans="1:1" x14ac:dyDescent="0.3">
      <c r="A1751"/>
    </row>
    <row r="1752" spans="1:1" x14ac:dyDescent="0.3">
      <c r="A1752"/>
    </row>
    <row r="1753" spans="1:1" x14ac:dyDescent="0.3">
      <c r="A1753"/>
    </row>
    <row r="1754" spans="1:1" x14ac:dyDescent="0.3">
      <c r="A1754"/>
    </row>
    <row r="1755" spans="1:1" x14ac:dyDescent="0.3">
      <c r="A1755"/>
    </row>
    <row r="1756" spans="1:1" x14ac:dyDescent="0.3">
      <c r="A1756"/>
    </row>
    <row r="1757" spans="1:1" x14ac:dyDescent="0.3">
      <c r="A1757"/>
    </row>
    <row r="1758" spans="1:1" x14ac:dyDescent="0.3">
      <c r="A1758"/>
    </row>
    <row r="1759" spans="1:1" x14ac:dyDescent="0.3">
      <c r="A1759"/>
    </row>
    <row r="1760" spans="1:1" x14ac:dyDescent="0.3">
      <c r="A1760"/>
    </row>
    <row r="1761" spans="1:1" x14ac:dyDescent="0.3">
      <c r="A1761"/>
    </row>
    <row r="1762" spans="1:1" x14ac:dyDescent="0.3">
      <c r="A1762"/>
    </row>
    <row r="1763" spans="1:1" x14ac:dyDescent="0.3">
      <c r="A1763"/>
    </row>
    <row r="1764" spans="1:1" x14ac:dyDescent="0.3">
      <c r="A1764"/>
    </row>
    <row r="1765" spans="1:1" x14ac:dyDescent="0.3">
      <c r="A1765"/>
    </row>
    <row r="1766" spans="1:1" x14ac:dyDescent="0.3">
      <c r="A1766"/>
    </row>
    <row r="1767" spans="1:1" x14ac:dyDescent="0.3">
      <c r="A1767"/>
    </row>
    <row r="1768" spans="1:1" x14ac:dyDescent="0.3">
      <c r="A1768"/>
    </row>
    <row r="1769" spans="1:1" x14ac:dyDescent="0.3">
      <c r="A1769"/>
    </row>
    <row r="1770" spans="1:1" x14ac:dyDescent="0.3">
      <c r="A1770"/>
    </row>
    <row r="1771" spans="1:1" x14ac:dyDescent="0.3">
      <c r="A1771"/>
    </row>
    <row r="1772" spans="1:1" x14ac:dyDescent="0.3">
      <c r="A1772"/>
    </row>
    <row r="1773" spans="1:1" x14ac:dyDescent="0.3">
      <c r="A1773"/>
    </row>
    <row r="1774" spans="1:1" x14ac:dyDescent="0.3">
      <c r="A1774"/>
    </row>
    <row r="1775" spans="1:1" x14ac:dyDescent="0.3">
      <c r="A1775"/>
    </row>
    <row r="1776" spans="1:1" x14ac:dyDescent="0.3">
      <c r="A1776"/>
    </row>
    <row r="1777" spans="1:1" x14ac:dyDescent="0.3">
      <c r="A1777"/>
    </row>
    <row r="1778" spans="1:1" x14ac:dyDescent="0.3">
      <c r="A1778"/>
    </row>
    <row r="1779" spans="1:1" x14ac:dyDescent="0.3">
      <c r="A1779"/>
    </row>
    <row r="1780" spans="1:1" x14ac:dyDescent="0.3">
      <c r="A1780"/>
    </row>
    <row r="1781" spans="1:1" x14ac:dyDescent="0.3">
      <c r="A1781"/>
    </row>
    <row r="1782" spans="1:1" x14ac:dyDescent="0.3">
      <c r="A1782"/>
    </row>
    <row r="1783" spans="1:1" x14ac:dyDescent="0.3">
      <c r="A1783"/>
    </row>
    <row r="1784" spans="1:1" x14ac:dyDescent="0.3">
      <c r="A1784"/>
    </row>
    <row r="1785" spans="1:1" x14ac:dyDescent="0.3">
      <c r="A1785"/>
    </row>
    <row r="1786" spans="1:1" x14ac:dyDescent="0.3">
      <c r="A1786"/>
    </row>
    <row r="1787" spans="1:1" x14ac:dyDescent="0.3">
      <c r="A1787"/>
    </row>
    <row r="1788" spans="1:1" x14ac:dyDescent="0.3">
      <c r="A1788"/>
    </row>
    <row r="1789" spans="1:1" x14ac:dyDescent="0.3">
      <c r="A1789"/>
    </row>
    <row r="1790" spans="1:1" x14ac:dyDescent="0.3">
      <c r="A1790"/>
    </row>
    <row r="1791" spans="1:1" x14ac:dyDescent="0.3">
      <c r="A1791"/>
    </row>
    <row r="1792" spans="1:1" x14ac:dyDescent="0.3">
      <c r="A1792"/>
    </row>
    <row r="1793" spans="1:1" x14ac:dyDescent="0.3">
      <c r="A1793"/>
    </row>
    <row r="1794" spans="1:1" x14ac:dyDescent="0.3">
      <c r="A1794"/>
    </row>
    <row r="1795" spans="1:1" x14ac:dyDescent="0.3">
      <c r="A1795"/>
    </row>
    <row r="1796" spans="1:1" x14ac:dyDescent="0.3">
      <c r="A1796"/>
    </row>
    <row r="1797" spans="1:1" x14ac:dyDescent="0.3">
      <c r="A1797"/>
    </row>
    <row r="1798" spans="1:1" x14ac:dyDescent="0.3">
      <c r="A1798"/>
    </row>
    <row r="1799" spans="1:1" x14ac:dyDescent="0.3">
      <c r="A1799"/>
    </row>
    <row r="1800" spans="1:1" x14ac:dyDescent="0.3">
      <c r="A1800"/>
    </row>
    <row r="1801" spans="1:1" x14ac:dyDescent="0.3">
      <c r="A1801"/>
    </row>
    <row r="1802" spans="1:1" x14ac:dyDescent="0.3">
      <c r="A1802"/>
    </row>
    <row r="1803" spans="1:1" x14ac:dyDescent="0.3">
      <c r="A1803"/>
    </row>
    <row r="1804" spans="1:1" x14ac:dyDescent="0.3">
      <c r="A1804"/>
    </row>
    <row r="1805" spans="1:1" x14ac:dyDescent="0.3">
      <c r="A1805"/>
    </row>
    <row r="1806" spans="1:1" x14ac:dyDescent="0.3">
      <c r="A1806"/>
    </row>
    <row r="1807" spans="1:1" x14ac:dyDescent="0.3">
      <c r="A1807"/>
    </row>
    <row r="1808" spans="1:1" x14ac:dyDescent="0.3">
      <c r="A1808"/>
    </row>
    <row r="1809" spans="1:1" x14ac:dyDescent="0.3">
      <c r="A1809"/>
    </row>
    <row r="1810" spans="1:1" x14ac:dyDescent="0.3">
      <c r="A1810"/>
    </row>
    <row r="1811" spans="1:1" x14ac:dyDescent="0.3">
      <c r="A1811"/>
    </row>
    <row r="1812" spans="1:1" x14ac:dyDescent="0.3">
      <c r="A1812"/>
    </row>
    <row r="1813" spans="1:1" x14ac:dyDescent="0.3">
      <c r="A1813"/>
    </row>
    <row r="1814" spans="1:1" x14ac:dyDescent="0.3">
      <c r="A1814"/>
    </row>
    <row r="1815" spans="1:1" x14ac:dyDescent="0.3">
      <c r="A1815"/>
    </row>
    <row r="1816" spans="1:1" x14ac:dyDescent="0.3">
      <c r="A1816"/>
    </row>
    <row r="1817" spans="1:1" x14ac:dyDescent="0.3">
      <c r="A1817"/>
    </row>
    <row r="1818" spans="1:1" x14ac:dyDescent="0.3">
      <c r="A1818"/>
    </row>
    <row r="1819" spans="1:1" x14ac:dyDescent="0.3">
      <c r="A1819"/>
    </row>
    <row r="1820" spans="1:1" x14ac:dyDescent="0.3">
      <c r="A1820"/>
    </row>
    <row r="1821" spans="1:1" x14ac:dyDescent="0.3">
      <c r="A1821"/>
    </row>
    <row r="1822" spans="1:1" x14ac:dyDescent="0.3">
      <c r="A1822"/>
    </row>
    <row r="1823" spans="1:1" x14ac:dyDescent="0.3">
      <c r="A1823"/>
    </row>
    <row r="1824" spans="1:1" x14ac:dyDescent="0.3">
      <c r="A1824"/>
    </row>
    <row r="1825" spans="1:1" x14ac:dyDescent="0.3">
      <c r="A1825"/>
    </row>
    <row r="1826" spans="1:1" x14ac:dyDescent="0.3">
      <c r="A1826"/>
    </row>
    <row r="1827" spans="1:1" x14ac:dyDescent="0.3">
      <c r="A1827"/>
    </row>
    <row r="1828" spans="1:1" x14ac:dyDescent="0.3">
      <c r="A1828"/>
    </row>
    <row r="1829" spans="1:1" x14ac:dyDescent="0.3">
      <c r="A1829"/>
    </row>
    <row r="1830" spans="1:1" x14ac:dyDescent="0.3">
      <c r="A1830"/>
    </row>
    <row r="1831" spans="1:1" x14ac:dyDescent="0.3">
      <c r="A1831"/>
    </row>
    <row r="1832" spans="1:1" x14ac:dyDescent="0.3">
      <c r="A1832"/>
    </row>
    <row r="1833" spans="1:1" x14ac:dyDescent="0.3">
      <c r="A1833"/>
    </row>
    <row r="1834" spans="1:1" x14ac:dyDescent="0.3">
      <c r="A1834"/>
    </row>
    <row r="1835" spans="1:1" x14ac:dyDescent="0.3">
      <c r="A1835"/>
    </row>
    <row r="1836" spans="1:1" x14ac:dyDescent="0.3">
      <c r="A1836"/>
    </row>
    <row r="1837" spans="1:1" x14ac:dyDescent="0.3">
      <c r="A1837"/>
    </row>
    <row r="1838" spans="1:1" x14ac:dyDescent="0.3">
      <c r="A1838"/>
    </row>
    <row r="1839" spans="1:1" x14ac:dyDescent="0.3">
      <c r="A1839"/>
    </row>
    <row r="1840" spans="1:1" x14ac:dyDescent="0.3">
      <c r="A1840"/>
    </row>
    <row r="1841" spans="1:1" x14ac:dyDescent="0.3">
      <c r="A1841"/>
    </row>
    <row r="1842" spans="1:1" x14ac:dyDescent="0.3">
      <c r="A1842"/>
    </row>
    <row r="1843" spans="1:1" x14ac:dyDescent="0.3">
      <c r="A1843"/>
    </row>
    <row r="1844" spans="1:1" x14ac:dyDescent="0.3">
      <c r="A1844"/>
    </row>
    <row r="1845" spans="1:1" x14ac:dyDescent="0.3">
      <c r="A1845"/>
    </row>
    <row r="1846" spans="1:1" x14ac:dyDescent="0.3">
      <c r="A1846"/>
    </row>
    <row r="1847" spans="1:1" x14ac:dyDescent="0.3">
      <c r="A1847"/>
    </row>
    <row r="1848" spans="1:1" x14ac:dyDescent="0.3">
      <c r="A1848"/>
    </row>
    <row r="1849" spans="1:1" x14ac:dyDescent="0.3">
      <c r="A1849"/>
    </row>
    <row r="1850" spans="1:1" x14ac:dyDescent="0.3">
      <c r="A1850"/>
    </row>
    <row r="1851" spans="1:1" x14ac:dyDescent="0.3">
      <c r="A1851"/>
    </row>
    <row r="1852" spans="1:1" x14ac:dyDescent="0.3">
      <c r="A1852"/>
    </row>
    <row r="1853" spans="1:1" x14ac:dyDescent="0.3">
      <c r="A1853"/>
    </row>
    <row r="1854" spans="1:1" x14ac:dyDescent="0.3">
      <c r="A1854"/>
    </row>
    <row r="1855" spans="1:1" x14ac:dyDescent="0.3">
      <c r="A1855"/>
    </row>
    <row r="1856" spans="1:1" x14ac:dyDescent="0.3">
      <c r="A1856"/>
    </row>
    <row r="1857" spans="1:1" x14ac:dyDescent="0.3">
      <c r="A1857"/>
    </row>
    <row r="1858" spans="1:1" x14ac:dyDescent="0.3">
      <c r="A1858"/>
    </row>
    <row r="1859" spans="1:1" x14ac:dyDescent="0.3">
      <c r="A1859"/>
    </row>
    <row r="1860" spans="1:1" x14ac:dyDescent="0.3">
      <c r="A1860"/>
    </row>
    <row r="1861" spans="1:1" x14ac:dyDescent="0.3">
      <c r="A1861"/>
    </row>
    <row r="1862" spans="1:1" x14ac:dyDescent="0.3">
      <c r="A1862"/>
    </row>
    <row r="1863" spans="1:1" x14ac:dyDescent="0.3">
      <c r="A1863"/>
    </row>
    <row r="1864" spans="1:1" x14ac:dyDescent="0.3">
      <c r="A1864"/>
    </row>
    <row r="1865" spans="1:1" x14ac:dyDescent="0.3">
      <c r="A1865"/>
    </row>
    <row r="1866" spans="1:1" x14ac:dyDescent="0.3">
      <c r="A1866"/>
    </row>
    <row r="1867" spans="1:1" x14ac:dyDescent="0.3">
      <c r="A1867"/>
    </row>
    <row r="1868" spans="1:1" x14ac:dyDescent="0.3">
      <c r="A1868"/>
    </row>
    <row r="1869" spans="1:1" x14ac:dyDescent="0.3">
      <c r="A1869"/>
    </row>
    <row r="1870" spans="1:1" x14ac:dyDescent="0.3">
      <c r="A1870"/>
    </row>
    <row r="1871" spans="1:1" x14ac:dyDescent="0.3">
      <c r="A1871"/>
    </row>
    <row r="1872" spans="1:1" x14ac:dyDescent="0.3">
      <c r="A1872"/>
    </row>
    <row r="1873" spans="1:1" x14ac:dyDescent="0.3">
      <c r="A1873"/>
    </row>
    <row r="1874" spans="1:1" x14ac:dyDescent="0.3">
      <c r="A1874"/>
    </row>
    <row r="1875" spans="1:1" x14ac:dyDescent="0.3">
      <c r="A1875"/>
    </row>
    <row r="1876" spans="1:1" x14ac:dyDescent="0.3">
      <c r="A1876"/>
    </row>
    <row r="1877" spans="1:1" x14ac:dyDescent="0.3">
      <c r="A1877"/>
    </row>
    <row r="1878" spans="1:1" x14ac:dyDescent="0.3">
      <c r="A1878"/>
    </row>
    <row r="1879" spans="1:1" x14ac:dyDescent="0.3">
      <c r="A1879"/>
    </row>
    <row r="1880" spans="1:1" x14ac:dyDescent="0.3">
      <c r="A1880"/>
    </row>
    <row r="1881" spans="1:1" x14ac:dyDescent="0.3">
      <c r="A1881"/>
    </row>
    <row r="1882" spans="1:1" x14ac:dyDescent="0.3">
      <c r="A1882"/>
    </row>
    <row r="1883" spans="1:1" x14ac:dyDescent="0.3">
      <c r="A1883"/>
    </row>
    <row r="1884" spans="1:1" x14ac:dyDescent="0.3">
      <c r="A1884"/>
    </row>
    <row r="1885" spans="1:1" x14ac:dyDescent="0.3">
      <c r="A1885"/>
    </row>
    <row r="1886" spans="1:1" x14ac:dyDescent="0.3">
      <c r="A1886"/>
    </row>
    <row r="1887" spans="1:1" x14ac:dyDescent="0.3">
      <c r="A1887"/>
    </row>
    <row r="1888" spans="1:1" x14ac:dyDescent="0.3">
      <c r="A1888"/>
    </row>
    <row r="1889" spans="1:1" x14ac:dyDescent="0.3">
      <c r="A1889"/>
    </row>
    <row r="1890" spans="1:1" x14ac:dyDescent="0.3">
      <c r="A1890"/>
    </row>
    <row r="1891" spans="1:1" x14ac:dyDescent="0.3">
      <c r="A1891"/>
    </row>
    <row r="1892" spans="1:1" x14ac:dyDescent="0.3">
      <c r="A1892"/>
    </row>
    <row r="1893" spans="1:1" x14ac:dyDescent="0.3">
      <c r="A1893"/>
    </row>
    <row r="1894" spans="1:1" x14ac:dyDescent="0.3">
      <c r="A1894"/>
    </row>
    <row r="1895" spans="1:1" x14ac:dyDescent="0.3">
      <c r="A1895"/>
    </row>
    <row r="1896" spans="1:1" x14ac:dyDescent="0.3">
      <c r="A1896"/>
    </row>
    <row r="1897" spans="1:1" x14ac:dyDescent="0.3">
      <c r="A1897"/>
    </row>
    <row r="1898" spans="1:1" x14ac:dyDescent="0.3">
      <c r="A1898"/>
    </row>
    <row r="1899" spans="1:1" x14ac:dyDescent="0.3">
      <c r="A1899"/>
    </row>
    <row r="1900" spans="1:1" x14ac:dyDescent="0.3">
      <c r="A1900"/>
    </row>
    <row r="1901" spans="1:1" x14ac:dyDescent="0.3">
      <c r="A1901"/>
    </row>
    <row r="1902" spans="1:1" x14ac:dyDescent="0.3">
      <c r="A1902"/>
    </row>
    <row r="1903" spans="1:1" x14ac:dyDescent="0.3">
      <c r="A1903"/>
    </row>
    <row r="1904" spans="1:1" x14ac:dyDescent="0.3">
      <c r="A1904"/>
    </row>
    <row r="1905" spans="1:1" x14ac:dyDescent="0.3">
      <c r="A1905"/>
    </row>
    <row r="1906" spans="1:1" x14ac:dyDescent="0.3">
      <c r="A1906"/>
    </row>
    <row r="1907" spans="1:1" x14ac:dyDescent="0.3">
      <c r="A1907"/>
    </row>
    <row r="1908" spans="1:1" x14ac:dyDescent="0.3">
      <c r="A1908"/>
    </row>
    <row r="1909" spans="1:1" x14ac:dyDescent="0.3">
      <c r="A1909"/>
    </row>
    <row r="1910" spans="1:1" x14ac:dyDescent="0.3">
      <c r="A1910"/>
    </row>
    <row r="1911" spans="1:1" x14ac:dyDescent="0.3">
      <c r="A1911"/>
    </row>
    <row r="1912" spans="1:1" x14ac:dyDescent="0.3">
      <c r="A1912"/>
    </row>
    <row r="1913" spans="1:1" x14ac:dyDescent="0.3">
      <c r="A1913"/>
    </row>
    <row r="1914" spans="1:1" x14ac:dyDescent="0.3">
      <c r="A1914"/>
    </row>
    <row r="1915" spans="1:1" x14ac:dyDescent="0.3">
      <c r="A1915"/>
    </row>
    <row r="1916" spans="1:1" x14ac:dyDescent="0.3">
      <c r="A1916"/>
    </row>
    <row r="1917" spans="1:1" x14ac:dyDescent="0.3">
      <c r="A1917"/>
    </row>
    <row r="1918" spans="1:1" x14ac:dyDescent="0.3">
      <c r="A1918"/>
    </row>
    <row r="1919" spans="1:1" x14ac:dyDescent="0.3">
      <c r="A1919"/>
    </row>
    <row r="1920" spans="1:1" x14ac:dyDescent="0.3">
      <c r="A1920"/>
    </row>
    <row r="1921" spans="1:1" x14ac:dyDescent="0.3">
      <c r="A1921"/>
    </row>
    <row r="1922" spans="1:1" x14ac:dyDescent="0.3">
      <c r="A1922"/>
    </row>
    <row r="1923" spans="1:1" x14ac:dyDescent="0.3">
      <c r="A1923"/>
    </row>
    <row r="1924" spans="1:1" x14ac:dyDescent="0.3">
      <c r="A1924"/>
    </row>
    <row r="1925" spans="1:1" x14ac:dyDescent="0.3">
      <c r="A1925"/>
    </row>
    <row r="1926" spans="1:1" x14ac:dyDescent="0.3">
      <c r="A1926"/>
    </row>
    <row r="1927" spans="1:1" x14ac:dyDescent="0.3">
      <c r="A1927"/>
    </row>
    <row r="1928" spans="1:1" x14ac:dyDescent="0.3">
      <c r="A1928"/>
    </row>
    <row r="1929" spans="1:1" x14ac:dyDescent="0.3">
      <c r="A1929"/>
    </row>
    <row r="1930" spans="1:1" x14ac:dyDescent="0.3">
      <c r="A1930"/>
    </row>
    <row r="1931" spans="1:1" x14ac:dyDescent="0.3">
      <c r="A1931"/>
    </row>
    <row r="1932" spans="1:1" x14ac:dyDescent="0.3">
      <c r="A1932"/>
    </row>
    <row r="1933" spans="1:1" x14ac:dyDescent="0.3">
      <c r="A1933"/>
    </row>
    <row r="1934" spans="1:1" x14ac:dyDescent="0.3">
      <c r="A1934"/>
    </row>
    <row r="1935" spans="1:1" x14ac:dyDescent="0.3">
      <c r="A1935"/>
    </row>
    <row r="1936" spans="1:1" x14ac:dyDescent="0.3">
      <c r="A1936"/>
    </row>
    <row r="1937" spans="1:1" x14ac:dyDescent="0.3">
      <c r="A1937"/>
    </row>
    <row r="1938" spans="1:1" x14ac:dyDescent="0.3">
      <c r="A1938"/>
    </row>
    <row r="1939" spans="1:1" x14ac:dyDescent="0.3">
      <c r="A1939"/>
    </row>
    <row r="1940" spans="1:1" x14ac:dyDescent="0.3">
      <c r="A1940"/>
    </row>
    <row r="1941" spans="1:1" x14ac:dyDescent="0.3">
      <c r="A1941"/>
    </row>
    <row r="1942" spans="1:1" x14ac:dyDescent="0.3">
      <c r="A1942"/>
    </row>
    <row r="1943" spans="1:1" x14ac:dyDescent="0.3">
      <c r="A1943"/>
    </row>
    <row r="1944" spans="1:1" x14ac:dyDescent="0.3">
      <c r="A1944"/>
    </row>
    <row r="1945" spans="1:1" x14ac:dyDescent="0.3">
      <c r="A1945"/>
    </row>
    <row r="1946" spans="1:1" x14ac:dyDescent="0.3">
      <c r="A1946"/>
    </row>
    <row r="1947" spans="1:1" x14ac:dyDescent="0.3">
      <c r="A1947"/>
    </row>
    <row r="1948" spans="1:1" x14ac:dyDescent="0.3">
      <c r="A1948"/>
    </row>
    <row r="1949" spans="1:1" x14ac:dyDescent="0.3">
      <c r="A1949"/>
    </row>
    <row r="1950" spans="1:1" x14ac:dyDescent="0.3">
      <c r="A1950"/>
    </row>
    <row r="1951" spans="1:1" x14ac:dyDescent="0.3">
      <c r="A1951"/>
    </row>
    <row r="1952" spans="1:1" x14ac:dyDescent="0.3">
      <c r="A1952"/>
    </row>
    <row r="1953" spans="1:1" x14ac:dyDescent="0.3">
      <c r="A1953"/>
    </row>
    <row r="1954" spans="1:1" x14ac:dyDescent="0.3">
      <c r="A1954"/>
    </row>
    <row r="1955" spans="1:1" x14ac:dyDescent="0.3">
      <c r="A1955"/>
    </row>
    <row r="1956" spans="1:1" x14ac:dyDescent="0.3">
      <c r="A1956"/>
    </row>
    <row r="1957" spans="1:1" x14ac:dyDescent="0.3">
      <c r="A1957"/>
    </row>
    <row r="1958" spans="1:1" x14ac:dyDescent="0.3">
      <c r="A1958"/>
    </row>
    <row r="1959" spans="1:1" x14ac:dyDescent="0.3">
      <c r="A1959"/>
    </row>
    <row r="1960" spans="1:1" x14ac:dyDescent="0.3">
      <c r="A1960"/>
    </row>
    <row r="1961" spans="1:1" x14ac:dyDescent="0.3">
      <c r="A1961"/>
    </row>
    <row r="1962" spans="1:1" x14ac:dyDescent="0.3">
      <c r="A1962"/>
    </row>
    <row r="1963" spans="1:1" x14ac:dyDescent="0.3">
      <c r="A1963"/>
    </row>
    <row r="1964" spans="1:1" x14ac:dyDescent="0.3">
      <c r="A1964"/>
    </row>
    <row r="1965" spans="1:1" x14ac:dyDescent="0.3">
      <c r="A1965"/>
    </row>
    <row r="1966" spans="1:1" x14ac:dyDescent="0.3">
      <c r="A1966"/>
    </row>
    <row r="1967" spans="1:1" x14ac:dyDescent="0.3">
      <c r="A1967"/>
    </row>
    <row r="1968" spans="1:1" x14ac:dyDescent="0.3">
      <c r="A1968"/>
    </row>
    <row r="1969" spans="1:1" x14ac:dyDescent="0.3">
      <c r="A1969"/>
    </row>
    <row r="1970" spans="1:1" x14ac:dyDescent="0.3">
      <c r="A1970"/>
    </row>
    <row r="1971" spans="1:1" x14ac:dyDescent="0.3">
      <c r="A1971"/>
    </row>
    <row r="1972" spans="1:1" x14ac:dyDescent="0.3">
      <c r="A1972"/>
    </row>
    <row r="1973" spans="1:1" x14ac:dyDescent="0.3">
      <c r="A1973"/>
    </row>
    <row r="1974" spans="1:1" x14ac:dyDescent="0.3">
      <c r="A1974"/>
    </row>
    <row r="1975" spans="1:1" x14ac:dyDescent="0.3">
      <c r="A1975"/>
    </row>
    <row r="1976" spans="1:1" x14ac:dyDescent="0.3">
      <c r="A1976"/>
    </row>
    <row r="1977" spans="1:1" x14ac:dyDescent="0.3">
      <c r="A1977"/>
    </row>
    <row r="1978" spans="1:1" x14ac:dyDescent="0.3">
      <c r="A1978"/>
    </row>
    <row r="1979" spans="1:1" x14ac:dyDescent="0.3">
      <c r="A1979"/>
    </row>
    <row r="1980" spans="1:1" x14ac:dyDescent="0.3">
      <c r="A1980"/>
    </row>
    <row r="1981" spans="1:1" x14ac:dyDescent="0.3">
      <c r="A1981"/>
    </row>
    <row r="1982" spans="1:1" x14ac:dyDescent="0.3">
      <c r="A1982"/>
    </row>
    <row r="1983" spans="1:1" x14ac:dyDescent="0.3">
      <c r="A1983"/>
    </row>
    <row r="1984" spans="1:1" x14ac:dyDescent="0.3">
      <c r="A1984"/>
    </row>
    <row r="1985" spans="1:1" x14ac:dyDescent="0.3">
      <c r="A1985"/>
    </row>
    <row r="1986" spans="1:1" x14ac:dyDescent="0.3">
      <c r="A1986"/>
    </row>
    <row r="1987" spans="1:1" x14ac:dyDescent="0.3">
      <c r="A1987"/>
    </row>
    <row r="1988" spans="1:1" x14ac:dyDescent="0.3">
      <c r="A1988"/>
    </row>
    <row r="1989" spans="1:1" x14ac:dyDescent="0.3">
      <c r="A1989"/>
    </row>
    <row r="1990" spans="1:1" x14ac:dyDescent="0.3">
      <c r="A1990"/>
    </row>
    <row r="1991" spans="1:1" x14ac:dyDescent="0.3">
      <c r="A1991"/>
    </row>
    <row r="1992" spans="1:1" x14ac:dyDescent="0.3">
      <c r="A1992"/>
    </row>
    <row r="1993" spans="1:1" x14ac:dyDescent="0.3">
      <c r="A1993"/>
    </row>
    <row r="1994" spans="1:1" x14ac:dyDescent="0.3">
      <c r="A1994"/>
    </row>
    <row r="1995" spans="1:1" x14ac:dyDescent="0.3">
      <c r="A1995"/>
    </row>
    <row r="1996" spans="1:1" x14ac:dyDescent="0.3">
      <c r="A1996"/>
    </row>
    <row r="1997" spans="1:1" x14ac:dyDescent="0.3">
      <c r="A1997"/>
    </row>
    <row r="1998" spans="1:1" x14ac:dyDescent="0.3">
      <c r="A1998"/>
    </row>
    <row r="1999" spans="1:1" x14ac:dyDescent="0.3">
      <c r="A1999"/>
    </row>
    <row r="2000" spans="1:1" x14ac:dyDescent="0.3">
      <c r="A2000"/>
    </row>
    <row r="2001" spans="1:1" x14ac:dyDescent="0.3">
      <c r="A2001"/>
    </row>
    <row r="2002" spans="1:1" x14ac:dyDescent="0.3">
      <c r="A2002"/>
    </row>
    <row r="2003" spans="1:1" x14ac:dyDescent="0.3">
      <c r="A2003"/>
    </row>
    <row r="2004" spans="1:1" x14ac:dyDescent="0.3">
      <c r="A2004"/>
    </row>
    <row r="2005" spans="1:1" x14ac:dyDescent="0.3">
      <c r="A2005"/>
    </row>
    <row r="2006" spans="1:1" x14ac:dyDescent="0.3">
      <c r="A2006"/>
    </row>
    <row r="2007" spans="1:1" x14ac:dyDescent="0.3">
      <c r="A2007"/>
    </row>
    <row r="2008" spans="1:1" x14ac:dyDescent="0.3">
      <c r="A2008"/>
    </row>
    <row r="2009" spans="1:1" x14ac:dyDescent="0.3">
      <c r="A2009"/>
    </row>
    <row r="2010" spans="1:1" x14ac:dyDescent="0.3">
      <c r="A2010"/>
    </row>
    <row r="2011" spans="1:1" x14ac:dyDescent="0.3">
      <c r="A2011"/>
    </row>
    <row r="2012" spans="1:1" x14ac:dyDescent="0.3">
      <c r="A2012"/>
    </row>
    <row r="2013" spans="1:1" x14ac:dyDescent="0.3">
      <c r="A2013"/>
    </row>
    <row r="2014" spans="1:1" x14ac:dyDescent="0.3">
      <c r="A2014"/>
    </row>
    <row r="2015" spans="1:1" x14ac:dyDescent="0.3">
      <c r="A2015"/>
    </row>
    <row r="2016" spans="1:1" x14ac:dyDescent="0.3">
      <c r="A2016"/>
    </row>
    <row r="2017" spans="1:1" x14ac:dyDescent="0.3">
      <c r="A2017"/>
    </row>
    <row r="2018" spans="1:1" x14ac:dyDescent="0.3">
      <c r="A2018"/>
    </row>
    <row r="2019" spans="1:1" x14ac:dyDescent="0.3">
      <c r="A2019"/>
    </row>
    <row r="2020" spans="1:1" x14ac:dyDescent="0.3">
      <c r="A2020"/>
    </row>
    <row r="2021" spans="1:1" x14ac:dyDescent="0.3">
      <c r="A2021"/>
    </row>
    <row r="2022" spans="1:1" x14ac:dyDescent="0.3">
      <c r="A2022"/>
    </row>
    <row r="2023" spans="1:1" x14ac:dyDescent="0.3">
      <c r="A2023"/>
    </row>
    <row r="2024" spans="1:1" x14ac:dyDescent="0.3">
      <c r="A2024"/>
    </row>
    <row r="2025" spans="1:1" x14ac:dyDescent="0.3">
      <c r="A2025"/>
    </row>
    <row r="2026" spans="1:1" x14ac:dyDescent="0.3">
      <c r="A2026"/>
    </row>
    <row r="2027" spans="1:1" x14ac:dyDescent="0.3">
      <c r="A2027"/>
    </row>
    <row r="2028" spans="1:1" x14ac:dyDescent="0.3">
      <c r="A2028"/>
    </row>
    <row r="2029" spans="1:1" x14ac:dyDescent="0.3">
      <c r="A2029"/>
    </row>
    <row r="2030" spans="1:1" x14ac:dyDescent="0.3">
      <c r="A2030"/>
    </row>
    <row r="2031" spans="1:1" x14ac:dyDescent="0.3">
      <c r="A2031"/>
    </row>
    <row r="2032" spans="1:1" x14ac:dyDescent="0.3">
      <c r="A2032"/>
    </row>
    <row r="2033" spans="1:1" x14ac:dyDescent="0.3">
      <c r="A2033"/>
    </row>
    <row r="2034" spans="1:1" x14ac:dyDescent="0.3">
      <c r="A2034"/>
    </row>
    <row r="2035" spans="1:1" x14ac:dyDescent="0.3">
      <c r="A2035"/>
    </row>
    <row r="2036" spans="1:1" x14ac:dyDescent="0.3">
      <c r="A2036"/>
    </row>
    <row r="2037" spans="1:1" x14ac:dyDescent="0.3">
      <c r="A2037"/>
    </row>
    <row r="2038" spans="1:1" x14ac:dyDescent="0.3">
      <c r="A2038"/>
    </row>
    <row r="2039" spans="1:1" x14ac:dyDescent="0.3">
      <c r="A2039"/>
    </row>
    <row r="2040" spans="1:1" x14ac:dyDescent="0.3">
      <c r="A2040"/>
    </row>
    <row r="2041" spans="1:1" x14ac:dyDescent="0.3">
      <c r="A2041"/>
    </row>
    <row r="2042" spans="1:1" x14ac:dyDescent="0.3">
      <c r="A2042"/>
    </row>
    <row r="2043" spans="1:1" x14ac:dyDescent="0.3">
      <c r="A2043"/>
    </row>
    <row r="2044" spans="1:1" x14ac:dyDescent="0.3">
      <c r="A2044"/>
    </row>
    <row r="2045" spans="1:1" x14ac:dyDescent="0.3">
      <c r="A2045"/>
    </row>
    <row r="2046" spans="1:1" x14ac:dyDescent="0.3">
      <c r="A2046"/>
    </row>
    <row r="2047" spans="1:1" x14ac:dyDescent="0.3">
      <c r="A2047"/>
    </row>
    <row r="2048" spans="1:1" x14ac:dyDescent="0.3">
      <c r="A2048"/>
    </row>
    <row r="2049" spans="1:1" x14ac:dyDescent="0.3">
      <c r="A2049"/>
    </row>
    <row r="2050" spans="1:1" x14ac:dyDescent="0.3">
      <c r="A2050"/>
    </row>
    <row r="2051" spans="1:1" x14ac:dyDescent="0.3">
      <c r="A2051"/>
    </row>
    <row r="2052" spans="1:1" x14ac:dyDescent="0.3">
      <c r="A2052"/>
    </row>
    <row r="2053" spans="1:1" x14ac:dyDescent="0.3">
      <c r="A2053"/>
    </row>
    <row r="2054" spans="1:1" x14ac:dyDescent="0.3">
      <c r="A2054"/>
    </row>
    <row r="2055" spans="1:1" x14ac:dyDescent="0.3">
      <c r="A2055"/>
    </row>
    <row r="2056" spans="1:1" x14ac:dyDescent="0.3">
      <c r="A2056"/>
    </row>
    <row r="2057" spans="1:1" x14ac:dyDescent="0.3">
      <c r="A2057"/>
    </row>
    <row r="2058" spans="1:1" x14ac:dyDescent="0.3">
      <c r="A2058"/>
    </row>
    <row r="2059" spans="1:1" x14ac:dyDescent="0.3">
      <c r="A2059"/>
    </row>
    <row r="2060" spans="1:1" x14ac:dyDescent="0.3">
      <c r="A2060"/>
    </row>
    <row r="2061" spans="1:1" x14ac:dyDescent="0.3">
      <c r="A2061"/>
    </row>
    <row r="2062" spans="1:1" x14ac:dyDescent="0.3">
      <c r="A2062"/>
    </row>
    <row r="2063" spans="1:1" x14ac:dyDescent="0.3">
      <c r="A2063"/>
    </row>
    <row r="2064" spans="1:1" x14ac:dyDescent="0.3">
      <c r="A2064"/>
    </row>
    <row r="2065" spans="1:1" x14ac:dyDescent="0.3">
      <c r="A2065"/>
    </row>
    <row r="2066" spans="1:1" x14ac:dyDescent="0.3">
      <c r="A2066"/>
    </row>
    <row r="2067" spans="1:1" x14ac:dyDescent="0.3">
      <c r="A2067"/>
    </row>
    <row r="2068" spans="1:1" x14ac:dyDescent="0.3">
      <c r="A2068"/>
    </row>
    <row r="2069" spans="1:1" x14ac:dyDescent="0.3">
      <c r="A2069"/>
    </row>
    <row r="2070" spans="1:1" x14ac:dyDescent="0.3">
      <c r="A2070"/>
    </row>
    <row r="2071" spans="1:1" x14ac:dyDescent="0.3">
      <c r="A2071"/>
    </row>
    <row r="2072" spans="1:1" x14ac:dyDescent="0.3">
      <c r="A2072"/>
    </row>
    <row r="2073" spans="1:1" x14ac:dyDescent="0.3">
      <c r="A2073"/>
    </row>
    <row r="2074" spans="1:1" x14ac:dyDescent="0.3">
      <c r="A2074"/>
    </row>
    <row r="2075" spans="1:1" x14ac:dyDescent="0.3">
      <c r="A2075"/>
    </row>
    <row r="2076" spans="1:1" x14ac:dyDescent="0.3">
      <c r="A2076"/>
    </row>
    <row r="2077" spans="1:1" x14ac:dyDescent="0.3">
      <c r="A2077"/>
    </row>
    <row r="2078" spans="1:1" x14ac:dyDescent="0.3">
      <c r="A2078"/>
    </row>
    <row r="2079" spans="1:1" x14ac:dyDescent="0.3">
      <c r="A2079"/>
    </row>
    <row r="2080" spans="1:1" x14ac:dyDescent="0.3">
      <c r="A2080"/>
    </row>
    <row r="2081" spans="1:1" x14ac:dyDescent="0.3">
      <c r="A2081"/>
    </row>
    <row r="2082" spans="1:1" x14ac:dyDescent="0.3">
      <c r="A2082"/>
    </row>
    <row r="2083" spans="1:1" x14ac:dyDescent="0.3">
      <c r="A2083"/>
    </row>
    <row r="2084" spans="1:1" x14ac:dyDescent="0.3">
      <c r="A2084"/>
    </row>
    <row r="2085" spans="1:1" x14ac:dyDescent="0.3">
      <c r="A2085"/>
    </row>
    <row r="2086" spans="1:1" x14ac:dyDescent="0.3">
      <c r="A2086"/>
    </row>
    <row r="2087" spans="1:1" x14ac:dyDescent="0.3">
      <c r="A2087"/>
    </row>
    <row r="2088" spans="1:1" x14ac:dyDescent="0.3">
      <c r="A2088"/>
    </row>
    <row r="2089" spans="1:1" x14ac:dyDescent="0.3">
      <c r="A2089"/>
    </row>
    <row r="2090" spans="1:1" x14ac:dyDescent="0.3">
      <c r="A2090"/>
    </row>
    <row r="2091" spans="1:1" x14ac:dyDescent="0.3">
      <c r="A2091"/>
    </row>
    <row r="2092" spans="1:1" x14ac:dyDescent="0.3">
      <c r="A2092"/>
    </row>
    <row r="2093" spans="1:1" x14ac:dyDescent="0.3">
      <c r="A2093"/>
    </row>
    <row r="2094" spans="1:1" x14ac:dyDescent="0.3">
      <c r="A2094"/>
    </row>
    <row r="2095" spans="1:1" x14ac:dyDescent="0.3">
      <c r="A2095"/>
    </row>
    <row r="2096" spans="1:1" x14ac:dyDescent="0.3">
      <c r="A2096"/>
    </row>
    <row r="2097" spans="1:1" x14ac:dyDescent="0.3">
      <c r="A2097"/>
    </row>
    <row r="2098" spans="1:1" x14ac:dyDescent="0.3">
      <c r="A2098"/>
    </row>
    <row r="2099" spans="1:1" x14ac:dyDescent="0.3">
      <c r="A2099"/>
    </row>
    <row r="2100" spans="1:1" x14ac:dyDescent="0.3">
      <c r="A2100"/>
    </row>
    <row r="2101" spans="1:1" x14ac:dyDescent="0.3">
      <c r="A2101"/>
    </row>
    <row r="2102" spans="1:1" x14ac:dyDescent="0.3">
      <c r="A2102"/>
    </row>
    <row r="2103" spans="1:1" x14ac:dyDescent="0.3">
      <c r="A2103"/>
    </row>
    <row r="2104" spans="1:1" x14ac:dyDescent="0.3">
      <c r="A2104"/>
    </row>
    <row r="2105" spans="1:1" x14ac:dyDescent="0.3">
      <c r="A2105"/>
    </row>
    <row r="2106" spans="1:1" x14ac:dyDescent="0.3">
      <c r="A2106"/>
    </row>
    <row r="2107" spans="1:1" x14ac:dyDescent="0.3">
      <c r="A2107"/>
    </row>
    <row r="2108" spans="1:1" x14ac:dyDescent="0.3">
      <c r="A2108"/>
    </row>
    <row r="2109" spans="1:1" x14ac:dyDescent="0.3">
      <c r="A2109"/>
    </row>
    <row r="2110" spans="1:1" x14ac:dyDescent="0.3">
      <c r="A2110"/>
    </row>
    <row r="2111" spans="1:1" x14ac:dyDescent="0.3">
      <c r="A2111"/>
    </row>
    <row r="2112" spans="1:1" x14ac:dyDescent="0.3">
      <c r="A2112"/>
    </row>
    <row r="2113" spans="1:1" x14ac:dyDescent="0.3">
      <c r="A2113"/>
    </row>
    <row r="2114" spans="1:1" x14ac:dyDescent="0.3">
      <c r="A2114"/>
    </row>
    <row r="2115" spans="1:1" x14ac:dyDescent="0.3">
      <c r="A2115"/>
    </row>
    <row r="2116" spans="1:1" x14ac:dyDescent="0.3">
      <c r="A2116"/>
    </row>
    <row r="2117" spans="1:1" x14ac:dyDescent="0.3">
      <c r="A2117"/>
    </row>
    <row r="2118" spans="1:1" x14ac:dyDescent="0.3">
      <c r="A2118"/>
    </row>
    <row r="2119" spans="1:1" x14ac:dyDescent="0.3">
      <c r="A2119"/>
    </row>
    <row r="2120" spans="1:1" x14ac:dyDescent="0.3">
      <c r="A2120"/>
    </row>
    <row r="2121" spans="1:1" x14ac:dyDescent="0.3">
      <c r="A2121"/>
    </row>
    <row r="2122" spans="1:1" x14ac:dyDescent="0.3">
      <c r="A2122"/>
    </row>
    <row r="2123" spans="1:1" x14ac:dyDescent="0.3">
      <c r="A2123"/>
    </row>
    <row r="2124" spans="1:1" x14ac:dyDescent="0.3">
      <c r="A2124"/>
    </row>
    <row r="2125" spans="1:1" x14ac:dyDescent="0.3">
      <c r="A2125"/>
    </row>
    <row r="2126" spans="1:1" x14ac:dyDescent="0.3">
      <c r="A2126"/>
    </row>
    <row r="2127" spans="1:1" x14ac:dyDescent="0.3">
      <c r="A2127"/>
    </row>
    <row r="2128" spans="1:1" x14ac:dyDescent="0.3">
      <c r="A2128"/>
    </row>
    <row r="2129" spans="1:1" x14ac:dyDescent="0.3">
      <c r="A2129"/>
    </row>
    <row r="2130" spans="1:1" x14ac:dyDescent="0.3">
      <c r="A2130"/>
    </row>
    <row r="2131" spans="1:1" x14ac:dyDescent="0.3">
      <c r="A2131"/>
    </row>
    <row r="2132" spans="1:1" x14ac:dyDescent="0.3">
      <c r="A2132"/>
    </row>
    <row r="2133" spans="1:1" x14ac:dyDescent="0.3">
      <c r="A2133"/>
    </row>
    <row r="2134" spans="1:1" x14ac:dyDescent="0.3">
      <c r="A2134"/>
    </row>
    <row r="2135" spans="1:1" x14ac:dyDescent="0.3">
      <c r="A2135"/>
    </row>
    <row r="2136" spans="1:1" x14ac:dyDescent="0.3">
      <c r="A2136"/>
    </row>
    <row r="2137" spans="1:1" x14ac:dyDescent="0.3">
      <c r="A2137"/>
    </row>
    <row r="2138" spans="1:1" x14ac:dyDescent="0.3">
      <c r="A2138"/>
    </row>
    <row r="2139" spans="1:1" x14ac:dyDescent="0.3">
      <c r="A2139"/>
    </row>
    <row r="2140" spans="1:1" x14ac:dyDescent="0.3">
      <c r="A2140"/>
    </row>
    <row r="2141" spans="1:1" x14ac:dyDescent="0.3">
      <c r="A2141"/>
    </row>
    <row r="2142" spans="1:1" x14ac:dyDescent="0.3">
      <c r="A2142"/>
    </row>
    <row r="2143" spans="1:1" x14ac:dyDescent="0.3">
      <c r="A2143"/>
    </row>
    <row r="2144" spans="1:1" x14ac:dyDescent="0.3">
      <c r="A2144"/>
    </row>
    <row r="2145" spans="1:1" x14ac:dyDescent="0.3">
      <c r="A2145"/>
    </row>
    <row r="2146" spans="1:1" x14ac:dyDescent="0.3">
      <c r="A2146"/>
    </row>
    <row r="2147" spans="1:1" x14ac:dyDescent="0.3">
      <c r="A2147"/>
    </row>
    <row r="2148" spans="1:1" x14ac:dyDescent="0.3">
      <c r="A2148"/>
    </row>
    <row r="2149" spans="1:1" x14ac:dyDescent="0.3">
      <c r="A2149"/>
    </row>
    <row r="2150" spans="1:1" x14ac:dyDescent="0.3">
      <c r="A2150"/>
    </row>
    <row r="2151" spans="1:1" x14ac:dyDescent="0.3">
      <c r="A2151"/>
    </row>
    <row r="2152" spans="1:1" x14ac:dyDescent="0.3">
      <c r="A2152"/>
    </row>
    <row r="2153" spans="1:1" x14ac:dyDescent="0.3">
      <c r="A2153"/>
    </row>
    <row r="2154" spans="1:1" x14ac:dyDescent="0.3">
      <c r="A2154"/>
    </row>
    <row r="2155" spans="1:1" x14ac:dyDescent="0.3">
      <c r="A2155"/>
    </row>
    <row r="2156" spans="1:1" x14ac:dyDescent="0.3">
      <c r="A2156"/>
    </row>
    <row r="2157" spans="1:1" x14ac:dyDescent="0.3">
      <c r="A2157"/>
    </row>
    <row r="2158" spans="1:1" x14ac:dyDescent="0.3">
      <c r="A2158"/>
    </row>
    <row r="2159" spans="1:1" x14ac:dyDescent="0.3">
      <c r="A2159"/>
    </row>
    <row r="2160" spans="1:1" x14ac:dyDescent="0.3">
      <c r="A2160"/>
    </row>
    <row r="2161" spans="1:1" x14ac:dyDescent="0.3">
      <c r="A2161"/>
    </row>
    <row r="2162" spans="1:1" x14ac:dyDescent="0.3">
      <c r="A2162"/>
    </row>
    <row r="2163" spans="1:1" x14ac:dyDescent="0.3">
      <c r="A2163"/>
    </row>
    <row r="2164" spans="1:1" x14ac:dyDescent="0.3">
      <c r="A2164"/>
    </row>
    <row r="2165" spans="1:1" x14ac:dyDescent="0.3">
      <c r="A2165"/>
    </row>
    <row r="2166" spans="1:1" x14ac:dyDescent="0.3">
      <c r="A2166"/>
    </row>
    <row r="2167" spans="1:1" x14ac:dyDescent="0.3">
      <c r="A2167"/>
    </row>
    <row r="2168" spans="1:1" x14ac:dyDescent="0.3">
      <c r="A2168"/>
    </row>
    <row r="2169" spans="1:1" x14ac:dyDescent="0.3">
      <c r="A2169"/>
    </row>
    <row r="2170" spans="1:1" x14ac:dyDescent="0.3">
      <c r="A2170"/>
    </row>
    <row r="2171" spans="1:1" x14ac:dyDescent="0.3">
      <c r="A2171"/>
    </row>
    <row r="2172" spans="1:1" x14ac:dyDescent="0.3">
      <c r="A2172"/>
    </row>
    <row r="2173" spans="1:1" x14ac:dyDescent="0.3">
      <c r="A2173"/>
    </row>
    <row r="2174" spans="1:1" x14ac:dyDescent="0.3">
      <c r="A2174"/>
    </row>
    <row r="2175" spans="1:1" x14ac:dyDescent="0.3">
      <c r="A2175"/>
    </row>
    <row r="2176" spans="1:1" x14ac:dyDescent="0.3">
      <c r="A2176"/>
    </row>
    <row r="2177" spans="1:1" x14ac:dyDescent="0.3">
      <c r="A2177"/>
    </row>
    <row r="2178" spans="1:1" x14ac:dyDescent="0.3">
      <c r="A2178"/>
    </row>
    <row r="2179" spans="1:1" x14ac:dyDescent="0.3">
      <c r="A2179"/>
    </row>
    <row r="2180" spans="1:1" x14ac:dyDescent="0.3">
      <c r="A2180"/>
    </row>
    <row r="2181" spans="1:1" x14ac:dyDescent="0.3">
      <c r="A2181"/>
    </row>
    <row r="2182" spans="1:1" x14ac:dyDescent="0.3">
      <c r="A2182"/>
    </row>
    <row r="2183" spans="1:1" x14ac:dyDescent="0.3">
      <c r="A2183"/>
    </row>
    <row r="2184" spans="1:1" x14ac:dyDescent="0.3">
      <c r="A2184"/>
    </row>
    <row r="2185" spans="1:1" x14ac:dyDescent="0.3">
      <c r="A2185"/>
    </row>
    <row r="2186" spans="1:1" x14ac:dyDescent="0.3">
      <c r="A2186"/>
    </row>
    <row r="2187" spans="1:1" x14ac:dyDescent="0.3">
      <c r="A2187"/>
    </row>
    <row r="2188" spans="1:1" x14ac:dyDescent="0.3">
      <c r="A2188"/>
    </row>
    <row r="2189" spans="1:1" x14ac:dyDescent="0.3">
      <c r="A2189"/>
    </row>
    <row r="2190" spans="1:1" x14ac:dyDescent="0.3">
      <c r="A2190"/>
    </row>
    <row r="2191" spans="1:1" x14ac:dyDescent="0.3">
      <c r="A2191"/>
    </row>
    <row r="2192" spans="1:1" x14ac:dyDescent="0.3">
      <c r="A2192"/>
    </row>
    <row r="2193" spans="1:1" x14ac:dyDescent="0.3">
      <c r="A2193"/>
    </row>
    <row r="2194" spans="1:1" x14ac:dyDescent="0.3">
      <c r="A2194"/>
    </row>
    <row r="2195" spans="1:1" x14ac:dyDescent="0.3">
      <c r="A2195"/>
    </row>
    <row r="2196" spans="1:1" x14ac:dyDescent="0.3">
      <c r="A2196"/>
    </row>
    <row r="2197" spans="1:1" x14ac:dyDescent="0.3">
      <c r="A2197"/>
    </row>
    <row r="2198" spans="1:1" x14ac:dyDescent="0.3">
      <c r="A2198"/>
    </row>
    <row r="2199" spans="1:1" x14ac:dyDescent="0.3">
      <c r="A2199"/>
    </row>
    <row r="2200" spans="1:1" x14ac:dyDescent="0.3">
      <c r="A2200"/>
    </row>
    <row r="2201" spans="1:1" x14ac:dyDescent="0.3">
      <c r="A2201"/>
    </row>
    <row r="2202" spans="1:1" x14ac:dyDescent="0.3">
      <c r="A2202"/>
    </row>
    <row r="2203" spans="1:1" x14ac:dyDescent="0.3">
      <c r="A2203"/>
    </row>
    <row r="2204" spans="1:1" x14ac:dyDescent="0.3">
      <c r="A2204"/>
    </row>
    <row r="2205" spans="1:1" x14ac:dyDescent="0.3">
      <c r="A2205"/>
    </row>
    <row r="2206" spans="1:1" x14ac:dyDescent="0.3">
      <c r="A2206"/>
    </row>
    <row r="2207" spans="1:1" x14ac:dyDescent="0.3">
      <c r="A2207"/>
    </row>
    <row r="2208" spans="1:1" x14ac:dyDescent="0.3">
      <c r="A2208"/>
    </row>
    <row r="2209" spans="1:1" x14ac:dyDescent="0.3">
      <c r="A2209"/>
    </row>
    <row r="2210" spans="1:1" x14ac:dyDescent="0.3">
      <c r="A2210"/>
    </row>
    <row r="2211" spans="1:1" x14ac:dyDescent="0.3">
      <c r="A2211"/>
    </row>
    <row r="2212" spans="1:1" x14ac:dyDescent="0.3">
      <c r="A2212"/>
    </row>
    <row r="2213" spans="1:1" x14ac:dyDescent="0.3">
      <c r="A2213"/>
    </row>
    <row r="2214" spans="1:1" x14ac:dyDescent="0.3">
      <c r="A2214"/>
    </row>
    <row r="2215" spans="1:1" x14ac:dyDescent="0.3">
      <c r="A2215"/>
    </row>
    <row r="2216" spans="1:1" x14ac:dyDescent="0.3">
      <c r="A2216"/>
    </row>
    <row r="2217" spans="1:1" x14ac:dyDescent="0.3">
      <c r="A2217"/>
    </row>
    <row r="2218" spans="1:1" x14ac:dyDescent="0.3">
      <c r="A2218"/>
    </row>
    <row r="2219" spans="1:1" x14ac:dyDescent="0.3">
      <c r="A2219"/>
    </row>
    <row r="2220" spans="1:1" x14ac:dyDescent="0.3">
      <c r="A2220"/>
    </row>
    <row r="2221" spans="1:1" x14ac:dyDescent="0.3">
      <c r="A2221"/>
    </row>
    <row r="2222" spans="1:1" x14ac:dyDescent="0.3">
      <c r="A2222"/>
    </row>
    <row r="2223" spans="1:1" x14ac:dyDescent="0.3">
      <c r="A2223"/>
    </row>
    <row r="2224" spans="1:1" x14ac:dyDescent="0.3">
      <c r="A2224"/>
    </row>
    <row r="2225" spans="1:1" x14ac:dyDescent="0.3">
      <c r="A2225"/>
    </row>
    <row r="2226" spans="1:1" x14ac:dyDescent="0.3">
      <c r="A2226"/>
    </row>
    <row r="2227" spans="1:1" x14ac:dyDescent="0.3">
      <c r="A2227"/>
    </row>
    <row r="2228" spans="1:1" x14ac:dyDescent="0.3">
      <c r="A2228"/>
    </row>
    <row r="2229" spans="1:1" x14ac:dyDescent="0.3">
      <c r="A2229"/>
    </row>
    <row r="2230" spans="1:1" x14ac:dyDescent="0.3">
      <c r="A2230"/>
    </row>
    <row r="2231" spans="1:1" x14ac:dyDescent="0.3">
      <c r="A2231"/>
    </row>
    <row r="2232" spans="1:1" x14ac:dyDescent="0.3">
      <c r="A2232"/>
    </row>
    <row r="2233" spans="1:1" x14ac:dyDescent="0.3">
      <c r="A2233"/>
    </row>
    <row r="2234" spans="1:1" x14ac:dyDescent="0.3">
      <c r="A2234"/>
    </row>
    <row r="2235" spans="1:1" x14ac:dyDescent="0.3">
      <c r="A2235"/>
    </row>
    <row r="2236" spans="1:1" x14ac:dyDescent="0.3">
      <c r="A2236"/>
    </row>
    <row r="2237" spans="1:1" x14ac:dyDescent="0.3">
      <c r="A2237"/>
    </row>
    <row r="2238" spans="1:1" x14ac:dyDescent="0.3">
      <c r="A2238"/>
    </row>
    <row r="2239" spans="1:1" x14ac:dyDescent="0.3">
      <c r="A2239"/>
    </row>
    <row r="2240" spans="1:1" x14ac:dyDescent="0.3">
      <c r="A2240"/>
    </row>
    <row r="2241" spans="1:1" x14ac:dyDescent="0.3">
      <c r="A2241"/>
    </row>
    <row r="2242" spans="1:1" x14ac:dyDescent="0.3">
      <c r="A2242"/>
    </row>
    <row r="2243" spans="1:1" x14ac:dyDescent="0.3">
      <c r="A2243"/>
    </row>
    <row r="2244" spans="1:1" x14ac:dyDescent="0.3">
      <c r="A2244"/>
    </row>
    <row r="2245" spans="1:1" x14ac:dyDescent="0.3">
      <c r="A2245"/>
    </row>
    <row r="2246" spans="1:1" x14ac:dyDescent="0.3">
      <c r="A2246"/>
    </row>
    <row r="2247" spans="1:1" x14ac:dyDescent="0.3">
      <c r="A2247"/>
    </row>
    <row r="2248" spans="1:1" x14ac:dyDescent="0.3">
      <c r="A2248"/>
    </row>
    <row r="2249" spans="1:1" x14ac:dyDescent="0.3">
      <c r="A2249"/>
    </row>
    <row r="2250" spans="1:1" x14ac:dyDescent="0.3">
      <c r="A2250"/>
    </row>
    <row r="2251" spans="1:1" x14ac:dyDescent="0.3">
      <c r="A2251"/>
    </row>
    <row r="2252" spans="1:1" x14ac:dyDescent="0.3">
      <c r="A2252"/>
    </row>
    <row r="2253" spans="1:1" x14ac:dyDescent="0.3">
      <c r="A2253"/>
    </row>
    <row r="2254" spans="1:1" x14ac:dyDescent="0.3">
      <c r="A2254"/>
    </row>
    <row r="2255" spans="1:1" x14ac:dyDescent="0.3">
      <c r="A2255"/>
    </row>
    <row r="2256" spans="1:1" x14ac:dyDescent="0.3">
      <c r="A2256"/>
    </row>
    <row r="2257" spans="1:1" x14ac:dyDescent="0.3">
      <c r="A2257"/>
    </row>
    <row r="2258" spans="1:1" x14ac:dyDescent="0.3">
      <c r="A2258"/>
    </row>
    <row r="2259" spans="1:1" x14ac:dyDescent="0.3">
      <c r="A2259"/>
    </row>
    <row r="2260" spans="1:1" x14ac:dyDescent="0.3">
      <c r="A2260"/>
    </row>
    <row r="2261" spans="1:1" x14ac:dyDescent="0.3">
      <c r="A2261"/>
    </row>
    <row r="2262" spans="1:1" x14ac:dyDescent="0.3">
      <c r="A2262"/>
    </row>
    <row r="2263" spans="1:1" x14ac:dyDescent="0.3">
      <c r="A2263"/>
    </row>
    <row r="2264" spans="1:1" x14ac:dyDescent="0.3">
      <c r="A2264"/>
    </row>
    <row r="2265" spans="1:1" x14ac:dyDescent="0.3">
      <c r="A2265"/>
    </row>
    <row r="2266" spans="1:1" x14ac:dyDescent="0.3">
      <c r="A2266"/>
    </row>
    <row r="2267" spans="1:1" x14ac:dyDescent="0.3">
      <c r="A2267"/>
    </row>
    <row r="2268" spans="1:1" x14ac:dyDescent="0.3">
      <c r="A2268"/>
    </row>
    <row r="2269" spans="1:1" x14ac:dyDescent="0.3">
      <c r="A2269"/>
    </row>
    <row r="2270" spans="1:1" x14ac:dyDescent="0.3">
      <c r="A2270"/>
    </row>
    <row r="2271" spans="1:1" x14ac:dyDescent="0.3">
      <c r="A2271"/>
    </row>
    <row r="2272" spans="1:1" x14ac:dyDescent="0.3">
      <c r="A2272"/>
    </row>
    <row r="2273" spans="1:1" x14ac:dyDescent="0.3">
      <c r="A2273"/>
    </row>
    <row r="2274" spans="1:1" x14ac:dyDescent="0.3">
      <c r="A2274"/>
    </row>
    <row r="2275" spans="1:1" x14ac:dyDescent="0.3">
      <c r="A2275"/>
    </row>
    <row r="2276" spans="1:1" x14ac:dyDescent="0.3">
      <c r="A2276"/>
    </row>
    <row r="2277" spans="1:1" x14ac:dyDescent="0.3">
      <c r="A2277"/>
    </row>
    <row r="2278" spans="1:1" x14ac:dyDescent="0.3">
      <c r="A2278"/>
    </row>
    <row r="2279" spans="1:1" x14ac:dyDescent="0.3">
      <c r="A2279"/>
    </row>
    <row r="2280" spans="1:1" x14ac:dyDescent="0.3">
      <c r="A2280"/>
    </row>
    <row r="2281" spans="1:1" x14ac:dyDescent="0.3">
      <c r="A2281"/>
    </row>
    <row r="2282" spans="1:1" x14ac:dyDescent="0.3">
      <c r="A2282"/>
    </row>
    <row r="2283" spans="1:1" x14ac:dyDescent="0.3">
      <c r="A2283"/>
    </row>
    <row r="2284" spans="1:1" x14ac:dyDescent="0.3">
      <c r="A2284"/>
    </row>
    <row r="2285" spans="1:1" x14ac:dyDescent="0.3">
      <c r="A2285"/>
    </row>
    <row r="2286" spans="1:1" x14ac:dyDescent="0.3">
      <c r="A2286"/>
    </row>
    <row r="2287" spans="1:1" x14ac:dyDescent="0.3">
      <c r="A2287"/>
    </row>
    <row r="2288" spans="1:1" x14ac:dyDescent="0.3">
      <c r="A2288"/>
    </row>
    <row r="2289" spans="1:1" x14ac:dyDescent="0.3">
      <c r="A2289"/>
    </row>
    <row r="2290" spans="1:1" x14ac:dyDescent="0.3">
      <c r="A2290"/>
    </row>
    <row r="2291" spans="1:1" x14ac:dyDescent="0.3">
      <c r="A2291"/>
    </row>
    <row r="2292" spans="1:1" x14ac:dyDescent="0.3">
      <c r="A2292"/>
    </row>
    <row r="2293" spans="1:1" x14ac:dyDescent="0.3">
      <c r="A2293"/>
    </row>
    <row r="2294" spans="1:1" x14ac:dyDescent="0.3">
      <c r="A2294"/>
    </row>
    <row r="2295" spans="1:1" x14ac:dyDescent="0.3">
      <c r="A2295"/>
    </row>
    <row r="2296" spans="1:1" x14ac:dyDescent="0.3">
      <c r="A2296"/>
    </row>
    <row r="2297" spans="1:1" x14ac:dyDescent="0.3">
      <c r="A2297"/>
    </row>
    <row r="2298" spans="1:1" x14ac:dyDescent="0.3">
      <c r="A2298"/>
    </row>
    <row r="2299" spans="1:1" x14ac:dyDescent="0.3">
      <c r="A2299"/>
    </row>
    <row r="2300" spans="1:1" x14ac:dyDescent="0.3">
      <c r="A2300"/>
    </row>
    <row r="2301" spans="1:1" x14ac:dyDescent="0.3">
      <c r="A2301"/>
    </row>
    <row r="2302" spans="1:1" x14ac:dyDescent="0.3">
      <c r="A2302"/>
    </row>
    <row r="2303" spans="1:1" x14ac:dyDescent="0.3">
      <c r="A2303"/>
    </row>
    <row r="2304" spans="1:1" x14ac:dyDescent="0.3">
      <c r="A2304"/>
    </row>
    <row r="2305" spans="1:1" x14ac:dyDescent="0.3">
      <c r="A2305"/>
    </row>
    <row r="2306" spans="1:1" x14ac:dyDescent="0.3">
      <c r="A2306"/>
    </row>
    <row r="2307" spans="1:1" x14ac:dyDescent="0.3">
      <c r="A2307"/>
    </row>
    <row r="2308" spans="1:1" x14ac:dyDescent="0.3">
      <c r="A2308"/>
    </row>
    <row r="2309" spans="1:1" x14ac:dyDescent="0.3">
      <c r="A2309"/>
    </row>
    <row r="2310" spans="1:1" x14ac:dyDescent="0.3">
      <c r="A2310"/>
    </row>
    <row r="2311" spans="1:1" x14ac:dyDescent="0.3">
      <c r="A2311"/>
    </row>
    <row r="2312" spans="1:1" x14ac:dyDescent="0.3">
      <c r="A2312"/>
    </row>
    <row r="2313" spans="1:1" x14ac:dyDescent="0.3">
      <c r="A2313"/>
    </row>
    <row r="2314" spans="1:1" x14ac:dyDescent="0.3">
      <c r="A2314"/>
    </row>
    <row r="2315" spans="1:1" x14ac:dyDescent="0.3">
      <c r="A2315"/>
    </row>
    <row r="2316" spans="1:1" x14ac:dyDescent="0.3">
      <c r="A2316"/>
    </row>
    <row r="2317" spans="1:1" x14ac:dyDescent="0.3">
      <c r="A2317"/>
    </row>
    <row r="2318" spans="1:1" x14ac:dyDescent="0.3">
      <c r="A2318"/>
    </row>
    <row r="2319" spans="1:1" x14ac:dyDescent="0.3">
      <c r="A2319"/>
    </row>
    <row r="2320" spans="1:1" x14ac:dyDescent="0.3">
      <c r="A2320"/>
    </row>
    <row r="2321" spans="1:1" x14ac:dyDescent="0.3">
      <c r="A2321"/>
    </row>
    <row r="2322" spans="1:1" x14ac:dyDescent="0.3">
      <c r="A2322"/>
    </row>
    <row r="2323" spans="1:1" x14ac:dyDescent="0.3">
      <c r="A2323"/>
    </row>
    <row r="2324" spans="1:1" x14ac:dyDescent="0.3">
      <c r="A2324"/>
    </row>
    <row r="2325" spans="1:1" x14ac:dyDescent="0.3">
      <c r="A2325"/>
    </row>
    <row r="2326" spans="1:1" x14ac:dyDescent="0.3">
      <c r="A2326"/>
    </row>
    <row r="2327" spans="1:1" x14ac:dyDescent="0.3">
      <c r="A2327"/>
    </row>
    <row r="2328" spans="1:1" x14ac:dyDescent="0.3">
      <c r="A2328"/>
    </row>
    <row r="2329" spans="1:1" x14ac:dyDescent="0.3">
      <c r="A2329"/>
    </row>
    <row r="2330" spans="1:1" x14ac:dyDescent="0.3">
      <c r="A2330"/>
    </row>
    <row r="2331" spans="1:1" x14ac:dyDescent="0.3">
      <c r="A2331"/>
    </row>
    <row r="2332" spans="1:1" x14ac:dyDescent="0.3">
      <c r="A2332"/>
    </row>
    <row r="2333" spans="1:1" x14ac:dyDescent="0.3">
      <c r="A2333"/>
    </row>
    <row r="2334" spans="1:1" x14ac:dyDescent="0.3">
      <c r="A2334"/>
    </row>
    <row r="2335" spans="1:1" x14ac:dyDescent="0.3">
      <c r="A2335"/>
    </row>
    <row r="2336" spans="1:1" x14ac:dyDescent="0.3">
      <c r="A2336"/>
    </row>
    <row r="2337" spans="1:1" x14ac:dyDescent="0.3">
      <c r="A2337"/>
    </row>
    <row r="2338" spans="1:1" x14ac:dyDescent="0.3">
      <c r="A2338"/>
    </row>
    <row r="2339" spans="1:1" x14ac:dyDescent="0.3">
      <c r="A2339"/>
    </row>
    <row r="2340" spans="1:1" x14ac:dyDescent="0.3">
      <c r="A2340"/>
    </row>
    <row r="2341" spans="1:1" x14ac:dyDescent="0.3">
      <c r="A2341"/>
    </row>
    <row r="2342" spans="1:1" x14ac:dyDescent="0.3">
      <c r="A2342"/>
    </row>
    <row r="2343" spans="1:1" x14ac:dyDescent="0.3">
      <c r="A2343"/>
    </row>
    <row r="2344" spans="1:1" x14ac:dyDescent="0.3">
      <c r="A2344"/>
    </row>
    <row r="2345" spans="1:1" x14ac:dyDescent="0.3">
      <c r="A2345"/>
    </row>
    <row r="2346" spans="1:1" x14ac:dyDescent="0.3">
      <c r="A2346"/>
    </row>
    <row r="2347" spans="1:1" x14ac:dyDescent="0.3">
      <c r="A2347"/>
    </row>
    <row r="2348" spans="1:1" x14ac:dyDescent="0.3">
      <c r="A2348"/>
    </row>
    <row r="2349" spans="1:1" x14ac:dyDescent="0.3">
      <c r="A2349"/>
    </row>
    <row r="2350" spans="1:1" x14ac:dyDescent="0.3">
      <c r="A2350"/>
    </row>
    <row r="2351" spans="1:1" x14ac:dyDescent="0.3">
      <c r="A2351"/>
    </row>
    <row r="2352" spans="1:1" x14ac:dyDescent="0.3">
      <c r="A2352"/>
    </row>
    <row r="2353" spans="1:1" x14ac:dyDescent="0.3">
      <c r="A2353"/>
    </row>
    <row r="2354" spans="1:1" x14ac:dyDescent="0.3">
      <c r="A2354"/>
    </row>
    <row r="2355" spans="1:1" x14ac:dyDescent="0.3">
      <c r="A2355"/>
    </row>
    <row r="2356" spans="1:1" x14ac:dyDescent="0.3">
      <c r="A2356"/>
    </row>
    <row r="2357" spans="1:1" x14ac:dyDescent="0.3">
      <c r="A2357"/>
    </row>
    <row r="2358" spans="1:1" x14ac:dyDescent="0.3">
      <c r="A2358"/>
    </row>
    <row r="2359" spans="1:1" x14ac:dyDescent="0.3">
      <c r="A2359"/>
    </row>
    <row r="2360" spans="1:1" x14ac:dyDescent="0.3">
      <c r="A2360"/>
    </row>
    <row r="2361" spans="1:1" x14ac:dyDescent="0.3">
      <c r="A2361"/>
    </row>
    <row r="2362" spans="1:1" x14ac:dyDescent="0.3">
      <c r="A2362"/>
    </row>
    <row r="2363" spans="1:1" x14ac:dyDescent="0.3">
      <c r="A2363"/>
    </row>
    <row r="2364" spans="1:1" x14ac:dyDescent="0.3">
      <c r="A2364"/>
    </row>
    <row r="2365" spans="1:1" x14ac:dyDescent="0.3">
      <c r="A2365"/>
    </row>
    <row r="2366" spans="1:1" x14ac:dyDescent="0.3">
      <c r="A2366"/>
    </row>
    <row r="2367" spans="1:1" x14ac:dyDescent="0.3">
      <c r="A2367"/>
    </row>
    <row r="2368" spans="1:1" x14ac:dyDescent="0.3">
      <c r="A2368"/>
    </row>
    <row r="2369" spans="1:1" x14ac:dyDescent="0.3">
      <c r="A2369"/>
    </row>
    <row r="2370" spans="1:1" x14ac:dyDescent="0.3">
      <c r="A2370"/>
    </row>
    <row r="2371" spans="1:1" x14ac:dyDescent="0.3">
      <c r="A2371"/>
    </row>
    <row r="2372" spans="1:1" x14ac:dyDescent="0.3">
      <c r="A2372"/>
    </row>
    <row r="2373" spans="1:1" x14ac:dyDescent="0.3">
      <c r="A2373"/>
    </row>
    <row r="2374" spans="1:1" x14ac:dyDescent="0.3">
      <c r="A2374"/>
    </row>
    <row r="2375" spans="1:1" x14ac:dyDescent="0.3">
      <c r="A2375"/>
    </row>
    <row r="2376" spans="1:1" x14ac:dyDescent="0.3">
      <c r="A2376"/>
    </row>
    <row r="2377" spans="1:1" x14ac:dyDescent="0.3">
      <c r="A2377"/>
    </row>
    <row r="2378" spans="1:1" x14ac:dyDescent="0.3">
      <c r="A2378"/>
    </row>
    <row r="2379" spans="1:1" x14ac:dyDescent="0.3">
      <c r="A2379"/>
    </row>
    <row r="2380" spans="1:1" x14ac:dyDescent="0.3">
      <c r="A2380"/>
    </row>
    <row r="2381" spans="1:1" x14ac:dyDescent="0.3">
      <c r="A2381"/>
    </row>
    <row r="2382" spans="1:1" x14ac:dyDescent="0.3">
      <c r="A2382"/>
    </row>
    <row r="2383" spans="1:1" x14ac:dyDescent="0.3">
      <c r="A2383"/>
    </row>
    <row r="2384" spans="1:1" x14ac:dyDescent="0.3">
      <c r="A2384"/>
    </row>
    <row r="2385" spans="1:1" x14ac:dyDescent="0.3">
      <c r="A2385"/>
    </row>
    <row r="2386" spans="1:1" x14ac:dyDescent="0.3">
      <c r="A2386"/>
    </row>
    <row r="2387" spans="1:1" x14ac:dyDescent="0.3">
      <c r="A2387"/>
    </row>
    <row r="2388" spans="1:1" x14ac:dyDescent="0.3">
      <c r="A2388"/>
    </row>
    <row r="2389" spans="1:1" x14ac:dyDescent="0.3">
      <c r="A2389"/>
    </row>
    <row r="2390" spans="1:1" x14ac:dyDescent="0.3">
      <c r="A2390"/>
    </row>
    <row r="2391" spans="1:1" x14ac:dyDescent="0.3">
      <c r="A2391"/>
    </row>
    <row r="2392" spans="1:1" x14ac:dyDescent="0.3">
      <c r="A2392"/>
    </row>
    <row r="2393" spans="1:1" x14ac:dyDescent="0.3">
      <c r="A2393"/>
    </row>
    <row r="2394" spans="1:1" x14ac:dyDescent="0.3">
      <c r="A2394"/>
    </row>
    <row r="2395" spans="1:1" x14ac:dyDescent="0.3">
      <c r="A2395"/>
    </row>
    <row r="2396" spans="1:1" x14ac:dyDescent="0.3">
      <c r="A2396"/>
    </row>
    <row r="2397" spans="1:1" x14ac:dyDescent="0.3">
      <c r="A2397"/>
    </row>
    <row r="2398" spans="1:1" x14ac:dyDescent="0.3">
      <c r="A2398"/>
    </row>
    <row r="2399" spans="1:1" x14ac:dyDescent="0.3">
      <c r="A2399"/>
    </row>
    <row r="2400" spans="1:1" x14ac:dyDescent="0.3">
      <c r="A2400"/>
    </row>
    <row r="2401" spans="1:1" x14ac:dyDescent="0.3">
      <c r="A2401"/>
    </row>
    <row r="2402" spans="1:1" x14ac:dyDescent="0.3">
      <c r="A2402"/>
    </row>
    <row r="2403" spans="1:1" x14ac:dyDescent="0.3">
      <c r="A2403"/>
    </row>
    <row r="2404" spans="1:1" x14ac:dyDescent="0.3">
      <c r="A2404"/>
    </row>
    <row r="2405" spans="1:1" x14ac:dyDescent="0.3">
      <c r="A2405"/>
    </row>
    <row r="2406" spans="1:1" x14ac:dyDescent="0.3">
      <c r="A2406"/>
    </row>
    <row r="2407" spans="1:1" x14ac:dyDescent="0.3">
      <c r="A2407"/>
    </row>
    <row r="2408" spans="1:1" x14ac:dyDescent="0.3">
      <c r="A2408"/>
    </row>
    <row r="2409" spans="1:1" x14ac:dyDescent="0.3">
      <c r="A2409"/>
    </row>
    <row r="2410" spans="1:1" x14ac:dyDescent="0.3">
      <c r="A2410"/>
    </row>
    <row r="2411" spans="1:1" x14ac:dyDescent="0.3">
      <c r="A2411"/>
    </row>
    <row r="2412" spans="1:1" x14ac:dyDescent="0.3">
      <c r="A2412"/>
    </row>
    <row r="2413" spans="1:1" x14ac:dyDescent="0.3">
      <c r="A2413"/>
    </row>
    <row r="2414" spans="1:1" x14ac:dyDescent="0.3">
      <c r="A2414"/>
    </row>
    <row r="2415" spans="1:1" x14ac:dyDescent="0.3">
      <c r="A2415"/>
    </row>
    <row r="2416" spans="1:1" x14ac:dyDescent="0.3">
      <c r="A2416"/>
    </row>
    <row r="2417" spans="1:1" x14ac:dyDescent="0.3">
      <c r="A2417"/>
    </row>
    <row r="2418" spans="1:1" x14ac:dyDescent="0.3">
      <c r="A2418"/>
    </row>
    <row r="2419" spans="1:1" x14ac:dyDescent="0.3">
      <c r="A2419"/>
    </row>
    <row r="2420" spans="1:1" x14ac:dyDescent="0.3">
      <c r="A2420"/>
    </row>
    <row r="2421" spans="1:1" x14ac:dyDescent="0.3">
      <c r="A2421"/>
    </row>
    <row r="2422" spans="1:1" x14ac:dyDescent="0.3">
      <c r="A2422"/>
    </row>
    <row r="2423" spans="1:1" x14ac:dyDescent="0.3">
      <c r="A2423"/>
    </row>
    <row r="2424" spans="1:1" x14ac:dyDescent="0.3">
      <c r="A2424"/>
    </row>
    <row r="2425" spans="1:1" x14ac:dyDescent="0.3">
      <c r="A2425"/>
    </row>
    <row r="2426" spans="1:1" x14ac:dyDescent="0.3">
      <c r="A2426"/>
    </row>
    <row r="2427" spans="1:1" x14ac:dyDescent="0.3">
      <c r="A2427"/>
    </row>
    <row r="2428" spans="1:1" x14ac:dyDescent="0.3">
      <c r="A2428"/>
    </row>
    <row r="2429" spans="1:1" x14ac:dyDescent="0.3">
      <c r="A2429"/>
    </row>
    <row r="2430" spans="1:1" x14ac:dyDescent="0.3">
      <c r="A2430"/>
    </row>
    <row r="2431" spans="1:1" x14ac:dyDescent="0.3">
      <c r="A2431"/>
    </row>
    <row r="2432" spans="1:1" x14ac:dyDescent="0.3">
      <c r="A2432"/>
    </row>
    <row r="2433" spans="1:1" x14ac:dyDescent="0.3">
      <c r="A2433"/>
    </row>
    <row r="2434" spans="1:1" x14ac:dyDescent="0.3">
      <c r="A2434"/>
    </row>
    <row r="2435" spans="1:1" x14ac:dyDescent="0.3">
      <c r="A2435"/>
    </row>
    <row r="2436" spans="1:1" x14ac:dyDescent="0.3">
      <c r="A2436"/>
    </row>
    <row r="2437" spans="1:1" x14ac:dyDescent="0.3">
      <c r="A2437"/>
    </row>
    <row r="2438" spans="1:1" x14ac:dyDescent="0.3">
      <c r="A2438"/>
    </row>
    <row r="2439" spans="1:1" x14ac:dyDescent="0.3">
      <c r="A2439"/>
    </row>
    <row r="2440" spans="1:1" x14ac:dyDescent="0.3">
      <c r="A2440"/>
    </row>
    <row r="2441" spans="1:1" x14ac:dyDescent="0.3">
      <c r="A2441"/>
    </row>
    <row r="2442" spans="1:1" x14ac:dyDescent="0.3">
      <c r="A2442"/>
    </row>
    <row r="2443" spans="1:1" x14ac:dyDescent="0.3">
      <c r="A2443"/>
    </row>
    <row r="2444" spans="1:1" x14ac:dyDescent="0.3">
      <c r="A2444"/>
    </row>
    <row r="2445" spans="1:1" x14ac:dyDescent="0.3">
      <c r="A2445"/>
    </row>
    <row r="2446" spans="1:1" x14ac:dyDescent="0.3">
      <c r="A2446"/>
    </row>
    <row r="2447" spans="1:1" x14ac:dyDescent="0.3">
      <c r="A2447"/>
    </row>
    <row r="2448" spans="1:1" x14ac:dyDescent="0.3">
      <c r="A2448"/>
    </row>
    <row r="2449" spans="1:1" x14ac:dyDescent="0.3">
      <c r="A2449"/>
    </row>
    <row r="2450" spans="1:1" x14ac:dyDescent="0.3">
      <c r="A2450"/>
    </row>
    <row r="2451" spans="1:1" x14ac:dyDescent="0.3">
      <c r="A2451"/>
    </row>
    <row r="2452" spans="1:1" x14ac:dyDescent="0.3">
      <c r="A2452"/>
    </row>
    <row r="2453" spans="1:1" x14ac:dyDescent="0.3">
      <c r="A2453"/>
    </row>
    <row r="2454" spans="1:1" x14ac:dyDescent="0.3">
      <c r="A2454"/>
    </row>
    <row r="2455" spans="1:1" x14ac:dyDescent="0.3">
      <c r="A2455"/>
    </row>
    <row r="2456" spans="1:1" x14ac:dyDescent="0.3">
      <c r="A2456"/>
    </row>
    <row r="2457" spans="1:1" x14ac:dyDescent="0.3">
      <c r="A2457"/>
    </row>
    <row r="2458" spans="1:1" x14ac:dyDescent="0.3">
      <c r="A2458"/>
    </row>
    <row r="2459" spans="1:1" x14ac:dyDescent="0.3">
      <c r="A2459"/>
    </row>
    <row r="2460" spans="1:1" x14ac:dyDescent="0.3">
      <c r="A2460"/>
    </row>
    <row r="2461" spans="1:1" x14ac:dyDescent="0.3">
      <c r="A2461"/>
    </row>
    <row r="2462" spans="1:1" x14ac:dyDescent="0.3">
      <c r="A2462"/>
    </row>
    <row r="2463" spans="1:1" x14ac:dyDescent="0.3">
      <c r="A2463"/>
    </row>
    <row r="2464" spans="1:1" x14ac:dyDescent="0.3">
      <c r="A2464"/>
    </row>
    <row r="2465" spans="1:1" x14ac:dyDescent="0.3">
      <c r="A2465"/>
    </row>
    <row r="2466" spans="1:1" x14ac:dyDescent="0.3">
      <c r="A2466"/>
    </row>
    <row r="2467" spans="1:1" x14ac:dyDescent="0.3">
      <c r="A2467"/>
    </row>
    <row r="2468" spans="1:1" x14ac:dyDescent="0.3">
      <c r="A2468"/>
    </row>
    <row r="2469" spans="1:1" x14ac:dyDescent="0.3">
      <c r="A2469"/>
    </row>
    <row r="2470" spans="1:1" x14ac:dyDescent="0.3">
      <c r="A2470"/>
    </row>
    <row r="2471" spans="1:1" x14ac:dyDescent="0.3">
      <c r="A2471"/>
    </row>
    <row r="2472" spans="1:1" x14ac:dyDescent="0.3">
      <c r="A2472"/>
    </row>
    <row r="2473" spans="1:1" x14ac:dyDescent="0.3">
      <c r="A2473"/>
    </row>
    <row r="2474" spans="1:1" x14ac:dyDescent="0.3">
      <c r="A2474"/>
    </row>
    <row r="2475" spans="1:1" x14ac:dyDescent="0.3">
      <c r="A2475"/>
    </row>
    <row r="2476" spans="1:1" x14ac:dyDescent="0.3">
      <c r="A2476"/>
    </row>
    <row r="2477" spans="1:1" x14ac:dyDescent="0.3">
      <c r="A2477"/>
    </row>
    <row r="2478" spans="1:1" x14ac:dyDescent="0.3">
      <c r="A2478"/>
    </row>
    <row r="2479" spans="1:1" x14ac:dyDescent="0.3">
      <c r="A2479"/>
    </row>
    <row r="2480" spans="1:1" x14ac:dyDescent="0.3">
      <c r="A2480"/>
    </row>
    <row r="2481" spans="1:1" x14ac:dyDescent="0.3">
      <c r="A2481"/>
    </row>
    <row r="2482" spans="1:1" x14ac:dyDescent="0.3">
      <c r="A2482"/>
    </row>
    <row r="2483" spans="1:1" x14ac:dyDescent="0.3">
      <c r="A2483"/>
    </row>
    <row r="2484" spans="1:1" x14ac:dyDescent="0.3">
      <c r="A2484"/>
    </row>
    <row r="2485" spans="1:1" x14ac:dyDescent="0.3">
      <c r="A2485"/>
    </row>
    <row r="2486" spans="1:1" x14ac:dyDescent="0.3">
      <c r="A2486"/>
    </row>
    <row r="2487" spans="1:1" x14ac:dyDescent="0.3">
      <c r="A2487"/>
    </row>
    <row r="2488" spans="1:1" x14ac:dyDescent="0.3">
      <c r="A2488"/>
    </row>
    <row r="2489" spans="1:1" x14ac:dyDescent="0.3">
      <c r="A2489"/>
    </row>
    <row r="2490" spans="1:1" x14ac:dyDescent="0.3">
      <c r="A2490"/>
    </row>
    <row r="2491" spans="1:1" x14ac:dyDescent="0.3">
      <c r="A2491"/>
    </row>
    <row r="2492" spans="1:1" x14ac:dyDescent="0.3">
      <c r="A2492"/>
    </row>
    <row r="2493" spans="1:1" x14ac:dyDescent="0.3">
      <c r="A2493"/>
    </row>
    <row r="2494" spans="1:1" x14ac:dyDescent="0.3">
      <c r="A2494"/>
    </row>
    <row r="2495" spans="1:1" x14ac:dyDescent="0.3">
      <c r="A2495"/>
    </row>
    <row r="2496" spans="1:1" x14ac:dyDescent="0.3">
      <c r="A2496"/>
    </row>
    <row r="2497" spans="1:1" x14ac:dyDescent="0.3">
      <c r="A2497"/>
    </row>
    <row r="2498" spans="1:1" x14ac:dyDescent="0.3">
      <c r="A2498"/>
    </row>
    <row r="2499" spans="1:1" x14ac:dyDescent="0.3">
      <c r="A2499"/>
    </row>
    <row r="2500" spans="1:1" x14ac:dyDescent="0.3">
      <c r="A2500"/>
    </row>
    <row r="2501" spans="1:1" x14ac:dyDescent="0.3">
      <c r="A2501"/>
    </row>
    <row r="2502" spans="1:1" x14ac:dyDescent="0.3">
      <c r="A2502"/>
    </row>
    <row r="2503" spans="1:1" x14ac:dyDescent="0.3">
      <c r="A2503"/>
    </row>
    <row r="2504" spans="1:1" x14ac:dyDescent="0.3">
      <c r="A2504"/>
    </row>
    <row r="2505" spans="1:1" x14ac:dyDescent="0.3">
      <c r="A2505"/>
    </row>
    <row r="2506" spans="1:1" x14ac:dyDescent="0.3">
      <c r="A2506"/>
    </row>
    <row r="2507" spans="1:1" x14ac:dyDescent="0.3">
      <c r="A2507"/>
    </row>
    <row r="2508" spans="1:1" x14ac:dyDescent="0.3">
      <c r="A2508"/>
    </row>
    <row r="2509" spans="1:1" x14ac:dyDescent="0.3">
      <c r="A2509"/>
    </row>
    <row r="2510" spans="1:1" x14ac:dyDescent="0.3">
      <c r="A2510"/>
    </row>
    <row r="2511" spans="1:1" x14ac:dyDescent="0.3">
      <c r="A2511"/>
    </row>
    <row r="2512" spans="1:1"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4D931-C0F9-4BA2-914D-8640E8198865}">
  <sheetPr>
    <tabColor rgb="FFFF0000"/>
  </sheetPr>
  <dimension ref="A1:A4"/>
  <sheetViews>
    <sheetView workbookViewId="0">
      <selection activeCell="J15" sqref="J15"/>
    </sheetView>
  </sheetViews>
  <sheetFormatPr defaultRowHeight="14.4" x14ac:dyDescent="0.3"/>
  <cols>
    <col min="1" max="1" width="14.77734375" bestFit="1" customWidth="1"/>
  </cols>
  <sheetData>
    <row r="1" spans="1:1" ht="15.6" x14ac:dyDescent="0.3">
      <c r="A1" s="65" t="s">
        <v>10</v>
      </c>
    </row>
    <row r="2" spans="1:1" ht="15.6" x14ac:dyDescent="0.3">
      <c r="A2" s="63" t="s">
        <v>367</v>
      </c>
    </row>
    <row r="3" spans="1:1" ht="15.6" x14ac:dyDescent="0.3">
      <c r="A3" s="64" t="s">
        <v>368</v>
      </c>
    </row>
    <row r="4" spans="1:1" ht="15.6" x14ac:dyDescent="0.3">
      <c r="A4" s="15" t="s">
        <v>369</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9C658-5EFB-4E87-803D-D17B2ADF4DBD}">
  <sheetPr>
    <tabColor rgb="FFFF0000"/>
  </sheetPr>
  <dimension ref="A1:A3"/>
  <sheetViews>
    <sheetView zoomScaleNormal="100" workbookViewId="0">
      <selection activeCell="M32" sqref="M32"/>
    </sheetView>
  </sheetViews>
  <sheetFormatPr defaultRowHeight="14.4" x14ac:dyDescent="0.3"/>
  <cols>
    <col min="1" max="1" width="11.6640625" bestFit="1" customWidth="1"/>
  </cols>
  <sheetData>
    <row r="1" spans="1:1" ht="15.6" x14ac:dyDescent="0.3">
      <c r="A1" s="65" t="s">
        <v>12</v>
      </c>
    </row>
    <row r="2" spans="1:1" ht="15.6" x14ac:dyDescent="0.3">
      <c r="A2" s="63" t="s">
        <v>19</v>
      </c>
    </row>
    <row r="3" spans="1:1" ht="15.6" x14ac:dyDescent="0.3">
      <c r="A3" s="11" t="s">
        <v>370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8BA89523-1B61-411D-B47E-D00CB6A012B9}">
  <ds:schemaRefs/>
</ds:datastoreItem>
</file>

<file path=customXml/itemProps2.xml><?xml version="1.0" encoding="utf-8"?>
<ds:datastoreItem xmlns:ds="http://schemas.openxmlformats.org/officeDocument/2006/customXml" ds:itemID="{8DAEB848-BA94-4786-90EE-2D4BE29334A6}">
  <ds:schemaRefs/>
</ds:datastoreItem>
</file>

<file path=customXml/itemProps3.xml><?xml version="1.0" encoding="utf-8"?>
<ds:datastoreItem xmlns:ds="http://schemas.openxmlformats.org/officeDocument/2006/customXml" ds:itemID="{5C78E6F9-2B66-45BC-B4B9-6AA97710EC09}">
  <ds:schemaRefs/>
</ds:datastoreItem>
</file>

<file path=customXml/itemProps4.xml><?xml version="1.0" encoding="utf-8"?>
<ds:datastoreItem xmlns:ds="http://schemas.openxmlformats.org/officeDocument/2006/customXml" ds:itemID="{8AAFE978-DB2D-434B-BC99-017A2A6ED576}">
  <ds:schemaRefs/>
</ds:datastoreItem>
</file>

<file path=customXml/itemProps5.xml><?xml version="1.0" encoding="utf-8"?>
<ds:datastoreItem xmlns:ds="http://schemas.openxmlformats.org/officeDocument/2006/customXml" ds:itemID="{022B5E4C-2075-418B-AA4E-9DC7182314AA}">
  <ds:schemaRefs/>
</ds:datastoreItem>
</file>

<file path=customXml/itemProps6.xml><?xml version="1.0" encoding="utf-8"?>
<ds:datastoreItem xmlns:ds="http://schemas.openxmlformats.org/officeDocument/2006/customXml" ds:itemID="{3C68841F-98E8-44D4-9614-5BEB3B69FFDA}">
  <ds:schemaRefs/>
</ds:datastoreItem>
</file>

<file path=customXml/itemProps7.xml><?xml version="1.0" encoding="utf-8"?>
<ds:datastoreItem xmlns:ds="http://schemas.openxmlformats.org/officeDocument/2006/customXml" ds:itemID="{4C68B87E-1BC0-4F65-811C-B720A5BFCE96}">
  <ds:schemaRefs/>
</ds:datastoreItem>
</file>

<file path=customXml/itemProps8.xml><?xml version="1.0" encoding="utf-8"?>
<ds:datastoreItem xmlns:ds="http://schemas.openxmlformats.org/officeDocument/2006/customXml" ds:itemID="{BB05E15B-B51F-4219-8CAE-784263C8824A}">
  <ds:schemaRefs/>
</ds:datastoreItem>
</file>

<file path=customXml/itemProps9.xml><?xml version="1.0" encoding="utf-8"?>
<ds:datastoreItem xmlns:ds="http://schemas.openxmlformats.org/officeDocument/2006/customXml" ds:itemID="{90D04F2A-F3C3-4271-BC85-B250E518CD04}">
  <ds:schemaRefs/>
</ds:datastoreItem>
</file>

<file path=customXml/itemProps10.xml><?xml version="1.0" encoding="utf-8"?>
<ds:datastoreItem xmlns:ds="http://schemas.openxmlformats.org/officeDocument/2006/customXml" ds:itemID="{82F1F20C-68FD-4417-82C4-F793765F1E9F}">
  <ds:schemaRefs>
    <ds:schemaRef ds:uri="http://schemas.microsoft.com/DataMashup"/>
  </ds:schemaRefs>
</ds:datastoreItem>
</file>

<file path=customXml/itemProps11.xml><?xml version="1.0" encoding="utf-8"?>
<ds:datastoreItem xmlns:ds="http://schemas.openxmlformats.org/officeDocument/2006/customXml" ds:itemID="{5A21B66C-6293-4AE1-8F84-AA36AE0EC3EC}">
  <ds:schemaRefs/>
</ds:datastoreItem>
</file>

<file path=customXml/itemProps12.xml><?xml version="1.0" encoding="utf-8"?>
<ds:datastoreItem xmlns:ds="http://schemas.openxmlformats.org/officeDocument/2006/customXml" ds:itemID="{67F74EA5-DE21-416B-9CC9-8CFE07A0C218}">
  <ds:schemaRefs/>
</ds:datastoreItem>
</file>

<file path=customXml/itemProps13.xml><?xml version="1.0" encoding="utf-8"?>
<ds:datastoreItem xmlns:ds="http://schemas.openxmlformats.org/officeDocument/2006/customXml" ds:itemID="{B7542D98-A18E-4A59-A519-D07A6E2A5F36}">
  <ds:schemaRefs/>
</ds:datastoreItem>
</file>

<file path=customXml/itemProps14.xml><?xml version="1.0" encoding="utf-8"?>
<ds:datastoreItem xmlns:ds="http://schemas.openxmlformats.org/officeDocument/2006/customXml" ds:itemID="{3F74109B-8193-4C64-9836-F51523D58EFB}">
  <ds:schemaRefs/>
</ds:datastoreItem>
</file>

<file path=customXml/itemProps15.xml><?xml version="1.0" encoding="utf-8"?>
<ds:datastoreItem xmlns:ds="http://schemas.openxmlformats.org/officeDocument/2006/customXml" ds:itemID="{DFD6E379-5C1B-4EF2-ACE8-00961194741A}">
  <ds:schemaRefs/>
</ds:datastoreItem>
</file>

<file path=customXml/itemProps16.xml><?xml version="1.0" encoding="utf-8"?>
<ds:datastoreItem xmlns:ds="http://schemas.openxmlformats.org/officeDocument/2006/customXml" ds:itemID="{B7BDA8EE-4F68-4C40-AA83-B46EA7BB8B77}">
  <ds:schemaRefs/>
</ds:datastoreItem>
</file>

<file path=customXml/itemProps17.xml><?xml version="1.0" encoding="utf-8"?>
<ds:datastoreItem xmlns:ds="http://schemas.openxmlformats.org/officeDocument/2006/customXml" ds:itemID="{BD23A0B1-D0B6-4304-A297-812BAB973EDD}">
  <ds:schemaRefs/>
</ds:datastoreItem>
</file>

<file path=customXml/itemProps18.xml><?xml version="1.0" encoding="utf-8"?>
<ds:datastoreItem xmlns:ds="http://schemas.openxmlformats.org/officeDocument/2006/customXml" ds:itemID="{2DB3B77E-2C63-4596-A835-01C2A441B7F6}">
  <ds:schemaRefs/>
</ds:datastoreItem>
</file>

<file path=customXml/itemProps19.xml><?xml version="1.0" encoding="utf-8"?>
<ds:datastoreItem xmlns:ds="http://schemas.openxmlformats.org/officeDocument/2006/customXml" ds:itemID="{E5F16E72-A96B-4B45-BEFB-D8CB88353B6C}">
  <ds:schemaRefs/>
</ds:datastoreItem>
</file>

<file path=customXml/itemProps20.xml><?xml version="1.0" encoding="utf-8"?>
<ds:datastoreItem xmlns:ds="http://schemas.openxmlformats.org/officeDocument/2006/customXml" ds:itemID="{80E1B4DC-54FB-42C7-ACC8-0CC4AC97B03C}">
  <ds:schemaRefs/>
</ds:datastoreItem>
</file>

<file path=customXml/itemProps21.xml><?xml version="1.0" encoding="utf-8"?>
<ds:datastoreItem xmlns:ds="http://schemas.openxmlformats.org/officeDocument/2006/customXml" ds:itemID="{658BE669-C4B3-4FD3-AF45-50F729C065FA}">
  <ds:schemaRefs/>
</ds:datastoreItem>
</file>

<file path=customXml/itemProps22.xml><?xml version="1.0" encoding="utf-8"?>
<ds:datastoreItem xmlns:ds="http://schemas.openxmlformats.org/officeDocument/2006/customXml" ds:itemID="{E5E8A81E-CBA7-4185-A393-6C0424FB9331}">
  <ds:schemaRefs/>
</ds:datastoreItem>
</file>

<file path=customXml/itemProps23.xml><?xml version="1.0" encoding="utf-8"?>
<ds:datastoreItem xmlns:ds="http://schemas.openxmlformats.org/officeDocument/2006/customXml" ds:itemID="{98EDF672-E791-4B40-93C7-FA8ED2EE0B7A}">
  <ds:schemaRefs/>
</ds:datastoreItem>
</file>

<file path=customXml/itemProps24.xml><?xml version="1.0" encoding="utf-8"?>
<ds:datastoreItem xmlns:ds="http://schemas.openxmlformats.org/officeDocument/2006/customXml" ds:itemID="{ABF32D7A-92FF-46BE-BB77-6CDE23B74E0E}">
  <ds:schemaRefs/>
</ds:datastoreItem>
</file>

<file path=customXml/itemProps25.xml><?xml version="1.0" encoding="utf-8"?>
<ds:datastoreItem xmlns:ds="http://schemas.openxmlformats.org/officeDocument/2006/customXml" ds:itemID="{FC35936C-3DB9-4D60-BD07-6C1FFF7B41C7}">
  <ds:schemaRefs/>
</ds:datastoreItem>
</file>

<file path=customXml/itemProps26.xml><?xml version="1.0" encoding="utf-8"?>
<ds:datastoreItem xmlns:ds="http://schemas.openxmlformats.org/officeDocument/2006/customXml" ds:itemID="{99C7A365-31E2-48FA-80E2-CD92CE28CB42}">
  <ds:schemaRefs/>
</ds:datastoreItem>
</file>

<file path=customXml/itemProps27.xml><?xml version="1.0" encoding="utf-8"?>
<ds:datastoreItem xmlns:ds="http://schemas.openxmlformats.org/officeDocument/2006/customXml" ds:itemID="{1EA4C139-D5E6-42AD-8A0D-6F25512BF60B}">
  <ds:schemaRefs/>
</ds:datastoreItem>
</file>

<file path=customXml/itemProps28.xml><?xml version="1.0" encoding="utf-8"?>
<ds:datastoreItem xmlns:ds="http://schemas.openxmlformats.org/officeDocument/2006/customXml" ds:itemID="{12D4F986-A63D-4548-A63E-BFD44D82829E}">
  <ds:schemaRefs/>
</ds:datastoreItem>
</file>

<file path=customXml/itemProps29.xml><?xml version="1.0" encoding="utf-8"?>
<ds:datastoreItem xmlns:ds="http://schemas.openxmlformats.org/officeDocument/2006/customXml" ds:itemID="{1B48510C-7039-461A-9BAF-98DEB1C9EE2E}">
  <ds:schemaRefs/>
</ds:datastoreItem>
</file>

<file path=customXml/itemProps30.xml><?xml version="1.0" encoding="utf-8"?>
<ds:datastoreItem xmlns:ds="http://schemas.openxmlformats.org/officeDocument/2006/customXml" ds:itemID="{B3BBCC77-B285-4870-8466-0A846702301C}">
  <ds:schemaRefs/>
</ds:datastoreItem>
</file>

<file path=customXml/itemProps31.xml><?xml version="1.0" encoding="utf-8"?>
<ds:datastoreItem xmlns:ds="http://schemas.openxmlformats.org/officeDocument/2006/customXml" ds:itemID="{EEDA3445-1400-4BFD-9254-FE35EE03C2F4}">
  <ds:schemaRefs/>
</ds:datastoreItem>
</file>

<file path=customXml/itemProps32.xml><?xml version="1.0" encoding="utf-8"?>
<ds:datastoreItem xmlns:ds="http://schemas.openxmlformats.org/officeDocument/2006/customXml" ds:itemID="{71E2DBE4-EA30-4989-B4D6-E29F15C9D5C4}">
  <ds:schemaRefs/>
</ds:datastoreItem>
</file>

<file path=customXml/itemProps33.xml><?xml version="1.0" encoding="utf-8"?>
<ds:datastoreItem xmlns:ds="http://schemas.openxmlformats.org/officeDocument/2006/customXml" ds:itemID="{6A58452F-95C5-4A7B-B4F4-9A4C091B5CD0}">
  <ds:schemaRefs/>
</ds:datastoreItem>
</file>

<file path=customXml/itemProps34.xml><?xml version="1.0" encoding="utf-8"?>
<ds:datastoreItem xmlns:ds="http://schemas.openxmlformats.org/officeDocument/2006/customXml" ds:itemID="{D7988E73-EC2D-474F-A9B7-61956388B48F}">
  <ds:schemaRefs/>
</ds:datastoreItem>
</file>

<file path=customXml/itemProps35.xml><?xml version="1.0" encoding="utf-8"?>
<ds:datastoreItem xmlns:ds="http://schemas.openxmlformats.org/officeDocument/2006/customXml" ds:itemID="{2AF49E43-1D38-450B-9956-0AC83D8BBA11}">
  <ds:schemaRefs/>
</ds:datastoreItem>
</file>

<file path=customXml/itemProps36.xml><?xml version="1.0" encoding="utf-8"?>
<ds:datastoreItem xmlns:ds="http://schemas.openxmlformats.org/officeDocument/2006/customXml" ds:itemID="{7610D980-201C-4C4D-989D-1B0D08290602}">
  <ds:schemaRefs/>
</ds:datastoreItem>
</file>

<file path=customXml/itemProps37.xml><?xml version="1.0" encoding="utf-8"?>
<ds:datastoreItem xmlns:ds="http://schemas.openxmlformats.org/officeDocument/2006/customXml" ds:itemID="{B8F64C61-01AB-445D-96DC-7699731403D8}">
  <ds:schemaRefs/>
</ds:datastoreItem>
</file>

<file path=customXml/itemProps38.xml><?xml version="1.0" encoding="utf-8"?>
<ds:datastoreItem xmlns:ds="http://schemas.openxmlformats.org/officeDocument/2006/customXml" ds:itemID="{8EC075A6-2B79-471B-A987-575B9964572B}">
  <ds:schemaRefs/>
</ds:datastoreItem>
</file>

<file path=customXml/itemProps39.xml><?xml version="1.0" encoding="utf-8"?>
<ds:datastoreItem xmlns:ds="http://schemas.openxmlformats.org/officeDocument/2006/customXml" ds:itemID="{F9131706-6041-40B0-A515-95D79F871F8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Descriptive Dashboard</vt:lpstr>
      <vt:lpstr>Diagnostic Analysis</vt:lpstr>
      <vt:lpstr>Predictive Analysis</vt:lpstr>
      <vt:lpstr>Prescriptive Analysis</vt:lpstr>
      <vt:lpstr>Pivot</vt:lpstr>
      <vt:lpstr>Sales Table</vt:lpstr>
      <vt:lpstr>Products Table</vt:lpstr>
      <vt:lpstr>Customers Table</vt:lpstr>
      <vt:lpstr>Returns Table</vt:lpstr>
      <vt:lpstr>Marketing Table</vt:lpstr>
      <vt:lpstr>Date Table</vt:lpstr>
      <vt:lpstr>Location Table</vt:lpstr>
      <vt:lpstr>Product Category Table</vt:lpstr>
      <vt:lpstr>Deal Size Table</vt:lpstr>
      <vt:lpstr>Status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Product Analyst - Tushar Valmiki</dc:creator>
  <cp:lastModifiedBy>2024 - 2025 - 2029</cp:lastModifiedBy>
  <dcterms:created xsi:type="dcterms:W3CDTF">2025-07-04T13:39:55Z</dcterms:created>
  <dcterms:modified xsi:type="dcterms:W3CDTF">2025-12-09T17:33:50Z</dcterms:modified>
</cp:coreProperties>
</file>