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T\Fin\Python\symbolFinDataToExcel\symbolFinDataToExcel\output\"/>
    </mc:Choice>
  </mc:AlternateContent>
  <xr:revisionPtr revIDLastSave="0" documentId="13_ncr:1_{3FB35879-FF4D-4384-908F-B2D6BC9252E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os AAPL" sheetId="1" r:id="rId1"/>
    <sheet name="Historicos" sheetId="2" r:id="rId2"/>
    <sheet name="EFF AAPL" sheetId="3" r:id="rId3"/>
    <sheet name="BG AAPL" sheetId="4" r:id="rId4"/>
    <sheet name="EERR AAP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5" l="1"/>
  <c r="E1" i="5"/>
  <c r="D1" i="5"/>
  <c r="C1" i="5"/>
  <c r="B1" i="5"/>
  <c r="F1" i="4"/>
  <c r="E1" i="4"/>
  <c r="D1" i="4"/>
  <c r="C1" i="4"/>
  <c r="B1" i="4"/>
  <c r="F23" i="3"/>
  <c r="E23" i="3"/>
  <c r="D23" i="3"/>
  <c r="C23" i="3"/>
  <c r="B23" i="3"/>
  <c r="F21" i="3"/>
  <c r="E21" i="3"/>
  <c r="D21" i="3"/>
  <c r="C21" i="3"/>
  <c r="B21" i="3"/>
  <c r="F1" i="3"/>
  <c r="E1" i="3"/>
  <c r="D1" i="3"/>
  <c r="C1" i="3"/>
  <c r="B1" i="3"/>
  <c r="I1261" i="2"/>
  <c r="J1261" i="2" s="1"/>
  <c r="H1261" i="2"/>
  <c r="K1261" i="2" s="1"/>
  <c r="K1260" i="2" s="1"/>
  <c r="K1259" i="2" s="1"/>
  <c r="K1258" i="2" s="1"/>
  <c r="K1257" i="2" s="1"/>
  <c r="K1256" i="2" s="1"/>
  <c r="K1255" i="2" s="1"/>
  <c r="K1254" i="2" s="1"/>
  <c r="K1253" i="2" s="1"/>
  <c r="K1252" i="2" s="1"/>
  <c r="E1261" i="2"/>
  <c r="D1261" i="2"/>
  <c r="C1261" i="2"/>
  <c r="A1261" i="2"/>
  <c r="I1260" i="2"/>
  <c r="J1260" i="2" s="1"/>
  <c r="H1260" i="2"/>
  <c r="D1260" i="2"/>
  <c r="E1260" i="2" s="1"/>
  <c r="C1260" i="2"/>
  <c r="A1260" i="2"/>
  <c r="I1259" i="2"/>
  <c r="J1259" i="2" s="1"/>
  <c r="H1259" i="2"/>
  <c r="E1259" i="2"/>
  <c r="D1259" i="2"/>
  <c r="C1259" i="2"/>
  <c r="A1259" i="2"/>
  <c r="I1258" i="2"/>
  <c r="J1258" i="2" s="1"/>
  <c r="H1258" i="2"/>
  <c r="E1258" i="2"/>
  <c r="D1258" i="2"/>
  <c r="C1258" i="2"/>
  <c r="A1258" i="2"/>
  <c r="I1257" i="2"/>
  <c r="J1257" i="2" s="1"/>
  <c r="H1257" i="2"/>
  <c r="D1257" i="2"/>
  <c r="E1257" i="2" s="1"/>
  <c r="C1257" i="2"/>
  <c r="A1257" i="2"/>
  <c r="J1256" i="2"/>
  <c r="I1256" i="2"/>
  <c r="H1256" i="2"/>
  <c r="D1256" i="2"/>
  <c r="E1256" i="2" s="1"/>
  <c r="C1256" i="2"/>
  <c r="A1256" i="2"/>
  <c r="I1255" i="2"/>
  <c r="J1255" i="2" s="1"/>
  <c r="H1255" i="2"/>
  <c r="E1255" i="2"/>
  <c r="D1255" i="2"/>
  <c r="C1255" i="2"/>
  <c r="A1255" i="2"/>
  <c r="I1254" i="2"/>
  <c r="J1254" i="2" s="1"/>
  <c r="H1254" i="2"/>
  <c r="D1254" i="2"/>
  <c r="E1254" i="2" s="1"/>
  <c r="C1254" i="2"/>
  <c r="A1254" i="2"/>
  <c r="J1253" i="2"/>
  <c r="I1253" i="2"/>
  <c r="H1253" i="2"/>
  <c r="E1253" i="2"/>
  <c r="D1253" i="2"/>
  <c r="C1253" i="2"/>
  <c r="A1253" i="2"/>
  <c r="I1252" i="2"/>
  <c r="J1252" i="2" s="1"/>
  <c r="H1252" i="2"/>
  <c r="E1252" i="2"/>
  <c r="D1252" i="2"/>
  <c r="C1252" i="2"/>
  <c r="A1252" i="2"/>
  <c r="K1251" i="2"/>
  <c r="K1250" i="2" s="1"/>
  <c r="K1249" i="2" s="1"/>
  <c r="K1248" i="2" s="1"/>
  <c r="K1247" i="2" s="1"/>
  <c r="K1246" i="2" s="1"/>
  <c r="K1245" i="2" s="1"/>
  <c r="K1244" i="2" s="1"/>
  <c r="K1243" i="2" s="1"/>
  <c r="K1242" i="2" s="1"/>
  <c r="K1241" i="2" s="1"/>
  <c r="K1240" i="2" s="1"/>
  <c r="K1239" i="2" s="1"/>
  <c r="K1238" i="2" s="1"/>
  <c r="K1237" i="2" s="1"/>
  <c r="K1236" i="2" s="1"/>
  <c r="K1235" i="2" s="1"/>
  <c r="K1234" i="2" s="1"/>
  <c r="K1233" i="2" s="1"/>
  <c r="K1232" i="2" s="1"/>
  <c r="K1231" i="2" s="1"/>
  <c r="K1230" i="2" s="1"/>
  <c r="K1229" i="2" s="1"/>
  <c r="K1228" i="2" s="1"/>
  <c r="K1227" i="2" s="1"/>
  <c r="K1226" i="2" s="1"/>
  <c r="K1225" i="2" s="1"/>
  <c r="K1224" i="2" s="1"/>
  <c r="K1223" i="2" s="1"/>
  <c r="K1222" i="2" s="1"/>
  <c r="K1221" i="2" s="1"/>
  <c r="K1220" i="2" s="1"/>
  <c r="K1219" i="2" s="1"/>
  <c r="K1218" i="2" s="1"/>
  <c r="K1217" i="2" s="1"/>
  <c r="K1216" i="2" s="1"/>
  <c r="K1215" i="2" s="1"/>
  <c r="K1214" i="2" s="1"/>
  <c r="K1213" i="2" s="1"/>
  <c r="K1212" i="2" s="1"/>
  <c r="K1211" i="2" s="1"/>
  <c r="K1210" i="2" s="1"/>
  <c r="K1209" i="2" s="1"/>
  <c r="K1208" i="2" s="1"/>
  <c r="K1207" i="2" s="1"/>
  <c r="K1206" i="2" s="1"/>
  <c r="K1205" i="2" s="1"/>
  <c r="K1204" i="2" s="1"/>
  <c r="K1203" i="2" s="1"/>
  <c r="K1202" i="2" s="1"/>
  <c r="K1201" i="2" s="1"/>
  <c r="K1200" i="2" s="1"/>
  <c r="K1199" i="2" s="1"/>
  <c r="K1198" i="2" s="1"/>
  <c r="K1197" i="2" s="1"/>
  <c r="K1196" i="2" s="1"/>
  <c r="K1195" i="2" s="1"/>
  <c r="K1194" i="2" s="1"/>
  <c r="K1193" i="2" s="1"/>
  <c r="K1192" i="2" s="1"/>
  <c r="K1191" i="2" s="1"/>
  <c r="K1190" i="2" s="1"/>
  <c r="K1189" i="2" s="1"/>
  <c r="K1188" i="2" s="1"/>
  <c r="K1187" i="2" s="1"/>
  <c r="K1186" i="2" s="1"/>
  <c r="K1185" i="2" s="1"/>
  <c r="K1184" i="2" s="1"/>
  <c r="K1183" i="2" s="1"/>
  <c r="K1182" i="2" s="1"/>
  <c r="K1181" i="2" s="1"/>
  <c r="K1180" i="2" s="1"/>
  <c r="K1179" i="2" s="1"/>
  <c r="K1178" i="2" s="1"/>
  <c r="K1177" i="2" s="1"/>
  <c r="K1176" i="2" s="1"/>
  <c r="K1175" i="2" s="1"/>
  <c r="K1174" i="2" s="1"/>
  <c r="K1173" i="2" s="1"/>
  <c r="K1172" i="2" s="1"/>
  <c r="K1171" i="2" s="1"/>
  <c r="K1170" i="2" s="1"/>
  <c r="K1169" i="2" s="1"/>
  <c r="K1168" i="2" s="1"/>
  <c r="K1167" i="2" s="1"/>
  <c r="K1166" i="2" s="1"/>
  <c r="K1165" i="2" s="1"/>
  <c r="K1164" i="2" s="1"/>
  <c r="K1163" i="2" s="1"/>
  <c r="K1162" i="2" s="1"/>
  <c r="K1161" i="2" s="1"/>
  <c r="K1160" i="2" s="1"/>
  <c r="K1159" i="2" s="1"/>
  <c r="K1158" i="2" s="1"/>
  <c r="K1157" i="2" s="1"/>
  <c r="K1156" i="2" s="1"/>
  <c r="K1155" i="2" s="1"/>
  <c r="K1154" i="2" s="1"/>
  <c r="K1153" i="2" s="1"/>
  <c r="K1152" i="2" s="1"/>
  <c r="K1151" i="2" s="1"/>
  <c r="K1150" i="2" s="1"/>
  <c r="K1149" i="2" s="1"/>
  <c r="K1148" i="2" s="1"/>
  <c r="K1147" i="2" s="1"/>
  <c r="K1146" i="2" s="1"/>
  <c r="K1145" i="2" s="1"/>
  <c r="K1144" i="2" s="1"/>
  <c r="K1143" i="2" s="1"/>
  <c r="K1142" i="2" s="1"/>
  <c r="K1141" i="2" s="1"/>
  <c r="K1140" i="2" s="1"/>
  <c r="K1139" i="2" s="1"/>
  <c r="K1138" i="2" s="1"/>
  <c r="K1137" i="2" s="1"/>
  <c r="K1136" i="2" s="1"/>
  <c r="K1135" i="2" s="1"/>
  <c r="K1134" i="2" s="1"/>
  <c r="K1133" i="2" s="1"/>
  <c r="K1132" i="2" s="1"/>
  <c r="K1131" i="2" s="1"/>
  <c r="K1130" i="2" s="1"/>
  <c r="K1129" i="2" s="1"/>
  <c r="K1128" i="2" s="1"/>
  <c r="K1127" i="2" s="1"/>
  <c r="K1126" i="2" s="1"/>
  <c r="K1125" i="2" s="1"/>
  <c r="K1124" i="2" s="1"/>
  <c r="K1123" i="2" s="1"/>
  <c r="K1122" i="2" s="1"/>
  <c r="K1121" i="2" s="1"/>
  <c r="K1120" i="2" s="1"/>
  <c r="K1119" i="2" s="1"/>
  <c r="K1118" i="2" s="1"/>
  <c r="K1117" i="2" s="1"/>
  <c r="K1116" i="2" s="1"/>
  <c r="K1115" i="2" s="1"/>
  <c r="K1114" i="2" s="1"/>
  <c r="K1113" i="2" s="1"/>
  <c r="K1112" i="2" s="1"/>
  <c r="K1111" i="2" s="1"/>
  <c r="K1110" i="2" s="1"/>
  <c r="K1109" i="2" s="1"/>
  <c r="K1108" i="2" s="1"/>
  <c r="K1107" i="2" s="1"/>
  <c r="K1106" i="2" s="1"/>
  <c r="K1105" i="2" s="1"/>
  <c r="K1104" i="2" s="1"/>
  <c r="K1103" i="2" s="1"/>
  <c r="K1102" i="2" s="1"/>
  <c r="K1101" i="2" s="1"/>
  <c r="K1100" i="2" s="1"/>
  <c r="K1099" i="2" s="1"/>
  <c r="K1098" i="2" s="1"/>
  <c r="K1097" i="2" s="1"/>
  <c r="K1096" i="2" s="1"/>
  <c r="K1095" i="2" s="1"/>
  <c r="K1094" i="2" s="1"/>
  <c r="K1093" i="2" s="1"/>
  <c r="K1092" i="2" s="1"/>
  <c r="K1091" i="2" s="1"/>
  <c r="K1090" i="2" s="1"/>
  <c r="K1089" i="2" s="1"/>
  <c r="K1088" i="2" s="1"/>
  <c r="K1087" i="2" s="1"/>
  <c r="K1086" i="2" s="1"/>
  <c r="K1085" i="2" s="1"/>
  <c r="K1084" i="2" s="1"/>
  <c r="K1083" i="2" s="1"/>
  <c r="K1082" i="2" s="1"/>
  <c r="K1081" i="2" s="1"/>
  <c r="K1080" i="2" s="1"/>
  <c r="K1079" i="2" s="1"/>
  <c r="K1078" i="2" s="1"/>
  <c r="K1077" i="2" s="1"/>
  <c r="K1076" i="2" s="1"/>
  <c r="K1075" i="2" s="1"/>
  <c r="K1074" i="2" s="1"/>
  <c r="K1073" i="2" s="1"/>
  <c r="K1072" i="2" s="1"/>
  <c r="K1071" i="2" s="1"/>
  <c r="K1070" i="2" s="1"/>
  <c r="K1069" i="2" s="1"/>
  <c r="K1068" i="2" s="1"/>
  <c r="K1067" i="2" s="1"/>
  <c r="K1066" i="2" s="1"/>
  <c r="K1065" i="2" s="1"/>
  <c r="K1064" i="2" s="1"/>
  <c r="K1063" i="2" s="1"/>
  <c r="K1062" i="2" s="1"/>
  <c r="K1061" i="2" s="1"/>
  <c r="K1060" i="2" s="1"/>
  <c r="K1059" i="2" s="1"/>
  <c r="K1058" i="2" s="1"/>
  <c r="K1057" i="2" s="1"/>
  <c r="K1056" i="2" s="1"/>
  <c r="K1055" i="2" s="1"/>
  <c r="K1054" i="2" s="1"/>
  <c r="K1053" i="2" s="1"/>
  <c r="K1052" i="2" s="1"/>
  <c r="K1051" i="2" s="1"/>
  <c r="K1050" i="2" s="1"/>
  <c r="K1049" i="2" s="1"/>
  <c r="K1048" i="2" s="1"/>
  <c r="K1047" i="2" s="1"/>
  <c r="K1046" i="2" s="1"/>
  <c r="K1045" i="2" s="1"/>
  <c r="K1044" i="2" s="1"/>
  <c r="K1043" i="2" s="1"/>
  <c r="K1042" i="2" s="1"/>
  <c r="K1041" i="2" s="1"/>
  <c r="K1040" i="2" s="1"/>
  <c r="K1039" i="2" s="1"/>
  <c r="K1038" i="2" s="1"/>
  <c r="K1037" i="2" s="1"/>
  <c r="K1036" i="2" s="1"/>
  <c r="K1035" i="2" s="1"/>
  <c r="K1034" i="2" s="1"/>
  <c r="K1033" i="2" s="1"/>
  <c r="K1032" i="2" s="1"/>
  <c r="K1031" i="2" s="1"/>
  <c r="K1030" i="2" s="1"/>
  <c r="K1029" i="2" s="1"/>
  <c r="K1028" i="2" s="1"/>
  <c r="K1027" i="2" s="1"/>
  <c r="K1026" i="2" s="1"/>
  <c r="K1025" i="2" s="1"/>
  <c r="K1024" i="2" s="1"/>
  <c r="K1023" i="2" s="1"/>
  <c r="K1022" i="2" s="1"/>
  <c r="K1021" i="2" s="1"/>
  <c r="K1020" i="2" s="1"/>
  <c r="K1019" i="2" s="1"/>
  <c r="K1018" i="2" s="1"/>
  <c r="K1017" i="2" s="1"/>
  <c r="K1016" i="2" s="1"/>
  <c r="K1015" i="2" s="1"/>
  <c r="K1014" i="2" s="1"/>
  <c r="K1013" i="2" s="1"/>
  <c r="K1012" i="2" s="1"/>
  <c r="K1011" i="2" s="1"/>
  <c r="K1010" i="2" s="1"/>
  <c r="K1009" i="2" s="1"/>
  <c r="K1008" i="2" s="1"/>
  <c r="K1007" i="2" s="1"/>
  <c r="K1006" i="2" s="1"/>
  <c r="K1005" i="2" s="1"/>
  <c r="K1004" i="2" s="1"/>
  <c r="K1003" i="2" s="1"/>
  <c r="K1002" i="2" s="1"/>
  <c r="K1001" i="2" s="1"/>
  <c r="K1000" i="2" s="1"/>
  <c r="K999" i="2" s="1"/>
  <c r="K998" i="2" s="1"/>
  <c r="K997" i="2" s="1"/>
  <c r="K996" i="2" s="1"/>
  <c r="K995" i="2" s="1"/>
  <c r="K994" i="2" s="1"/>
  <c r="K993" i="2" s="1"/>
  <c r="K992" i="2" s="1"/>
  <c r="K991" i="2" s="1"/>
  <c r="K990" i="2" s="1"/>
  <c r="K989" i="2" s="1"/>
  <c r="K988" i="2" s="1"/>
  <c r="K987" i="2" s="1"/>
  <c r="K986" i="2" s="1"/>
  <c r="K985" i="2" s="1"/>
  <c r="K984" i="2" s="1"/>
  <c r="K983" i="2" s="1"/>
  <c r="K982" i="2" s="1"/>
  <c r="K981" i="2" s="1"/>
  <c r="K980" i="2" s="1"/>
  <c r="K979" i="2" s="1"/>
  <c r="K978" i="2" s="1"/>
  <c r="K977" i="2" s="1"/>
  <c r="K976" i="2" s="1"/>
  <c r="K975" i="2" s="1"/>
  <c r="K974" i="2" s="1"/>
  <c r="K973" i="2" s="1"/>
  <c r="K972" i="2" s="1"/>
  <c r="K971" i="2" s="1"/>
  <c r="K970" i="2" s="1"/>
  <c r="K969" i="2" s="1"/>
  <c r="K968" i="2" s="1"/>
  <c r="K967" i="2" s="1"/>
  <c r="K966" i="2" s="1"/>
  <c r="K965" i="2" s="1"/>
  <c r="K964" i="2" s="1"/>
  <c r="K963" i="2" s="1"/>
  <c r="K962" i="2" s="1"/>
  <c r="K961" i="2" s="1"/>
  <c r="K960" i="2" s="1"/>
  <c r="K959" i="2" s="1"/>
  <c r="K958" i="2" s="1"/>
  <c r="K957" i="2" s="1"/>
  <c r="K956" i="2" s="1"/>
  <c r="K955" i="2" s="1"/>
  <c r="K954" i="2" s="1"/>
  <c r="K953" i="2" s="1"/>
  <c r="K952" i="2" s="1"/>
  <c r="K951" i="2" s="1"/>
  <c r="K950" i="2" s="1"/>
  <c r="K949" i="2" s="1"/>
  <c r="K948" i="2" s="1"/>
  <c r="K947" i="2" s="1"/>
  <c r="K946" i="2" s="1"/>
  <c r="K945" i="2" s="1"/>
  <c r="K944" i="2" s="1"/>
  <c r="K943" i="2" s="1"/>
  <c r="K942" i="2" s="1"/>
  <c r="K941" i="2" s="1"/>
  <c r="K940" i="2" s="1"/>
  <c r="K939" i="2" s="1"/>
  <c r="K938" i="2" s="1"/>
  <c r="K937" i="2" s="1"/>
  <c r="K936" i="2" s="1"/>
  <c r="K935" i="2" s="1"/>
  <c r="K934" i="2" s="1"/>
  <c r="K933" i="2" s="1"/>
  <c r="K932" i="2" s="1"/>
  <c r="K931" i="2" s="1"/>
  <c r="K930" i="2" s="1"/>
  <c r="K929" i="2" s="1"/>
  <c r="K928" i="2" s="1"/>
  <c r="K927" i="2" s="1"/>
  <c r="K926" i="2" s="1"/>
  <c r="K925" i="2" s="1"/>
  <c r="K924" i="2" s="1"/>
  <c r="K923" i="2" s="1"/>
  <c r="K922" i="2" s="1"/>
  <c r="K921" i="2" s="1"/>
  <c r="K920" i="2" s="1"/>
  <c r="K919" i="2" s="1"/>
  <c r="K918" i="2" s="1"/>
  <c r="K917" i="2" s="1"/>
  <c r="K916" i="2" s="1"/>
  <c r="K915" i="2" s="1"/>
  <c r="K914" i="2" s="1"/>
  <c r="K913" i="2" s="1"/>
  <c r="K912" i="2" s="1"/>
  <c r="K911" i="2" s="1"/>
  <c r="K910" i="2" s="1"/>
  <c r="K909" i="2" s="1"/>
  <c r="K908" i="2" s="1"/>
  <c r="K907" i="2" s="1"/>
  <c r="K906" i="2" s="1"/>
  <c r="K905" i="2" s="1"/>
  <c r="K904" i="2" s="1"/>
  <c r="K903" i="2" s="1"/>
  <c r="K902" i="2" s="1"/>
  <c r="K901" i="2" s="1"/>
  <c r="K900" i="2" s="1"/>
  <c r="K899" i="2" s="1"/>
  <c r="K898" i="2" s="1"/>
  <c r="K897" i="2" s="1"/>
  <c r="K896" i="2" s="1"/>
  <c r="K895" i="2" s="1"/>
  <c r="K894" i="2" s="1"/>
  <c r="K893" i="2" s="1"/>
  <c r="K892" i="2" s="1"/>
  <c r="K891" i="2" s="1"/>
  <c r="K890" i="2" s="1"/>
  <c r="K889" i="2" s="1"/>
  <c r="K888" i="2" s="1"/>
  <c r="K887" i="2" s="1"/>
  <c r="K886" i="2" s="1"/>
  <c r="K885" i="2" s="1"/>
  <c r="K884" i="2" s="1"/>
  <c r="K883" i="2" s="1"/>
  <c r="K882" i="2" s="1"/>
  <c r="K881" i="2" s="1"/>
  <c r="K880" i="2" s="1"/>
  <c r="K879" i="2" s="1"/>
  <c r="K878" i="2" s="1"/>
  <c r="K877" i="2" s="1"/>
  <c r="K876" i="2" s="1"/>
  <c r="K875" i="2" s="1"/>
  <c r="K874" i="2" s="1"/>
  <c r="K873" i="2" s="1"/>
  <c r="K872" i="2" s="1"/>
  <c r="K871" i="2" s="1"/>
  <c r="K870" i="2" s="1"/>
  <c r="K869" i="2" s="1"/>
  <c r="K868" i="2" s="1"/>
  <c r="K867" i="2" s="1"/>
  <c r="K866" i="2" s="1"/>
  <c r="K865" i="2" s="1"/>
  <c r="K864" i="2" s="1"/>
  <c r="K863" i="2" s="1"/>
  <c r="K862" i="2" s="1"/>
  <c r="K861" i="2" s="1"/>
  <c r="K860" i="2" s="1"/>
  <c r="K859" i="2" s="1"/>
  <c r="K858" i="2" s="1"/>
  <c r="K857" i="2" s="1"/>
  <c r="K856" i="2" s="1"/>
  <c r="K855" i="2" s="1"/>
  <c r="K854" i="2" s="1"/>
  <c r="K853" i="2" s="1"/>
  <c r="K852" i="2" s="1"/>
  <c r="K851" i="2" s="1"/>
  <c r="K850" i="2" s="1"/>
  <c r="K849" i="2" s="1"/>
  <c r="K848" i="2" s="1"/>
  <c r="K847" i="2" s="1"/>
  <c r="K846" i="2" s="1"/>
  <c r="K845" i="2" s="1"/>
  <c r="K844" i="2" s="1"/>
  <c r="K843" i="2" s="1"/>
  <c r="K842" i="2" s="1"/>
  <c r="K841" i="2" s="1"/>
  <c r="K840" i="2" s="1"/>
  <c r="K839" i="2" s="1"/>
  <c r="K838" i="2" s="1"/>
  <c r="K837" i="2" s="1"/>
  <c r="K836" i="2" s="1"/>
  <c r="K835" i="2" s="1"/>
  <c r="K834" i="2" s="1"/>
  <c r="K833" i="2" s="1"/>
  <c r="K832" i="2" s="1"/>
  <c r="K831" i="2" s="1"/>
  <c r="K830" i="2" s="1"/>
  <c r="K829" i="2" s="1"/>
  <c r="K828" i="2" s="1"/>
  <c r="K827" i="2" s="1"/>
  <c r="K826" i="2" s="1"/>
  <c r="K825" i="2" s="1"/>
  <c r="K824" i="2" s="1"/>
  <c r="K823" i="2" s="1"/>
  <c r="K822" i="2" s="1"/>
  <c r="K821" i="2" s="1"/>
  <c r="K820" i="2" s="1"/>
  <c r="K819" i="2" s="1"/>
  <c r="K818" i="2" s="1"/>
  <c r="K817" i="2" s="1"/>
  <c r="K816" i="2" s="1"/>
  <c r="K815" i="2" s="1"/>
  <c r="K814" i="2" s="1"/>
  <c r="K813" i="2" s="1"/>
  <c r="K812" i="2" s="1"/>
  <c r="K811" i="2" s="1"/>
  <c r="K810" i="2" s="1"/>
  <c r="K809" i="2" s="1"/>
  <c r="K808" i="2" s="1"/>
  <c r="K807" i="2" s="1"/>
  <c r="K806" i="2" s="1"/>
  <c r="K805" i="2" s="1"/>
  <c r="K804" i="2" s="1"/>
  <c r="K803" i="2" s="1"/>
  <c r="K802" i="2" s="1"/>
  <c r="K801" i="2" s="1"/>
  <c r="K800" i="2" s="1"/>
  <c r="K799" i="2" s="1"/>
  <c r="K798" i="2" s="1"/>
  <c r="K797" i="2" s="1"/>
  <c r="K796" i="2" s="1"/>
  <c r="K795" i="2" s="1"/>
  <c r="K794" i="2" s="1"/>
  <c r="K793" i="2" s="1"/>
  <c r="K792" i="2" s="1"/>
  <c r="K791" i="2" s="1"/>
  <c r="K790" i="2" s="1"/>
  <c r="K789" i="2" s="1"/>
  <c r="K788" i="2" s="1"/>
  <c r="K787" i="2" s="1"/>
  <c r="K786" i="2" s="1"/>
  <c r="K785" i="2" s="1"/>
  <c r="K784" i="2" s="1"/>
  <c r="K783" i="2" s="1"/>
  <c r="K782" i="2" s="1"/>
  <c r="K781" i="2" s="1"/>
  <c r="K780" i="2" s="1"/>
  <c r="K779" i="2" s="1"/>
  <c r="K778" i="2" s="1"/>
  <c r="K777" i="2" s="1"/>
  <c r="K776" i="2" s="1"/>
  <c r="K775" i="2" s="1"/>
  <c r="K774" i="2" s="1"/>
  <c r="K773" i="2" s="1"/>
  <c r="K772" i="2" s="1"/>
  <c r="K771" i="2" s="1"/>
  <c r="K770" i="2" s="1"/>
  <c r="K769" i="2" s="1"/>
  <c r="K768" i="2" s="1"/>
  <c r="K767" i="2" s="1"/>
  <c r="K766" i="2" s="1"/>
  <c r="K765" i="2" s="1"/>
  <c r="K764" i="2" s="1"/>
  <c r="K763" i="2" s="1"/>
  <c r="K762" i="2" s="1"/>
  <c r="K761" i="2" s="1"/>
  <c r="K760" i="2" s="1"/>
  <c r="K759" i="2" s="1"/>
  <c r="K758" i="2" s="1"/>
  <c r="K757" i="2" s="1"/>
  <c r="K756" i="2" s="1"/>
  <c r="K755" i="2" s="1"/>
  <c r="K754" i="2" s="1"/>
  <c r="K753" i="2" s="1"/>
  <c r="K752" i="2" s="1"/>
  <c r="K751" i="2" s="1"/>
  <c r="K750" i="2" s="1"/>
  <c r="K749" i="2" s="1"/>
  <c r="K748" i="2" s="1"/>
  <c r="K747" i="2" s="1"/>
  <c r="K746" i="2" s="1"/>
  <c r="K745" i="2" s="1"/>
  <c r="K744" i="2" s="1"/>
  <c r="K743" i="2" s="1"/>
  <c r="K742" i="2" s="1"/>
  <c r="K741" i="2" s="1"/>
  <c r="K740" i="2" s="1"/>
  <c r="K739" i="2" s="1"/>
  <c r="K738" i="2" s="1"/>
  <c r="K737" i="2" s="1"/>
  <c r="K736" i="2" s="1"/>
  <c r="K735" i="2" s="1"/>
  <c r="K734" i="2" s="1"/>
  <c r="K733" i="2" s="1"/>
  <c r="K732" i="2" s="1"/>
  <c r="K731" i="2" s="1"/>
  <c r="K730" i="2" s="1"/>
  <c r="K729" i="2" s="1"/>
  <c r="K728" i="2" s="1"/>
  <c r="K727" i="2" s="1"/>
  <c r="K726" i="2" s="1"/>
  <c r="K725" i="2" s="1"/>
  <c r="K724" i="2" s="1"/>
  <c r="K723" i="2" s="1"/>
  <c r="K722" i="2" s="1"/>
  <c r="K721" i="2" s="1"/>
  <c r="K720" i="2" s="1"/>
  <c r="K719" i="2" s="1"/>
  <c r="K718" i="2" s="1"/>
  <c r="K717" i="2" s="1"/>
  <c r="K716" i="2" s="1"/>
  <c r="K715" i="2" s="1"/>
  <c r="K714" i="2" s="1"/>
  <c r="K713" i="2" s="1"/>
  <c r="K712" i="2" s="1"/>
  <c r="K711" i="2" s="1"/>
  <c r="K710" i="2" s="1"/>
  <c r="K709" i="2" s="1"/>
  <c r="K708" i="2" s="1"/>
  <c r="K707" i="2" s="1"/>
  <c r="K706" i="2" s="1"/>
  <c r="K705" i="2" s="1"/>
  <c r="K704" i="2" s="1"/>
  <c r="K703" i="2" s="1"/>
  <c r="K702" i="2" s="1"/>
  <c r="K701" i="2" s="1"/>
  <c r="K700" i="2" s="1"/>
  <c r="K699" i="2" s="1"/>
  <c r="K698" i="2" s="1"/>
  <c r="K697" i="2" s="1"/>
  <c r="K696" i="2" s="1"/>
  <c r="K695" i="2" s="1"/>
  <c r="K694" i="2" s="1"/>
  <c r="K693" i="2" s="1"/>
  <c r="K692" i="2" s="1"/>
  <c r="K691" i="2" s="1"/>
  <c r="K690" i="2" s="1"/>
  <c r="K689" i="2" s="1"/>
  <c r="K688" i="2" s="1"/>
  <c r="K687" i="2" s="1"/>
  <c r="K686" i="2" s="1"/>
  <c r="K685" i="2" s="1"/>
  <c r="K684" i="2" s="1"/>
  <c r="K683" i="2" s="1"/>
  <c r="K682" i="2" s="1"/>
  <c r="K681" i="2" s="1"/>
  <c r="K680" i="2" s="1"/>
  <c r="K679" i="2" s="1"/>
  <c r="K678" i="2" s="1"/>
  <c r="K677" i="2" s="1"/>
  <c r="K676" i="2" s="1"/>
  <c r="K675" i="2" s="1"/>
  <c r="K674" i="2" s="1"/>
  <c r="K673" i="2" s="1"/>
  <c r="K672" i="2" s="1"/>
  <c r="K671" i="2" s="1"/>
  <c r="K670" i="2" s="1"/>
  <c r="K669" i="2" s="1"/>
  <c r="K668" i="2" s="1"/>
  <c r="K667" i="2" s="1"/>
  <c r="K666" i="2" s="1"/>
  <c r="K665" i="2" s="1"/>
  <c r="K664" i="2" s="1"/>
  <c r="K663" i="2" s="1"/>
  <c r="K662" i="2" s="1"/>
  <c r="K661" i="2" s="1"/>
  <c r="K660" i="2" s="1"/>
  <c r="K659" i="2" s="1"/>
  <c r="K658" i="2" s="1"/>
  <c r="K657" i="2" s="1"/>
  <c r="K656" i="2" s="1"/>
  <c r="K655" i="2" s="1"/>
  <c r="K654" i="2" s="1"/>
  <c r="K653" i="2" s="1"/>
  <c r="K652" i="2" s="1"/>
  <c r="K651" i="2" s="1"/>
  <c r="K650" i="2" s="1"/>
  <c r="K649" i="2" s="1"/>
  <c r="K648" i="2" s="1"/>
  <c r="K647" i="2" s="1"/>
  <c r="K646" i="2" s="1"/>
  <c r="K645" i="2" s="1"/>
  <c r="K644" i="2" s="1"/>
  <c r="K643" i="2" s="1"/>
  <c r="K642" i="2" s="1"/>
  <c r="K641" i="2" s="1"/>
  <c r="K640" i="2" s="1"/>
  <c r="K639" i="2" s="1"/>
  <c r="K638" i="2" s="1"/>
  <c r="K637" i="2" s="1"/>
  <c r="K636" i="2" s="1"/>
  <c r="K635" i="2" s="1"/>
  <c r="K634" i="2" s="1"/>
  <c r="K633" i="2" s="1"/>
  <c r="K632" i="2" s="1"/>
  <c r="K631" i="2" s="1"/>
  <c r="K630" i="2" s="1"/>
  <c r="K629" i="2" s="1"/>
  <c r="K628" i="2" s="1"/>
  <c r="K627" i="2" s="1"/>
  <c r="K626" i="2" s="1"/>
  <c r="K625" i="2" s="1"/>
  <c r="K624" i="2" s="1"/>
  <c r="K623" i="2" s="1"/>
  <c r="K622" i="2" s="1"/>
  <c r="K621" i="2" s="1"/>
  <c r="K620" i="2" s="1"/>
  <c r="K619" i="2" s="1"/>
  <c r="K618" i="2" s="1"/>
  <c r="K617" i="2" s="1"/>
  <c r="K616" i="2" s="1"/>
  <c r="K615" i="2" s="1"/>
  <c r="K614" i="2" s="1"/>
  <c r="K613" i="2" s="1"/>
  <c r="K612" i="2" s="1"/>
  <c r="K611" i="2" s="1"/>
  <c r="K610" i="2" s="1"/>
  <c r="K609" i="2" s="1"/>
  <c r="K608" i="2" s="1"/>
  <c r="K607" i="2" s="1"/>
  <c r="K606" i="2" s="1"/>
  <c r="K605" i="2" s="1"/>
  <c r="K604" i="2" s="1"/>
  <c r="K603" i="2" s="1"/>
  <c r="K602" i="2" s="1"/>
  <c r="K601" i="2" s="1"/>
  <c r="K600" i="2" s="1"/>
  <c r="K599" i="2" s="1"/>
  <c r="K598" i="2" s="1"/>
  <c r="K597" i="2" s="1"/>
  <c r="K596" i="2" s="1"/>
  <c r="K595" i="2" s="1"/>
  <c r="K594" i="2" s="1"/>
  <c r="K593" i="2" s="1"/>
  <c r="K592" i="2" s="1"/>
  <c r="K591" i="2" s="1"/>
  <c r="K590" i="2" s="1"/>
  <c r="K589" i="2" s="1"/>
  <c r="K588" i="2" s="1"/>
  <c r="K587" i="2" s="1"/>
  <c r="K586" i="2" s="1"/>
  <c r="K585" i="2" s="1"/>
  <c r="K584" i="2" s="1"/>
  <c r="K583" i="2" s="1"/>
  <c r="K582" i="2" s="1"/>
  <c r="K581" i="2" s="1"/>
  <c r="K580" i="2" s="1"/>
  <c r="K579" i="2" s="1"/>
  <c r="K578" i="2" s="1"/>
  <c r="K577" i="2" s="1"/>
  <c r="K576" i="2" s="1"/>
  <c r="K575" i="2" s="1"/>
  <c r="K574" i="2" s="1"/>
  <c r="K573" i="2" s="1"/>
  <c r="K572" i="2" s="1"/>
  <c r="K571" i="2" s="1"/>
  <c r="K570" i="2" s="1"/>
  <c r="K569" i="2" s="1"/>
  <c r="K568" i="2" s="1"/>
  <c r="K567" i="2" s="1"/>
  <c r="K566" i="2" s="1"/>
  <c r="K565" i="2" s="1"/>
  <c r="K564" i="2" s="1"/>
  <c r="K563" i="2" s="1"/>
  <c r="K562" i="2" s="1"/>
  <c r="K561" i="2" s="1"/>
  <c r="K560" i="2" s="1"/>
  <c r="K559" i="2" s="1"/>
  <c r="K558" i="2" s="1"/>
  <c r="K557" i="2" s="1"/>
  <c r="K556" i="2" s="1"/>
  <c r="K555" i="2" s="1"/>
  <c r="K554" i="2" s="1"/>
  <c r="K553" i="2" s="1"/>
  <c r="K552" i="2" s="1"/>
  <c r="K551" i="2" s="1"/>
  <c r="K550" i="2" s="1"/>
  <c r="K549" i="2" s="1"/>
  <c r="K548" i="2" s="1"/>
  <c r="K547" i="2" s="1"/>
  <c r="K546" i="2" s="1"/>
  <c r="K545" i="2" s="1"/>
  <c r="K544" i="2" s="1"/>
  <c r="K543" i="2" s="1"/>
  <c r="K542" i="2" s="1"/>
  <c r="K541" i="2" s="1"/>
  <c r="K540" i="2" s="1"/>
  <c r="K539" i="2" s="1"/>
  <c r="K538" i="2" s="1"/>
  <c r="K537" i="2" s="1"/>
  <c r="K536" i="2" s="1"/>
  <c r="K535" i="2" s="1"/>
  <c r="K534" i="2" s="1"/>
  <c r="K533" i="2" s="1"/>
  <c r="K532" i="2" s="1"/>
  <c r="K531" i="2" s="1"/>
  <c r="K530" i="2" s="1"/>
  <c r="K529" i="2" s="1"/>
  <c r="K528" i="2" s="1"/>
  <c r="K527" i="2" s="1"/>
  <c r="K526" i="2" s="1"/>
  <c r="K525" i="2" s="1"/>
  <c r="K524" i="2" s="1"/>
  <c r="K523" i="2" s="1"/>
  <c r="K522" i="2" s="1"/>
  <c r="K521" i="2" s="1"/>
  <c r="K520" i="2" s="1"/>
  <c r="K519" i="2" s="1"/>
  <c r="K518" i="2" s="1"/>
  <c r="K517" i="2" s="1"/>
  <c r="K516" i="2" s="1"/>
  <c r="K515" i="2" s="1"/>
  <c r="K514" i="2" s="1"/>
  <c r="K513" i="2" s="1"/>
  <c r="K512" i="2" s="1"/>
  <c r="K511" i="2" s="1"/>
  <c r="K510" i="2" s="1"/>
  <c r="K509" i="2" s="1"/>
  <c r="K508" i="2" s="1"/>
  <c r="K507" i="2" s="1"/>
  <c r="K506" i="2" s="1"/>
  <c r="K505" i="2" s="1"/>
  <c r="K504" i="2" s="1"/>
  <c r="K503" i="2" s="1"/>
  <c r="K502" i="2" s="1"/>
  <c r="K501" i="2" s="1"/>
  <c r="K500" i="2" s="1"/>
  <c r="K499" i="2" s="1"/>
  <c r="K498" i="2" s="1"/>
  <c r="K497" i="2" s="1"/>
  <c r="K496" i="2" s="1"/>
  <c r="K495" i="2" s="1"/>
  <c r="K494" i="2" s="1"/>
  <c r="K493" i="2" s="1"/>
  <c r="K492" i="2" s="1"/>
  <c r="K491" i="2" s="1"/>
  <c r="K490" i="2" s="1"/>
  <c r="K489" i="2" s="1"/>
  <c r="K488" i="2" s="1"/>
  <c r="K487" i="2" s="1"/>
  <c r="K486" i="2" s="1"/>
  <c r="K485" i="2" s="1"/>
  <c r="K484" i="2" s="1"/>
  <c r="K483" i="2" s="1"/>
  <c r="K482" i="2" s="1"/>
  <c r="K481" i="2" s="1"/>
  <c r="K480" i="2" s="1"/>
  <c r="K479" i="2" s="1"/>
  <c r="K478" i="2" s="1"/>
  <c r="K477" i="2" s="1"/>
  <c r="K476" i="2" s="1"/>
  <c r="K475" i="2" s="1"/>
  <c r="K474" i="2" s="1"/>
  <c r="K473" i="2" s="1"/>
  <c r="K472" i="2" s="1"/>
  <c r="K471" i="2" s="1"/>
  <c r="K470" i="2" s="1"/>
  <c r="K469" i="2" s="1"/>
  <c r="K468" i="2" s="1"/>
  <c r="K467" i="2" s="1"/>
  <c r="K466" i="2" s="1"/>
  <c r="K465" i="2" s="1"/>
  <c r="K464" i="2" s="1"/>
  <c r="K463" i="2" s="1"/>
  <c r="K462" i="2" s="1"/>
  <c r="K461" i="2" s="1"/>
  <c r="K460" i="2" s="1"/>
  <c r="K459" i="2" s="1"/>
  <c r="K458" i="2" s="1"/>
  <c r="K457" i="2" s="1"/>
  <c r="K456" i="2" s="1"/>
  <c r="K455" i="2" s="1"/>
  <c r="K454" i="2" s="1"/>
  <c r="K453" i="2" s="1"/>
  <c r="K452" i="2" s="1"/>
  <c r="K451" i="2" s="1"/>
  <c r="K450" i="2" s="1"/>
  <c r="K449" i="2" s="1"/>
  <c r="K448" i="2" s="1"/>
  <c r="K447" i="2" s="1"/>
  <c r="K446" i="2" s="1"/>
  <c r="K445" i="2" s="1"/>
  <c r="K444" i="2" s="1"/>
  <c r="K443" i="2" s="1"/>
  <c r="K442" i="2" s="1"/>
  <c r="K441" i="2" s="1"/>
  <c r="K440" i="2" s="1"/>
  <c r="K439" i="2" s="1"/>
  <c r="K438" i="2" s="1"/>
  <c r="K437" i="2" s="1"/>
  <c r="K436" i="2" s="1"/>
  <c r="K435" i="2" s="1"/>
  <c r="K434" i="2" s="1"/>
  <c r="K433" i="2" s="1"/>
  <c r="K432" i="2" s="1"/>
  <c r="K431" i="2" s="1"/>
  <c r="K430" i="2" s="1"/>
  <c r="K429" i="2" s="1"/>
  <c r="K428" i="2" s="1"/>
  <c r="K427" i="2" s="1"/>
  <c r="K426" i="2" s="1"/>
  <c r="K425" i="2" s="1"/>
  <c r="K424" i="2" s="1"/>
  <c r="K423" i="2" s="1"/>
  <c r="K422" i="2" s="1"/>
  <c r="K421" i="2" s="1"/>
  <c r="K420" i="2" s="1"/>
  <c r="K419" i="2" s="1"/>
  <c r="K418" i="2" s="1"/>
  <c r="K417" i="2" s="1"/>
  <c r="K416" i="2" s="1"/>
  <c r="K415" i="2" s="1"/>
  <c r="K414" i="2" s="1"/>
  <c r="K413" i="2" s="1"/>
  <c r="K412" i="2" s="1"/>
  <c r="K411" i="2" s="1"/>
  <c r="K410" i="2" s="1"/>
  <c r="K409" i="2" s="1"/>
  <c r="K408" i="2" s="1"/>
  <c r="K407" i="2" s="1"/>
  <c r="K406" i="2" s="1"/>
  <c r="K405" i="2" s="1"/>
  <c r="K404" i="2" s="1"/>
  <c r="K403" i="2" s="1"/>
  <c r="K402" i="2" s="1"/>
  <c r="K401" i="2" s="1"/>
  <c r="K400" i="2" s="1"/>
  <c r="K399" i="2" s="1"/>
  <c r="K398" i="2" s="1"/>
  <c r="K397" i="2" s="1"/>
  <c r="K396" i="2" s="1"/>
  <c r="K395" i="2" s="1"/>
  <c r="K394" i="2" s="1"/>
  <c r="K393" i="2" s="1"/>
  <c r="K392" i="2" s="1"/>
  <c r="K391" i="2" s="1"/>
  <c r="K390" i="2" s="1"/>
  <c r="K389" i="2" s="1"/>
  <c r="K388" i="2" s="1"/>
  <c r="K387" i="2" s="1"/>
  <c r="K386" i="2" s="1"/>
  <c r="K385" i="2" s="1"/>
  <c r="K384" i="2" s="1"/>
  <c r="K383" i="2" s="1"/>
  <c r="K382" i="2" s="1"/>
  <c r="K381" i="2" s="1"/>
  <c r="K380" i="2" s="1"/>
  <c r="K379" i="2" s="1"/>
  <c r="K378" i="2" s="1"/>
  <c r="K377" i="2" s="1"/>
  <c r="K376" i="2" s="1"/>
  <c r="K375" i="2" s="1"/>
  <c r="K374" i="2" s="1"/>
  <c r="K373" i="2" s="1"/>
  <c r="K372" i="2" s="1"/>
  <c r="K371" i="2" s="1"/>
  <c r="K370" i="2" s="1"/>
  <c r="K369" i="2" s="1"/>
  <c r="K368" i="2" s="1"/>
  <c r="K367" i="2" s="1"/>
  <c r="K366" i="2" s="1"/>
  <c r="K365" i="2" s="1"/>
  <c r="K364" i="2" s="1"/>
  <c r="K363" i="2" s="1"/>
  <c r="K362" i="2" s="1"/>
  <c r="K361" i="2" s="1"/>
  <c r="K360" i="2" s="1"/>
  <c r="K359" i="2" s="1"/>
  <c r="K358" i="2" s="1"/>
  <c r="K357" i="2" s="1"/>
  <c r="K356" i="2" s="1"/>
  <c r="K355" i="2" s="1"/>
  <c r="K354" i="2" s="1"/>
  <c r="K353" i="2" s="1"/>
  <c r="K352" i="2" s="1"/>
  <c r="K351" i="2" s="1"/>
  <c r="K350" i="2" s="1"/>
  <c r="K349" i="2" s="1"/>
  <c r="K348" i="2" s="1"/>
  <c r="K347" i="2" s="1"/>
  <c r="K346" i="2" s="1"/>
  <c r="K345" i="2" s="1"/>
  <c r="K344" i="2" s="1"/>
  <c r="K343" i="2" s="1"/>
  <c r="K342" i="2" s="1"/>
  <c r="K341" i="2" s="1"/>
  <c r="K340" i="2" s="1"/>
  <c r="K339" i="2" s="1"/>
  <c r="K338" i="2" s="1"/>
  <c r="K337" i="2" s="1"/>
  <c r="K336" i="2" s="1"/>
  <c r="K335" i="2" s="1"/>
  <c r="K334" i="2" s="1"/>
  <c r="K333" i="2" s="1"/>
  <c r="K332" i="2" s="1"/>
  <c r="K331" i="2" s="1"/>
  <c r="K330" i="2" s="1"/>
  <c r="K329" i="2" s="1"/>
  <c r="K328" i="2" s="1"/>
  <c r="K327" i="2" s="1"/>
  <c r="K326" i="2" s="1"/>
  <c r="K325" i="2" s="1"/>
  <c r="K324" i="2" s="1"/>
  <c r="K323" i="2" s="1"/>
  <c r="K322" i="2" s="1"/>
  <c r="K321" i="2" s="1"/>
  <c r="K320" i="2" s="1"/>
  <c r="K319" i="2" s="1"/>
  <c r="K318" i="2" s="1"/>
  <c r="K317" i="2" s="1"/>
  <c r="K316" i="2" s="1"/>
  <c r="K315" i="2" s="1"/>
  <c r="K314" i="2" s="1"/>
  <c r="K313" i="2" s="1"/>
  <c r="K312" i="2" s="1"/>
  <c r="K311" i="2" s="1"/>
  <c r="K310" i="2" s="1"/>
  <c r="K309" i="2" s="1"/>
  <c r="K308" i="2" s="1"/>
  <c r="K307" i="2" s="1"/>
  <c r="K306" i="2" s="1"/>
  <c r="K305" i="2" s="1"/>
  <c r="K304" i="2" s="1"/>
  <c r="K303" i="2" s="1"/>
  <c r="K302" i="2" s="1"/>
  <c r="K301" i="2" s="1"/>
  <c r="K300" i="2" s="1"/>
  <c r="K299" i="2" s="1"/>
  <c r="K298" i="2" s="1"/>
  <c r="K297" i="2" s="1"/>
  <c r="K296" i="2" s="1"/>
  <c r="K295" i="2" s="1"/>
  <c r="K294" i="2" s="1"/>
  <c r="K293" i="2" s="1"/>
  <c r="K292" i="2" s="1"/>
  <c r="K291" i="2" s="1"/>
  <c r="K290" i="2" s="1"/>
  <c r="K289" i="2" s="1"/>
  <c r="K288" i="2" s="1"/>
  <c r="K287" i="2" s="1"/>
  <c r="K286" i="2" s="1"/>
  <c r="K285" i="2" s="1"/>
  <c r="K284" i="2" s="1"/>
  <c r="K283" i="2" s="1"/>
  <c r="K282" i="2" s="1"/>
  <c r="K281" i="2" s="1"/>
  <c r="K280" i="2" s="1"/>
  <c r="K279" i="2" s="1"/>
  <c r="K278" i="2" s="1"/>
  <c r="K277" i="2" s="1"/>
  <c r="K276" i="2" s="1"/>
  <c r="K275" i="2" s="1"/>
  <c r="K274" i="2" s="1"/>
  <c r="K273" i="2" s="1"/>
  <c r="K272" i="2" s="1"/>
  <c r="K271" i="2" s="1"/>
  <c r="K270" i="2" s="1"/>
  <c r="K269" i="2" s="1"/>
  <c r="K268" i="2" s="1"/>
  <c r="K267" i="2" s="1"/>
  <c r="K266" i="2" s="1"/>
  <c r="K265" i="2" s="1"/>
  <c r="K264" i="2" s="1"/>
  <c r="K263" i="2" s="1"/>
  <c r="K262" i="2" s="1"/>
  <c r="K261" i="2" s="1"/>
  <c r="K260" i="2" s="1"/>
  <c r="K259" i="2" s="1"/>
  <c r="K258" i="2" s="1"/>
  <c r="K257" i="2" s="1"/>
  <c r="K256" i="2" s="1"/>
  <c r="K255" i="2" s="1"/>
  <c r="K254" i="2" s="1"/>
  <c r="K253" i="2" s="1"/>
  <c r="K252" i="2" s="1"/>
  <c r="K251" i="2" s="1"/>
  <c r="K250" i="2" s="1"/>
  <c r="K249" i="2" s="1"/>
  <c r="K248" i="2" s="1"/>
  <c r="K247" i="2" s="1"/>
  <c r="K246" i="2" s="1"/>
  <c r="K245" i="2" s="1"/>
  <c r="K244" i="2" s="1"/>
  <c r="K243" i="2" s="1"/>
  <c r="K242" i="2" s="1"/>
  <c r="K241" i="2" s="1"/>
  <c r="K240" i="2" s="1"/>
  <c r="K239" i="2" s="1"/>
  <c r="K238" i="2" s="1"/>
  <c r="K237" i="2" s="1"/>
  <c r="K236" i="2" s="1"/>
  <c r="K235" i="2" s="1"/>
  <c r="K234" i="2" s="1"/>
  <c r="K233" i="2" s="1"/>
  <c r="K232" i="2" s="1"/>
  <c r="K231" i="2" s="1"/>
  <c r="K230" i="2" s="1"/>
  <c r="K229" i="2" s="1"/>
  <c r="K228" i="2" s="1"/>
  <c r="K227" i="2" s="1"/>
  <c r="K226" i="2" s="1"/>
  <c r="K225" i="2" s="1"/>
  <c r="K224" i="2" s="1"/>
  <c r="K223" i="2" s="1"/>
  <c r="K222" i="2" s="1"/>
  <c r="K221" i="2" s="1"/>
  <c r="K220" i="2" s="1"/>
  <c r="K219" i="2" s="1"/>
  <c r="K218" i="2" s="1"/>
  <c r="K217" i="2" s="1"/>
  <c r="K216" i="2" s="1"/>
  <c r="K215" i="2" s="1"/>
  <c r="K214" i="2" s="1"/>
  <c r="K213" i="2" s="1"/>
  <c r="K212" i="2" s="1"/>
  <c r="K211" i="2" s="1"/>
  <c r="K210" i="2" s="1"/>
  <c r="K209" i="2" s="1"/>
  <c r="K208" i="2" s="1"/>
  <c r="K207" i="2" s="1"/>
  <c r="K206" i="2" s="1"/>
  <c r="K205" i="2" s="1"/>
  <c r="K204" i="2" s="1"/>
  <c r="K203" i="2" s="1"/>
  <c r="K202" i="2" s="1"/>
  <c r="K201" i="2" s="1"/>
  <c r="K200" i="2" s="1"/>
  <c r="K199" i="2" s="1"/>
  <c r="K198" i="2" s="1"/>
  <c r="K197" i="2" s="1"/>
  <c r="K196" i="2" s="1"/>
  <c r="K195" i="2" s="1"/>
  <c r="K194" i="2" s="1"/>
  <c r="K193" i="2" s="1"/>
  <c r="K192" i="2" s="1"/>
  <c r="K191" i="2" s="1"/>
  <c r="K190" i="2" s="1"/>
  <c r="K189" i="2" s="1"/>
  <c r="K188" i="2" s="1"/>
  <c r="K187" i="2" s="1"/>
  <c r="K186" i="2" s="1"/>
  <c r="K185" i="2" s="1"/>
  <c r="K184" i="2" s="1"/>
  <c r="K183" i="2" s="1"/>
  <c r="K182" i="2" s="1"/>
  <c r="K181" i="2" s="1"/>
  <c r="K180" i="2" s="1"/>
  <c r="K179" i="2" s="1"/>
  <c r="K178" i="2" s="1"/>
  <c r="K177" i="2" s="1"/>
  <c r="K176" i="2" s="1"/>
  <c r="K175" i="2" s="1"/>
  <c r="K174" i="2" s="1"/>
  <c r="K173" i="2" s="1"/>
  <c r="K172" i="2" s="1"/>
  <c r="K171" i="2" s="1"/>
  <c r="K170" i="2" s="1"/>
  <c r="K169" i="2" s="1"/>
  <c r="K168" i="2" s="1"/>
  <c r="K167" i="2" s="1"/>
  <c r="K166" i="2" s="1"/>
  <c r="K165" i="2" s="1"/>
  <c r="K164" i="2" s="1"/>
  <c r="K163" i="2" s="1"/>
  <c r="K162" i="2" s="1"/>
  <c r="K161" i="2" s="1"/>
  <c r="K160" i="2" s="1"/>
  <c r="K159" i="2" s="1"/>
  <c r="K158" i="2" s="1"/>
  <c r="K157" i="2" s="1"/>
  <c r="K156" i="2" s="1"/>
  <c r="K155" i="2" s="1"/>
  <c r="K154" i="2" s="1"/>
  <c r="K153" i="2" s="1"/>
  <c r="K152" i="2" s="1"/>
  <c r="K151" i="2" s="1"/>
  <c r="K150" i="2" s="1"/>
  <c r="K149" i="2" s="1"/>
  <c r="K148" i="2" s="1"/>
  <c r="K147" i="2" s="1"/>
  <c r="K146" i="2" s="1"/>
  <c r="K145" i="2" s="1"/>
  <c r="K144" i="2" s="1"/>
  <c r="K143" i="2" s="1"/>
  <c r="K142" i="2" s="1"/>
  <c r="K141" i="2" s="1"/>
  <c r="K140" i="2" s="1"/>
  <c r="K139" i="2" s="1"/>
  <c r="K138" i="2" s="1"/>
  <c r="K137" i="2" s="1"/>
  <c r="K136" i="2" s="1"/>
  <c r="K135" i="2" s="1"/>
  <c r="K134" i="2" s="1"/>
  <c r="K133" i="2" s="1"/>
  <c r="K132" i="2" s="1"/>
  <c r="K131" i="2" s="1"/>
  <c r="K130" i="2" s="1"/>
  <c r="K129" i="2" s="1"/>
  <c r="K128" i="2" s="1"/>
  <c r="K127" i="2" s="1"/>
  <c r="K126" i="2" s="1"/>
  <c r="K125" i="2" s="1"/>
  <c r="K124" i="2" s="1"/>
  <c r="K123" i="2" s="1"/>
  <c r="K122" i="2" s="1"/>
  <c r="K121" i="2" s="1"/>
  <c r="K120" i="2" s="1"/>
  <c r="K119" i="2" s="1"/>
  <c r="K118" i="2" s="1"/>
  <c r="K117" i="2" s="1"/>
  <c r="K116" i="2" s="1"/>
  <c r="K115" i="2" s="1"/>
  <c r="K114" i="2" s="1"/>
  <c r="K113" i="2" s="1"/>
  <c r="K112" i="2" s="1"/>
  <c r="K111" i="2" s="1"/>
  <c r="K110" i="2" s="1"/>
  <c r="K109" i="2" s="1"/>
  <c r="K108" i="2" s="1"/>
  <c r="K107" i="2" s="1"/>
  <c r="K106" i="2" s="1"/>
  <c r="K105" i="2" s="1"/>
  <c r="K104" i="2" s="1"/>
  <c r="K103" i="2" s="1"/>
  <c r="K102" i="2" s="1"/>
  <c r="K101" i="2" s="1"/>
  <c r="K100" i="2" s="1"/>
  <c r="K99" i="2" s="1"/>
  <c r="K98" i="2" s="1"/>
  <c r="K97" i="2" s="1"/>
  <c r="K96" i="2" s="1"/>
  <c r="K95" i="2" s="1"/>
  <c r="K94" i="2" s="1"/>
  <c r="K93" i="2" s="1"/>
  <c r="K92" i="2" s="1"/>
  <c r="K91" i="2" s="1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79" i="2" s="1"/>
  <c r="K78" i="2" s="1"/>
  <c r="K77" i="2" s="1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I1251" i="2"/>
  <c r="J1251" i="2" s="1"/>
  <c r="H1251" i="2"/>
  <c r="D1251" i="2"/>
  <c r="E1251" i="2" s="1"/>
  <c r="C1251" i="2"/>
  <c r="A1251" i="2"/>
  <c r="J1250" i="2"/>
  <c r="I1250" i="2"/>
  <c r="H1250" i="2"/>
  <c r="D1250" i="2"/>
  <c r="E1250" i="2" s="1"/>
  <c r="C1250" i="2"/>
  <c r="A1250" i="2"/>
  <c r="I1249" i="2"/>
  <c r="J1249" i="2" s="1"/>
  <c r="H1249" i="2"/>
  <c r="E1249" i="2"/>
  <c r="D1249" i="2"/>
  <c r="C1249" i="2"/>
  <c r="A1249" i="2"/>
  <c r="J1248" i="2"/>
  <c r="I1248" i="2"/>
  <c r="H1248" i="2"/>
  <c r="D1248" i="2"/>
  <c r="E1248" i="2" s="1"/>
  <c r="C1248" i="2"/>
  <c r="A1248" i="2"/>
  <c r="J1247" i="2"/>
  <c r="I1247" i="2"/>
  <c r="H1247" i="2"/>
  <c r="E1247" i="2"/>
  <c r="D1247" i="2"/>
  <c r="C1247" i="2"/>
  <c r="A1247" i="2"/>
  <c r="I1246" i="2"/>
  <c r="J1246" i="2" s="1"/>
  <c r="H1246" i="2"/>
  <c r="E1246" i="2"/>
  <c r="D1246" i="2"/>
  <c r="C1246" i="2"/>
  <c r="A1246" i="2"/>
  <c r="I1245" i="2"/>
  <c r="J1245" i="2" s="1"/>
  <c r="H1245" i="2"/>
  <c r="D1245" i="2"/>
  <c r="E1245" i="2" s="1"/>
  <c r="C1245" i="2"/>
  <c r="A1245" i="2"/>
  <c r="J1244" i="2"/>
  <c r="I1244" i="2"/>
  <c r="H1244" i="2"/>
  <c r="D1244" i="2"/>
  <c r="E1244" i="2" s="1"/>
  <c r="C1244" i="2"/>
  <c r="A1244" i="2"/>
  <c r="I1243" i="2"/>
  <c r="J1243" i="2" s="1"/>
  <c r="H1243" i="2"/>
  <c r="E1243" i="2"/>
  <c r="D1243" i="2"/>
  <c r="C1243" i="2"/>
  <c r="A1243" i="2"/>
  <c r="J1242" i="2"/>
  <c r="I1242" i="2"/>
  <c r="H1242" i="2"/>
  <c r="D1242" i="2"/>
  <c r="E1242" i="2" s="1"/>
  <c r="C1242" i="2"/>
  <c r="A1242" i="2"/>
  <c r="J1241" i="2"/>
  <c r="I1241" i="2"/>
  <c r="H1241" i="2"/>
  <c r="E1241" i="2"/>
  <c r="D1241" i="2"/>
  <c r="C1241" i="2"/>
  <c r="A1241" i="2"/>
  <c r="I1240" i="2"/>
  <c r="J1240" i="2" s="1"/>
  <c r="H1240" i="2"/>
  <c r="E1240" i="2"/>
  <c r="D1240" i="2"/>
  <c r="C1240" i="2"/>
  <c r="A1240" i="2"/>
  <c r="I1239" i="2"/>
  <c r="J1239" i="2" s="1"/>
  <c r="H1239" i="2"/>
  <c r="D1239" i="2"/>
  <c r="E1239" i="2" s="1"/>
  <c r="C1239" i="2"/>
  <c r="A1239" i="2"/>
  <c r="J1238" i="2"/>
  <c r="I1238" i="2"/>
  <c r="H1238" i="2"/>
  <c r="D1238" i="2"/>
  <c r="E1238" i="2" s="1"/>
  <c r="C1238" i="2"/>
  <c r="A1238" i="2"/>
  <c r="I1237" i="2"/>
  <c r="J1237" i="2" s="1"/>
  <c r="H1237" i="2"/>
  <c r="E1237" i="2"/>
  <c r="D1237" i="2"/>
  <c r="C1237" i="2"/>
  <c r="A1237" i="2"/>
  <c r="J1236" i="2"/>
  <c r="I1236" i="2"/>
  <c r="H1236" i="2"/>
  <c r="D1236" i="2"/>
  <c r="E1236" i="2" s="1"/>
  <c r="C1236" i="2"/>
  <c r="A1236" i="2"/>
  <c r="J1235" i="2"/>
  <c r="I1235" i="2"/>
  <c r="H1235" i="2"/>
  <c r="E1235" i="2"/>
  <c r="D1235" i="2"/>
  <c r="C1235" i="2"/>
  <c r="A1235" i="2"/>
  <c r="I1234" i="2"/>
  <c r="J1234" i="2" s="1"/>
  <c r="H1234" i="2"/>
  <c r="E1234" i="2"/>
  <c r="D1234" i="2"/>
  <c r="C1234" i="2"/>
  <c r="A1234" i="2"/>
  <c r="I1233" i="2"/>
  <c r="J1233" i="2" s="1"/>
  <c r="H1233" i="2"/>
  <c r="D1233" i="2"/>
  <c r="E1233" i="2" s="1"/>
  <c r="C1233" i="2"/>
  <c r="A1233" i="2"/>
  <c r="J1232" i="2"/>
  <c r="I1232" i="2"/>
  <c r="H1232" i="2"/>
  <c r="D1232" i="2"/>
  <c r="E1232" i="2" s="1"/>
  <c r="C1232" i="2"/>
  <c r="A1232" i="2"/>
  <c r="I1231" i="2"/>
  <c r="J1231" i="2" s="1"/>
  <c r="H1231" i="2"/>
  <c r="E1231" i="2"/>
  <c r="D1231" i="2"/>
  <c r="C1231" i="2"/>
  <c r="A1231" i="2"/>
  <c r="J1230" i="2"/>
  <c r="I1230" i="2"/>
  <c r="H1230" i="2"/>
  <c r="D1230" i="2"/>
  <c r="E1230" i="2" s="1"/>
  <c r="C1230" i="2"/>
  <c r="A1230" i="2"/>
  <c r="J1229" i="2"/>
  <c r="I1229" i="2"/>
  <c r="H1229" i="2"/>
  <c r="E1229" i="2"/>
  <c r="D1229" i="2"/>
  <c r="C1229" i="2"/>
  <c r="A1229" i="2"/>
  <c r="I1228" i="2"/>
  <c r="J1228" i="2" s="1"/>
  <c r="H1228" i="2"/>
  <c r="E1228" i="2"/>
  <c r="D1228" i="2"/>
  <c r="C1228" i="2"/>
  <c r="A1228" i="2"/>
  <c r="I1227" i="2"/>
  <c r="J1227" i="2" s="1"/>
  <c r="H1227" i="2"/>
  <c r="D1227" i="2"/>
  <c r="E1227" i="2" s="1"/>
  <c r="C1227" i="2"/>
  <c r="A1227" i="2"/>
  <c r="J1226" i="2"/>
  <c r="I1226" i="2"/>
  <c r="H1226" i="2"/>
  <c r="D1226" i="2"/>
  <c r="E1226" i="2" s="1"/>
  <c r="C1226" i="2"/>
  <c r="A1226" i="2"/>
  <c r="I1225" i="2"/>
  <c r="J1225" i="2" s="1"/>
  <c r="H1225" i="2"/>
  <c r="E1225" i="2"/>
  <c r="D1225" i="2"/>
  <c r="C1225" i="2"/>
  <c r="A1225" i="2"/>
  <c r="J1224" i="2"/>
  <c r="I1224" i="2"/>
  <c r="H1224" i="2"/>
  <c r="D1224" i="2"/>
  <c r="E1224" i="2" s="1"/>
  <c r="C1224" i="2"/>
  <c r="A1224" i="2"/>
  <c r="J1223" i="2"/>
  <c r="I1223" i="2"/>
  <c r="H1223" i="2"/>
  <c r="E1223" i="2"/>
  <c r="D1223" i="2"/>
  <c r="C1223" i="2"/>
  <c r="A1223" i="2"/>
  <c r="I1222" i="2"/>
  <c r="J1222" i="2" s="1"/>
  <c r="H1222" i="2"/>
  <c r="E1222" i="2"/>
  <c r="D1222" i="2"/>
  <c r="C1222" i="2"/>
  <c r="A1222" i="2"/>
  <c r="I1221" i="2"/>
  <c r="J1221" i="2" s="1"/>
  <c r="H1221" i="2"/>
  <c r="D1221" i="2"/>
  <c r="E1221" i="2" s="1"/>
  <c r="C1221" i="2"/>
  <c r="A1221" i="2"/>
  <c r="J1220" i="2"/>
  <c r="I1220" i="2"/>
  <c r="H1220" i="2"/>
  <c r="D1220" i="2"/>
  <c r="E1220" i="2" s="1"/>
  <c r="C1220" i="2"/>
  <c r="A1220" i="2"/>
  <c r="I1219" i="2"/>
  <c r="J1219" i="2" s="1"/>
  <c r="H1219" i="2"/>
  <c r="E1219" i="2"/>
  <c r="D1219" i="2"/>
  <c r="C1219" i="2"/>
  <c r="A1219" i="2"/>
  <c r="J1218" i="2"/>
  <c r="I1218" i="2"/>
  <c r="H1218" i="2"/>
  <c r="D1218" i="2"/>
  <c r="E1218" i="2" s="1"/>
  <c r="C1218" i="2"/>
  <c r="A1218" i="2"/>
  <c r="I1217" i="2"/>
  <c r="J1217" i="2" s="1"/>
  <c r="H1217" i="2"/>
  <c r="D1217" i="2"/>
  <c r="E1217" i="2" s="1"/>
  <c r="C1217" i="2"/>
  <c r="A1217" i="2"/>
  <c r="I1216" i="2"/>
  <c r="J1216" i="2" s="1"/>
  <c r="H1216" i="2"/>
  <c r="E1216" i="2"/>
  <c r="D1216" i="2"/>
  <c r="C1216" i="2"/>
  <c r="A1216" i="2"/>
  <c r="I1215" i="2"/>
  <c r="J1215" i="2" s="1"/>
  <c r="H1215" i="2"/>
  <c r="E1215" i="2"/>
  <c r="D1215" i="2"/>
  <c r="C1215" i="2"/>
  <c r="A1215" i="2"/>
  <c r="I1214" i="2"/>
  <c r="J1214" i="2" s="1"/>
  <c r="H1214" i="2"/>
  <c r="E1214" i="2"/>
  <c r="D1214" i="2"/>
  <c r="C1214" i="2"/>
  <c r="A1214" i="2"/>
  <c r="I1213" i="2"/>
  <c r="J1213" i="2" s="1"/>
  <c r="H1213" i="2"/>
  <c r="E1213" i="2"/>
  <c r="D1213" i="2"/>
  <c r="C1213" i="2"/>
  <c r="A1213" i="2"/>
  <c r="J1212" i="2"/>
  <c r="I1212" i="2"/>
  <c r="H1212" i="2"/>
  <c r="E1212" i="2"/>
  <c r="D1212" i="2"/>
  <c r="C1212" i="2"/>
  <c r="A1212" i="2"/>
  <c r="I1211" i="2"/>
  <c r="J1211" i="2" s="1"/>
  <c r="H1211" i="2"/>
  <c r="E1211" i="2"/>
  <c r="D1211" i="2"/>
  <c r="C1211" i="2"/>
  <c r="A1211" i="2"/>
  <c r="I1210" i="2"/>
  <c r="J1210" i="2" s="1"/>
  <c r="H1210" i="2"/>
  <c r="E1210" i="2"/>
  <c r="D1210" i="2"/>
  <c r="C1210" i="2"/>
  <c r="A1210" i="2"/>
  <c r="J1209" i="2"/>
  <c r="I1209" i="2"/>
  <c r="H1209" i="2"/>
  <c r="E1209" i="2"/>
  <c r="D1209" i="2"/>
  <c r="C1209" i="2"/>
  <c r="A1209" i="2"/>
  <c r="I1208" i="2"/>
  <c r="J1208" i="2" s="1"/>
  <c r="H1208" i="2"/>
  <c r="E1208" i="2"/>
  <c r="D1208" i="2"/>
  <c r="C1208" i="2"/>
  <c r="A1208" i="2"/>
  <c r="I1207" i="2"/>
  <c r="J1207" i="2" s="1"/>
  <c r="H1207" i="2"/>
  <c r="E1207" i="2"/>
  <c r="D1207" i="2"/>
  <c r="C1207" i="2"/>
  <c r="A1207" i="2"/>
  <c r="J1206" i="2"/>
  <c r="I1206" i="2"/>
  <c r="H1206" i="2"/>
  <c r="E1206" i="2"/>
  <c r="D1206" i="2"/>
  <c r="C1206" i="2"/>
  <c r="A1206" i="2"/>
  <c r="I1205" i="2"/>
  <c r="J1205" i="2" s="1"/>
  <c r="H1205" i="2"/>
  <c r="E1205" i="2"/>
  <c r="D1205" i="2"/>
  <c r="C1205" i="2"/>
  <c r="A1205" i="2"/>
  <c r="I1204" i="2"/>
  <c r="J1204" i="2" s="1"/>
  <c r="H1204" i="2"/>
  <c r="E1204" i="2"/>
  <c r="D1204" i="2"/>
  <c r="C1204" i="2"/>
  <c r="A1204" i="2"/>
  <c r="J1203" i="2"/>
  <c r="I1203" i="2"/>
  <c r="H1203" i="2"/>
  <c r="E1203" i="2"/>
  <c r="D1203" i="2"/>
  <c r="C1203" i="2"/>
  <c r="A1203" i="2"/>
  <c r="I1202" i="2"/>
  <c r="J1202" i="2" s="1"/>
  <c r="H1202" i="2"/>
  <c r="E1202" i="2"/>
  <c r="D1202" i="2"/>
  <c r="C1202" i="2"/>
  <c r="A1202" i="2"/>
  <c r="I1201" i="2"/>
  <c r="J1201" i="2" s="1"/>
  <c r="H1201" i="2"/>
  <c r="E1201" i="2"/>
  <c r="D1201" i="2"/>
  <c r="C1201" i="2"/>
  <c r="A1201" i="2"/>
  <c r="J1200" i="2"/>
  <c r="I1200" i="2"/>
  <c r="H1200" i="2"/>
  <c r="E1200" i="2"/>
  <c r="D1200" i="2"/>
  <c r="C1200" i="2"/>
  <c r="A1200" i="2"/>
  <c r="I1199" i="2"/>
  <c r="J1199" i="2" s="1"/>
  <c r="H1199" i="2"/>
  <c r="E1199" i="2"/>
  <c r="D1199" i="2"/>
  <c r="C1199" i="2"/>
  <c r="A1199" i="2"/>
  <c r="I1198" i="2"/>
  <c r="J1198" i="2" s="1"/>
  <c r="H1198" i="2"/>
  <c r="E1198" i="2"/>
  <c r="D1198" i="2"/>
  <c r="C1198" i="2"/>
  <c r="A1198" i="2"/>
  <c r="I1197" i="2"/>
  <c r="J1197" i="2" s="1"/>
  <c r="H1197" i="2"/>
  <c r="E1197" i="2"/>
  <c r="D1197" i="2"/>
  <c r="C1197" i="2"/>
  <c r="A1197" i="2"/>
  <c r="I1196" i="2"/>
  <c r="J1196" i="2" s="1"/>
  <c r="H1196" i="2"/>
  <c r="E1196" i="2"/>
  <c r="D1196" i="2"/>
  <c r="C1196" i="2"/>
  <c r="A1196" i="2"/>
  <c r="I1195" i="2"/>
  <c r="J1195" i="2" s="1"/>
  <c r="H1195" i="2"/>
  <c r="E1195" i="2"/>
  <c r="D1195" i="2"/>
  <c r="C1195" i="2"/>
  <c r="A1195" i="2"/>
  <c r="J1194" i="2"/>
  <c r="I1194" i="2"/>
  <c r="H1194" i="2"/>
  <c r="E1194" i="2"/>
  <c r="D1194" i="2"/>
  <c r="C1194" i="2"/>
  <c r="A1194" i="2"/>
  <c r="I1193" i="2"/>
  <c r="J1193" i="2" s="1"/>
  <c r="H1193" i="2"/>
  <c r="E1193" i="2"/>
  <c r="D1193" i="2"/>
  <c r="C1193" i="2"/>
  <c r="A1193" i="2"/>
  <c r="I1192" i="2"/>
  <c r="J1192" i="2" s="1"/>
  <c r="H1192" i="2"/>
  <c r="E1192" i="2"/>
  <c r="D1192" i="2"/>
  <c r="C1192" i="2"/>
  <c r="A1192" i="2"/>
  <c r="J1191" i="2"/>
  <c r="I1191" i="2"/>
  <c r="H1191" i="2"/>
  <c r="E1191" i="2"/>
  <c r="D1191" i="2"/>
  <c r="C1191" i="2"/>
  <c r="A1191" i="2"/>
  <c r="I1190" i="2"/>
  <c r="J1190" i="2" s="1"/>
  <c r="H1190" i="2"/>
  <c r="D1190" i="2"/>
  <c r="E1190" i="2" s="1"/>
  <c r="C1190" i="2"/>
  <c r="A1190" i="2"/>
  <c r="I1189" i="2"/>
  <c r="J1189" i="2" s="1"/>
  <c r="H1189" i="2"/>
  <c r="E1189" i="2"/>
  <c r="D1189" i="2"/>
  <c r="C1189" i="2"/>
  <c r="A1189" i="2"/>
  <c r="I1188" i="2"/>
  <c r="J1188" i="2" s="1"/>
  <c r="H1188" i="2"/>
  <c r="E1188" i="2"/>
  <c r="D1188" i="2"/>
  <c r="C1188" i="2"/>
  <c r="A1188" i="2"/>
  <c r="I1187" i="2"/>
  <c r="J1187" i="2" s="1"/>
  <c r="H1187" i="2"/>
  <c r="E1187" i="2"/>
  <c r="D1187" i="2"/>
  <c r="C1187" i="2"/>
  <c r="A1187" i="2"/>
  <c r="I1186" i="2"/>
  <c r="J1186" i="2" s="1"/>
  <c r="H1186" i="2"/>
  <c r="E1186" i="2"/>
  <c r="D1186" i="2"/>
  <c r="C1186" i="2"/>
  <c r="A1186" i="2"/>
  <c r="J1185" i="2"/>
  <c r="I1185" i="2"/>
  <c r="H1185" i="2"/>
  <c r="E1185" i="2"/>
  <c r="D1185" i="2"/>
  <c r="C1185" i="2"/>
  <c r="A1185" i="2"/>
  <c r="I1184" i="2"/>
  <c r="J1184" i="2" s="1"/>
  <c r="H1184" i="2"/>
  <c r="E1184" i="2"/>
  <c r="D1184" i="2"/>
  <c r="C1184" i="2"/>
  <c r="A1184" i="2"/>
  <c r="I1183" i="2"/>
  <c r="J1183" i="2" s="1"/>
  <c r="H1183" i="2"/>
  <c r="E1183" i="2"/>
  <c r="D1183" i="2"/>
  <c r="C1183" i="2"/>
  <c r="A1183" i="2"/>
  <c r="J1182" i="2"/>
  <c r="I1182" i="2"/>
  <c r="H1182" i="2"/>
  <c r="E1182" i="2"/>
  <c r="D1182" i="2"/>
  <c r="C1182" i="2"/>
  <c r="A1182" i="2"/>
  <c r="I1181" i="2"/>
  <c r="J1181" i="2" s="1"/>
  <c r="H1181" i="2"/>
  <c r="D1181" i="2"/>
  <c r="E1181" i="2" s="1"/>
  <c r="C1181" i="2"/>
  <c r="A1181" i="2"/>
  <c r="I1180" i="2"/>
  <c r="J1180" i="2" s="1"/>
  <c r="H1180" i="2"/>
  <c r="E1180" i="2"/>
  <c r="D1180" i="2"/>
  <c r="C1180" i="2"/>
  <c r="A1180" i="2"/>
  <c r="J1179" i="2"/>
  <c r="I1179" i="2"/>
  <c r="H1179" i="2"/>
  <c r="E1179" i="2"/>
  <c r="D1179" i="2"/>
  <c r="C1179" i="2"/>
  <c r="A1179" i="2"/>
  <c r="I1178" i="2"/>
  <c r="J1178" i="2" s="1"/>
  <c r="H1178" i="2"/>
  <c r="E1178" i="2"/>
  <c r="D1178" i="2"/>
  <c r="C1178" i="2"/>
  <c r="A1178" i="2"/>
  <c r="I1177" i="2"/>
  <c r="J1177" i="2" s="1"/>
  <c r="H1177" i="2"/>
  <c r="E1177" i="2"/>
  <c r="D1177" i="2"/>
  <c r="C1177" i="2"/>
  <c r="A1177" i="2"/>
  <c r="J1176" i="2"/>
  <c r="I1176" i="2"/>
  <c r="H1176" i="2"/>
  <c r="E1176" i="2"/>
  <c r="D1176" i="2"/>
  <c r="C1176" i="2"/>
  <c r="A1176" i="2"/>
  <c r="I1175" i="2"/>
  <c r="J1175" i="2" s="1"/>
  <c r="H1175" i="2"/>
  <c r="E1175" i="2"/>
  <c r="D1175" i="2"/>
  <c r="C1175" i="2"/>
  <c r="A1175" i="2"/>
  <c r="I1174" i="2"/>
  <c r="J1174" i="2" s="1"/>
  <c r="H1174" i="2"/>
  <c r="E1174" i="2"/>
  <c r="D1174" i="2"/>
  <c r="C1174" i="2"/>
  <c r="A1174" i="2"/>
  <c r="J1173" i="2"/>
  <c r="I1173" i="2"/>
  <c r="H1173" i="2"/>
  <c r="E1173" i="2"/>
  <c r="D1173" i="2"/>
  <c r="C1173" i="2"/>
  <c r="A1173" i="2"/>
  <c r="I1172" i="2"/>
  <c r="J1172" i="2" s="1"/>
  <c r="H1172" i="2"/>
  <c r="D1172" i="2"/>
  <c r="E1172" i="2" s="1"/>
  <c r="C1172" i="2"/>
  <c r="A1172" i="2"/>
  <c r="I1171" i="2"/>
  <c r="J1171" i="2" s="1"/>
  <c r="H1171" i="2"/>
  <c r="E1171" i="2"/>
  <c r="D1171" i="2"/>
  <c r="C1171" i="2"/>
  <c r="A1171" i="2"/>
  <c r="I1170" i="2"/>
  <c r="J1170" i="2" s="1"/>
  <c r="H1170" i="2"/>
  <c r="E1170" i="2"/>
  <c r="D1170" i="2"/>
  <c r="C1170" i="2"/>
  <c r="A1170" i="2"/>
  <c r="I1169" i="2"/>
  <c r="J1169" i="2" s="1"/>
  <c r="H1169" i="2"/>
  <c r="E1169" i="2"/>
  <c r="D1169" i="2"/>
  <c r="C1169" i="2"/>
  <c r="A1169" i="2"/>
  <c r="I1168" i="2"/>
  <c r="J1168" i="2" s="1"/>
  <c r="H1168" i="2"/>
  <c r="E1168" i="2"/>
  <c r="D1168" i="2"/>
  <c r="C1168" i="2"/>
  <c r="A1168" i="2"/>
  <c r="J1167" i="2"/>
  <c r="I1167" i="2"/>
  <c r="H1167" i="2"/>
  <c r="E1167" i="2"/>
  <c r="D1167" i="2"/>
  <c r="C1167" i="2"/>
  <c r="A1167" i="2"/>
  <c r="I1166" i="2"/>
  <c r="J1166" i="2" s="1"/>
  <c r="H1166" i="2"/>
  <c r="E1166" i="2"/>
  <c r="D1166" i="2"/>
  <c r="C1166" i="2"/>
  <c r="A1166" i="2"/>
  <c r="I1165" i="2"/>
  <c r="J1165" i="2" s="1"/>
  <c r="H1165" i="2"/>
  <c r="E1165" i="2"/>
  <c r="D1165" i="2"/>
  <c r="C1165" i="2"/>
  <c r="A1165" i="2"/>
  <c r="J1164" i="2"/>
  <c r="I1164" i="2"/>
  <c r="H1164" i="2"/>
  <c r="E1164" i="2"/>
  <c r="D1164" i="2"/>
  <c r="C1164" i="2"/>
  <c r="A1164" i="2"/>
  <c r="I1163" i="2"/>
  <c r="J1163" i="2" s="1"/>
  <c r="H1163" i="2"/>
  <c r="D1163" i="2"/>
  <c r="E1163" i="2" s="1"/>
  <c r="C1163" i="2"/>
  <c r="A1163" i="2"/>
  <c r="I1162" i="2"/>
  <c r="J1162" i="2" s="1"/>
  <c r="H1162" i="2"/>
  <c r="E1162" i="2"/>
  <c r="D1162" i="2"/>
  <c r="C1162" i="2"/>
  <c r="A1162" i="2"/>
  <c r="I1161" i="2"/>
  <c r="J1161" i="2" s="1"/>
  <c r="H1161" i="2"/>
  <c r="E1161" i="2"/>
  <c r="D1161" i="2"/>
  <c r="C1161" i="2"/>
  <c r="A1161" i="2"/>
  <c r="I1160" i="2"/>
  <c r="J1160" i="2" s="1"/>
  <c r="H1160" i="2"/>
  <c r="E1160" i="2"/>
  <c r="D1160" i="2"/>
  <c r="C1160" i="2"/>
  <c r="A1160" i="2"/>
  <c r="I1159" i="2"/>
  <c r="J1159" i="2" s="1"/>
  <c r="H1159" i="2"/>
  <c r="E1159" i="2"/>
  <c r="D1159" i="2"/>
  <c r="C1159" i="2"/>
  <c r="A1159" i="2"/>
  <c r="J1158" i="2"/>
  <c r="I1158" i="2"/>
  <c r="H1158" i="2"/>
  <c r="E1158" i="2"/>
  <c r="D1158" i="2"/>
  <c r="C1158" i="2"/>
  <c r="A1158" i="2"/>
  <c r="I1157" i="2"/>
  <c r="J1157" i="2" s="1"/>
  <c r="H1157" i="2"/>
  <c r="E1157" i="2"/>
  <c r="D1157" i="2"/>
  <c r="C1157" i="2"/>
  <c r="A1157" i="2"/>
  <c r="I1156" i="2"/>
  <c r="J1156" i="2" s="1"/>
  <c r="H1156" i="2"/>
  <c r="E1156" i="2"/>
  <c r="D1156" i="2"/>
  <c r="C1156" i="2"/>
  <c r="A1156" i="2"/>
  <c r="J1155" i="2"/>
  <c r="I1155" i="2"/>
  <c r="H1155" i="2"/>
  <c r="E1155" i="2"/>
  <c r="D1155" i="2"/>
  <c r="C1155" i="2"/>
  <c r="A1155" i="2"/>
  <c r="I1154" i="2"/>
  <c r="J1154" i="2" s="1"/>
  <c r="H1154" i="2"/>
  <c r="E1154" i="2"/>
  <c r="D1154" i="2"/>
  <c r="C1154" i="2"/>
  <c r="A1154" i="2"/>
  <c r="I1153" i="2"/>
  <c r="J1153" i="2" s="1"/>
  <c r="H1153" i="2"/>
  <c r="E1153" i="2"/>
  <c r="D1153" i="2"/>
  <c r="C1153" i="2"/>
  <c r="A1153" i="2"/>
  <c r="I1152" i="2"/>
  <c r="J1152" i="2" s="1"/>
  <c r="H1152" i="2"/>
  <c r="E1152" i="2"/>
  <c r="D1152" i="2"/>
  <c r="C1152" i="2"/>
  <c r="A1152" i="2"/>
  <c r="I1151" i="2"/>
  <c r="J1151" i="2" s="1"/>
  <c r="H1151" i="2"/>
  <c r="E1151" i="2"/>
  <c r="D1151" i="2"/>
  <c r="C1151" i="2"/>
  <c r="A1151" i="2"/>
  <c r="I1150" i="2"/>
  <c r="J1150" i="2" s="1"/>
  <c r="H1150" i="2"/>
  <c r="E1150" i="2"/>
  <c r="D1150" i="2"/>
  <c r="C1150" i="2"/>
  <c r="A1150" i="2"/>
  <c r="J1149" i="2"/>
  <c r="I1149" i="2"/>
  <c r="H1149" i="2"/>
  <c r="E1149" i="2"/>
  <c r="D1149" i="2"/>
  <c r="C1149" i="2"/>
  <c r="A1149" i="2"/>
  <c r="I1148" i="2"/>
  <c r="J1148" i="2" s="1"/>
  <c r="H1148" i="2"/>
  <c r="E1148" i="2"/>
  <c r="D1148" i="2"/>
  <c r="C1148" i="2"/>
  <c r="A1148" i="2"/>
  <c r="I1147" i="2"/>
  <c r="J1147" i="2" s="1"/>
  <c r="H1147" i="2"/>
  <c r="E1147" i="2"/>
  <c r="D1147" i="2"/>
  <c r="C1147" i="2"/>
  <c r="A1147" i="2"/>
  <c r="J1146" i="2"/>
  <c r="I1146" i="2"/>
  <c r="H1146" i="2"/>
  <c r="E1146" i="2"/>
  <c r="D1146" i="2"/>
  <c r="C1146" i="2"/>
  <c r="A1146" i="2"/>
  <c r="I1145" i="2"/>
  <c r="J1145" i="2" s="1"/>
  <c r="H1145" i="2"/>
  <c r="E1145" i="2"/>
  <c r="D1145" i="2"/>
  <c r="C1145" i="2"/>
  <c r="A1145" i="2"/>
  <c r="I1144" i="2"/>
  <c r="J1144" i="2" s="1"/>
  <c r="H1144" i="2"/>
  <c r="E1144" i="2"/>
  <c r="D1144" i="2"/>
  <c r="C1144" i="2"/>
  <c r="A1144" i="2"/>
  <c r="I1143" i="2"/>
  <c r="J1143" i="2" s="1"/>
  <c r="H1143" i="2"/>
  <c r="E1143" i="2"/>
  <c r="D1143" i="2"/>
  <c r="C1143" i="2"/>
  <c r="A1143" i="2"/>
  <c r="I1142" i="2"/>
  <c r="J1142" i="2" s="1"/>
  <c r="H1142" i="2"/>
  <c r="E1142" i="2"/>
  <c r="D1142" i="2"/>
  <c r="C1142" i="2"/>
  <c r="A1142" i="2"/>
  <c r="I1141" i="2"/>
  <c r="J1141" i="2" s="1"/>
  <c r="H1141" i="2"/>
  <c r="E1141" i="2"/>
  <c r="D1141" i="2"/>
  <c r="C1141" i="2"/>
  <c r="A1141" i="2"/>
  <c r="J1140" i="2"/>
  <c r="I1140" i="2"/>
  <c r="H1140" i="2"/>
  <c r="E1140" i="2"/>
  <c r="D1140" i="2"/>
  <c r="C1140" i="2"/>
  <c r="A1140" i="2"/>
  <c r="I1139" i="2"/>
  <c r="J1139" i="2" s="1"/>
  <c r="H1139" i="2"/>
  <c r="E1139" i="2"/>
  <c r="D1139" i="2"/>
  <c r="C1139" i="2"/>
  <c r="A1139" i="2"/>
  <c r="I1138" i="2"/>
  <c r="J1138" i="2" s="1"/>
  <c r="H1138" i="2"/>
  <c r="E1138" i="2"/>
  <c r="D1138" i="2"/>
  <c r="C1138" i="2"/>
  <c r="A1138" i="2"/>
  <c r="J1137" i="2"/>
  <c r="I1137" i="2"/>
  <c r="H1137" i="2"/>
  <c r="E1137" i="2"/>
  <c r="D1137" i="2"/>
  <c r="C1137" i="2"/>
  <c r="A1137" i="2"/>
  <c r="I1136" i="2"/>
  <c r="J1136" i="2" s="1"/>
  <c r="H1136" i="2"/>
  <c r="D1136" i="2"/>
  <c r="E1136" i="2" s="1"/>
  <c r="C1136" i="2"/>
  <c r="A1136" i="2"/>
  <c r="I1135" i="2"/>
  <c r="J1135" i="2" s="1"/>
  <c r="H1135" i="2"/>
  <c r="E1135" i="2"/>
  <c r="D1135" i="2"/>
  <c r="C1135" i="2"/>
  <c r="A1135" i="2"/>
  <c r="I1134" i="2"/>
  <c r="J1134" i="2" s="1"/>
  <c r="H1134" i="2"/>
  <c r="E1134" i="2"/>
  <c r="D1134" i="2"/>
  <c r="C1134" i="2"/>
  <c r="A1134" i="2"/>
  <c r="I1133" i="2"/>
  <c r="J1133" i="2" s="1"/>
  <c r="H1133" i="2"/>
  <c r="E1133" i="2"/>
  <c r="D1133" i="2"/>
  <c r="C1133" i="2"/>
  <c r="A1133" i="2"/>
  <c r="I1132" i="2"/>
  <c r="J1132" i="2" s="1"/>
  <c r="H1132" i="2"/>
  <c r="E1132" i="2"/>
  <c r="D1132" i="2"/>
  <c r="C1132" i="2"/>
  <c r="A1132" i="2"/>
  <c r="J1131" i="2"/>
  <c r="I1131" i="2"/>
  <c r="H1131" i="2"/>
  <c r="E1131" i="2"/>
  <c r="D1131" i="2"/>
  <c r="C1131" i="2"/>
  <c r="A1131" i="2"/>
  <c r="I1130" i="2"/>
  <c r="J1130" i="2" s="1"/>
  <c r="H1130" i="2"/>
  <c r="E1130" i="2"/>
  <c r="D1130" i="2"/>
  <c r="C1130" i="2"/>
  <c r="A1130" i="2"/>
  <c r="I1129" i="2"/>
  <c r="J1129" i="2" s="1"/>
  <c r="H1129" i="2"/>
  <c r="E1129" i="2"/>
  <c r="D1129" i="2"/>
  <c r="C1129" i="2"/>
  <c r="A1129" i="2"/>
  <c r="J1128" i="2"/>
  <c r="I1128" i="2"/>
  <c r="H1128" i="2"/>
  <c r="E1128" i="2"/>
  <c r="D1128" i="2"/>
  <c r="C1128" i="2"/>
  <c r="A1128" i="2"/>
  <c r="I1127" i="2"/>
  <c r="J1127" i="2" s="1"/>
  <c r="H1127" i="2"/>
  <c r="D1127" i="2"/>
  <c r="E1127" i="2" s="1"/>
  <c r="C1127" i="2"/>
  <c r="A1127" i="2"/>
  <c r="I1126" i="2"/>
  <c r="J1126" i="2" s="1"/>
  <c r="H1126" i="2"/>
  <c r="E1126" i="2"/>
  <c r="D1126" i="2"/>
  <c r="C1126" i="2"/>
  <c r="A1126" i="2"/>
  <c r="J1125" i="2"/>
  <c r="I1125" i="2"/>
  <c r="H1125" i="2"/>
  <c r="E1125" i="2"/>
  <c r="D1125" i="2"/>
  <c r="C1125" i="2"/>
  <c r="A1125" i="2"/>
  <c r="I1124" i="2"/>
  <c r="J1124" i="2" s="1"/>
  <c r="H1124" i="2"/>
  <c r="E1124" i="2"/>
  <c r="D1124" i="2"/>
  <c r="C1124" i="2"/>
  <c r="A1124" i="2"/>
  <c r="I1123" i="2"/>
  <c r="J1123" i="2" s="1"/>
  <c r="H1123" i="2"/>
  <c r="E1123" i="2"/>
  <c r="D1123" i="2"/>
  <c r="C1123" i="2"/>
  <c r="A1123" i="2"/>
  <c r="J1122" i="2"/>
  <c r="I1122" i="2"/>
  <c r="H1122" i="2"/>
  <c r="E1122" i="2"/>
  <c r="D1122" i="2"/>
  <c r="C1122" i="2"/>
  <c r="A1122" i="2"/>
  <c r="I1121" i="2"/>
  <c r="J1121" i="2" s="1"/>
  <c r="H1121" i="2"/>
  <c r="E1121" i="2"/>
  <c r="D1121" i="2"/>
  <c r="C1121" i="2"/>
  <c r="A1121" i="2"/>
  <c r="I1120" i="2"/>
  <c r="J1120" i="2" s="1"/>
  <c r="H1120" i="2"/>
  <c r="E1120" i="2"/>
  <c r="D1120" i="2"/>
  <c r="C1120" i="2"/>
  <c r="A1120" i="2"/>
  <c r="J1119" i="2"/>
  <c r="I1119" i="2"/>
  <c r="H1119" i="2"/>
  <c r="E1119" i="2"/>
  <c r="D1119" i="2"/>
  <c r="C1119" i="2"/>
  <c r="A1119" i="2"/>
  <c r="I1118" i="2"/>
  <c r="J1118" i="2" s="1"/>
  <c r="H1118" i="2"/>
  <c r="D1118" i="2"/>
  <c r="E1118" i="2" s="1"/>
  <c r="C1118" i="2"/>
  <c r="A1118" i="2"/>
  <c r="I1117" i="2"/>
  <c r="J1117" i="2" s="1"/>
  <c r="H1117" i="2"/>
  <c r="E1117" i="2"/>
  <c r="D1117" i="2"/>
  <c r="C1117" i="2"/>
  <c r="A1117" i="2"/>
  <c r="I1116" i="2"/>
  <c r="J1116" i="2" s="1"/>
  <c r="H1116" i="2"/>
  <c r="E1116" i="2"/>
  <c r="D1116" i="2"/>
  <c r="C1116" i="2"/>
  <c r="A1116" i="2"/>
  <c r="I1115" i="2"/>
  <c r="J1115" i="2" s="1"/>
  <c r="H1115" i="2"/>
  <c r="E1115" i="2"/>
  <c r="D1115" i="2"/>
  <c r="C1115" i="2"/>
  <c r="A1115" i="2"/>
  <c r="I1114" i="2"/>
  <c r="J1114" i="2" s="1"/>
  <c r="H1114" i="2"/>
  <c r="E1114" i="2"/>
  <c r="D1114" i="2"/>
  <c r="C1114" i="2"/>
  <c r="A1114" i="2"/>
  <c r="J1113" i="2"/>
  <c r="I1113" i="2"/>
  <c r="H1113" i="2"/>
  <c r="E1113" i="2"/>
  <c r="D1113" i="2"/>
  <c r="C1113" i="2"/>
  <c r="A1113" i="2"/>
  <c r="I1112" i="2"/>
  <c r="J1112" i="2" s="1"/>
  <c r="H1112" i="2"/>
  <c r="E1112" i="2"/>
  <c r="D1112" i="2"/>
  <c r="C1112" i="2"/>
  <c r="A1112" i="2"/>
  <c r="I1111" i="2"/>
  <c r="J1111" i="2" s="1"/>
  <c r="H1111" i="2"/>
  <c r="E1111" i="2"/>
  <c r="D1111" i="2"/>
  <c r="C1111" i="2"/>
  <c r="A1111" i="2"/>
  <c r="J1110" i="2"/>
  <c r="I1110" i="2"/>
  <c r="H1110" i="2"/>
  <c r="E1110" i="2"/>
  <c r="D1110" i="2"/>
  <c r="C1110" i="2"/>
  <c r="A1110" i="2"/>
  <c r="I1109" i="2"/>
  <c r="J1109" i="2" s="1"/>
  <c r="H1109" i="2"/>
  <c r="D1109" i="2"/>
  <c r="E1109" i="2" s="1"/>
  <c r="C1109" i="2"/>
  <c r="A1109" i="2"/>
  <c r="I1108" i="2"/>
  <c r="J1108" i="2" s="1"/>
  <c r="H1108" i="2"/>
  <c r="E1108" i="2"/>
  <c r="D1108" i="2"/>
  <c r="C1108" i="2"/>
  <c r="A1108" i="2"/>
  <c r="I1107" i="2"/>
  <c r="J1107" i="2" s="1"/>
  <c r="H1107" i="2"/>
  <c r="E1107" i="2"/>
  <c r="D1107" i="2"/>
  <c r="C1107" i="2"/>
  <c r="A1107" i="2"/>
  <c r="I1106" i="2"/>
  <c r="J1106" i="2" s="1"/>
  <c r="H1106" i="2"/>
  <c r="E1106" i="2"/>
  <c r="D1106" i="2"/>
  <c r="C1106" i="2"/>
  <c r="A1106" i="2"/>
  <c r="I1105" i="2"/>
  <c r="J1105" i="2" s="1"/>
  <c r="H1105" i="2"/>
  <c r="E1105" i="2"/>
  <c r="D1105" i="2"/>
  <c r="C1105" i="2"/>
  <c r="A1105" i="2"/>
  <c r="J1104" i="2"/>
  <c r="I1104" i="2"/>
  <c r="H1104" i="2"/>
  <c r="E1104" i="2"/>
  <c r="D1104" i="2"/>
  <c r="C1104" i="2"/>
  <c r="A1104" i="2"/>
  <c r="I1103" i="2"/>
  <c r="J1103" i="2" s="1"/>
  <c r="H1103" i="2"/>
  <c r="E1103" i="2"/>
  <c r="D1103" i="2"/>
  <c r="C1103" i="2"/>
  <c r="A1103" i="2"/>
  <c r="I1102" i="2"/>
  <c r="J1102" i="2" s="1"/>
  <c r="H1102" i="2"/>
  <c r="E1102" i="2"/>
  <c r="D1102" i="2"/>
  <c r="C1102" i="2"/>
  <c r="A1102" i="2"/>
  <c r="J1101" i="2"/>
  <c r="I1101" i="2"/>
  <c r="H1101" i="2"/>
  <c r="E1101" i="2"/>
  <c r="D1101" i="2"/>
  <c r="C1101" i="2"/>
  <c r="A1101" i="2"/>
  <c r="I1100" i="2"/>
  <c r="J1100" i="2" s="1"/>
  <c r="H1100" i="2"/>
  <c r="E1100" i="2"/>
  <c r="D1100" i="2"/>
  <c r="C1100" i="2"/>
  <c r="A1100" i="2"/>
  <c r="I1099" i="2"/>
  <c r="J1099" i="2" s="1"/>
  <c r="H1099" i="2"/>
  <c r="E1099" i="2"/>
  <c r="D1099" i="2"/>
  <c r="C1099" i="2"/>
  <c r="A1099" i="2"/>
  <c r="J1098" i="2"/>
  <c r="I1098" i="2"/>
  <c r="H1098" i="2"/>
  <c r="E1098" i="2"/>
  <c r="D1098" i="2"/>
  <c r="C1098" i="2"/>
  <c r="A1098" i="2"/>
  <c r="I1097" i="2"/>
  <c r="J1097" i="2" s="1"/>
  <c r="H1097" i="2"/>
  <c r="E1097" i="2"/>
  <c r="D1097" i="2"/>
  <c r="C1097" i="2"/>
  <c r="A1097" i="2"/>
  <c r="I1096" i="2"/>
  <c r="J1096" i="2" s="1"/>
  <c r="H1096" i="2"/>
  <c r="E1096" i="2"/>
  <c r="D1096" i="2"/>
  <c r="C1096" i="2"/>
  <c r="A1096" i="2"/>
  <c r="J1095" i="2"/>
  <c r="I1095" i="2"/>
  <c r="H1095" i="2"/>
  <c r="E1095" i="2"/>
  <c r="D1095" i="2"/>
  <c r="C1095" i="2"/>
  <c r="A1095" i="2"/>
  <c r="I1094" i="2"/>
  <c r="J1094" i="2" s="1"/>
  <c r="H1094" i="2"/>
  <c r="E1094" i="2"/>
  <c r="D1094" i="2"/>
  <c r="C1094" i="2"/>
  <c r="A1094" i="2"/>
  <c r="I1093" i="2"/>
  <c r="J1093" i="2" s="1"/>
  <c r="H1093" i="2"/>
  <c r="E1093" i="2"/>
  <c r="D1093" i="2"/>
  <c r="C1093" i="2"/>
  <c r="A1093" i="2"/>
  <c r="J1092" i="2"/>
  <c r="I1092" i="2"/>
  <c r="H1092" i="2"/>
  <c r="E1092" i="2"/>
  <c r="D1092" i="2"/>
  <c r="C1092" i="2"/>
  <c r="A1092" i="2"/>
  <c r="I1091" i="2"/>
  <c r="J1091" i="2" s="1"/>
  <c r="H1091" i="2"/>
  <c r="D1091" i="2"/>
  <c r="E1091" i="2" s="1"/>
  <c r="C1091" i="2"/>
  <c r="A1091" i="2"/>
  <c r="I1090" i="2"/>
  <c r="J1090" i="2" s="1"/>
  <c r="H1090" i="2"/>
  <c r="E1090" i="2"/>
  <c r="D1090" i="2"/>
  <c r="C1090" i="2"/>
  <c r="A1090" i="2"/>
  <c r="J1089" i="2"/>
  <c r="I1089" i="2"/>
  <c r="H1089" i="2"/>
  <c r="E1089" i="2"/>
  <c r="D1089" i="2"/>
  <c r="C1089" i="2"/>
  <c r="A1089" i="2"/>
  <c r="I1088" i="2"/>
  <c r="J1088" i="2" s="1"/>
  <c r="H1088" i="2"/>
  <c r="E1088" i="2"/>
  <c r="D1088" i="2"/>
  <c r="C1088" i="2"/>
  <c r="A1088" i="2"/>
  <c r="I1087" i="2"/>
  <c r="J1087" i="2" s="1"/>
  <c r="H1087" i="2"/>
  <c r="E1087" i="2"/>
  <c r="D1087" i="2"/>
  <c r="C1087" i="2"/>
  <c r="A1087" i="2"/>
  <c r="J1086" i="2"/>
  <c r="I1086" i="2"/>
  <c r="H1086" i="2"/>
  <c r="E1086" i="2"/>
  <c r="D1086" i="2"/>
  <c r="C1086" i="2"/>
  <c r="A1086" i="2"/>
  <c r="I1085" i="2"/>
  <c r="J1085" i="2" s="1"/>
  <c r="H1085" i="2"/>
  <c r="E1085" i="2"/>
  <c r="D1085" i="2"/>
  <c r="C1085" i="2"/>
  <c r="A1085" i="2"/>
  <c r="I1084" i="2"/>
  <c r="J1084" i="2" s="1"/>
  <c r="H1084" i="2"/>
  <c r="E1084" i="2"/>
  <c r="D1084" i="2"/>
  <c r="C1084" i="2"/>
  <c r="A1084" i="2"/>
  <c r="J1083" i="2"/>
  <c r="I1083" i="2"/>
  <c r="H1083" i="2"/>
  <c r="E1083" i="2"/>
  <c r="D1083" i="2"/>
  <c r="C1083" i="2"/>
  <c r="A1083" i="2"/>
  <c r="I1082" i="2"/>
  <c r="J1082" i="2" s="1"/>
  <c r="H1082" i="2"/>
  <c r="E1082" i="2"/>
  <c r="D1082" i="2"/>
  <c r="C1082" i="2"/>
  <c r="A1082" i="2"/>
  <c r="I1081" i="2"/>
  <c r="J1081" i="2" s="1"/>
  <c r="H1081" i="2"/>
  <c r="E1081" i="2"/>
  <c r="D1081" i="2"/>
  <c r="C1081" i="2"/>
  <c r="A1081" i="2"/>
  <c r="I1080" i="2"/>
  <c r="J1080" i="2" s="1"/>
  <c r="H1080" i="2"/>
  <c r="E1080" i="2"/>
  <c r="D1080" i="2"/>
  <c r="C1080" i="2"/>
  <c r="A1080" i="2"/>
  <c r="I1079" i="2"/>
  <c r="J1079" i="2" s="1"/>
  <c r="H1079" i="2"/>
  <c r="E1079" i="2"/>
  <c r="D1079" i="2"/>
  <c r="C1079" i="2"/>
  <c r="A1079" i="2"/>
  <c r="I1078" i="2"/>
  <c r="J1078" i="2" s="1"/>
  <c r="H1078" i="2"/>
  <c r="E1078" i="2"/>
  <c r="D1078" i="2"/>
  <c r="C1078" i="2"/>
  <c r="A1078" i="2"/>
  <c r="J1077" i="2"/>
  <c r="I1077" i="2"/>
  <c r="H1077" i="2"/>
  <c r="E1077" i="2"/>
  <c r="D1077" i="2"/>
  <c r="C1077" i="2"/>
  <c r="A1077" i="2"/>
  <c r="I1076" i="2"/>
  <c r="J1076" i="2" s="1"/>
  <c r="H1076" i="2"/>
  <c r="E1076" i="2"/>
  <c r="D1076" i="2"/>
  <c r="C1076" i="2"/>
  <c r="A1076" i="2"/>
  <c r="I1075" i="2"/>
  <c r="J1075" i="2" s="1"/>
  <c r="H1075" i="2"/>
  <c r="E1075" i="2"/>
  <c r="D1075" i="2"/>
  <c r="C1075" i="2"/>
  <c r="A1075" i="2"/>
  <c r="J1074" i="2"/>
  <c r="I1074" i="2"/>
  <c r="H1074" i="2"/>
  <c r="E1074" i="2"/>
  <c r="D1074" i="2"/>
  <c r="C1074" i="2"/>
  <c r="A1074" i="2"/>
  <c r="I1073" i="2"/>
  <c r="J1073" i="2" s="1"/>
  <c r="H1073" i="2"/>
  <c r="E1073" i="2"/>
  <c r="D1073" i="2"/>
  <c r="C1073" i="2"/>
  <c r="A1073" i="2"/>
  <c r="I1072" i="2"/>
  <c r="J1072" i="2" s="1"/>
  <c r="H1072" i="2"/>
  <c r="E1072" i="2"/>
  <c r="D1072" i="2"/>
  <c r="C1072" i="2"/>
  <c r="A1072" i="2"/>
  <c r="I1071" i="2"/>
  <c r="J1071" i="2" s="1"/>
  <c r="H1071" i="2"/>
  <c r="E1071" i="2"/>
  <c r="D1071" i="2"/>
  <c r="C1071" i="2"/>
  <c r="A1071" i="2"/>
  <c r="I1070" i="2"/>
  <c r="J1070" i="2" s="1"/>
  <c r="H1070" i="2"/>
  <c r="E1070" i="2"/>
  <c r="D1070" i="2"/>
  <c r="C1070" i="2"/>
  <c r="A1070" i="2"/>
  <c r="I1069" i="2"/>
  <c r="J1069" i="2" s="1"/>
  <c r="H1069" i="2"/>
  <c r="E1069" i="2"/>
  <c r="D1069" i="2"/>
  <c r="C1069" i="2"/>
  <c r="A1069" i="2"/>
  <c r="J1068" i="2"/>
  <c r="I1068" i="2"/>
  <c r="H1068" i="2"/>
  <c r="E1068" i="2"/>
  <c r="D1068" i="2"/>
  <c r="C1068" i="2"/>
  <c r="A1068" i="2"/>
  <c r="I1067" i="2"/>
  <c r="J1067" i="2" s="1"/>
  <c r="H1067" i="2"/>
  <c r="E1067" i="2"/>
  <c r="D1067" i="2"/>
  <c r="C1067" i="2"/>
  <c r="A1067" i="2"/>
  <c r="I1066" i="2"/>
  <c r="J1066" i="2" s="1"/>
  <c r="H1066" i="2"/>
  <c r="E1066" i="2"/>
  <c r="D1066" i="2"/>
  <c r="C1066" i="2"/>
  <c r="A1066" i="2"/>
  <c r="J1065" i="2"/>
  <c r="I1065" i="2"/>
  <c r="H1065" i="2"/>
  <c r="E1065" i="2"/>
  <c r="D1065" i="2"/>
  <c r="C1065" i="2"/>
  <c r="A1065" i="2"/>
  <c r="I1064" i="2"/>
  <c r="J1064" i="2" s="1"/>
  <c r="H1064" i="2"/>
  <c r="D1064" i="2"/>
  <c r="E1064" i="2" s="1"/>
  <c r="C1064" i="2"/>
  <c r="A1064" i="2"/>
  <c r="I1063" i="2"/>
  <c r="J1063" i="2" s="1"/>
  <c r="H1063" i="2"/>
  <c r="E1063" i="2"/>
  <c r="D1063" i="2"/>
  <c r="C1063" i="2"/>
  <c r="A1063" i="2"/>
  <c r="J1062" i="2"/>
  <c r="I1062" i="2"/>
  <c r="H1062" i="2"/>
  <c r="E1062" i="2"/>
  <c r="D1062" i="2"/>
  <c r="C1062" i="2"/>
  <c r="A1062" i="2"/>
  <c r="I1061" i="2"/>
  <c r="J1061" i="2" s="1"/>
  <c r="H1061" i="2"/>
  <c r="E1061" i="2"/>
  <c r="D1061" i="2"/>
  <c r="C1061" i="2"/>
  <c r="A1061" i="2"/>
  <c r="I1060" i="2"/>
  <c r="J1060" i="2" s="1"/>
  <c r="H1060" i="2"/>
  <c r="E1060" i="2"/>
  <c r="D1060" i="2"/>
  <c r="C1060" i="2"/>
  <c r="A1060" i="2"/>
  <c r="J1059" i="2"/>
  <c r="I1059" i="2"/>
  <c r="H1059" i="2"/>
  <c r="E1059" i="2"/>
  <c r="D1059" i="2"/>
  <c r="C1059" i="2"/>
  <c r="A1059" i="2"/>
  <c r="I1058" i="2"/>
  <c r="J1058" i="2" s="1"/>
  <c r="H1058" i="2"/>
  <c r="E1058" i="2"/>
  <c r="D1058" i="2"/>
  <c r="C1058" i="2"/>
  <c r="A1058" i="2"/>
  <c r="I1057" i="2"/>
  <c r="J1057" i="2" s="1"/>
  <c r="H1057" i="2"/>
  <c r="E1057" i="2"/>
  <c r="D1057" i="2"/>
  <c r="C1057" i="2"/>
  <c r="A1057" i="2"/>
  <c r="J1056" i="2"/>
  <c r="I1056" i="2"/>
  <c r="H1056" i="2"/>
  <c r="E1056" i="2"/>
  <c r="D1056" i="2"/>
  <c r="C1056" i="2"/>
  <c r="A1056" i="2"/>
  <c r="I1055" i="2"/>
  <c r="J1055" i="2" s="1"/>
  <c r="H1055" i="2"/>
  <c r="D1055" i="2"/>
  <c r="E1055" i="2" s="1"/>
  <c r="C1055" i="2"/>
  <c r="A1055" i="2"/>
  <c r="I1054" i="2"/>
  <c r="J1054" i="2" s="1"/>
  <c r="H1054" i="2"/>
  <c r="E1054" i="2"/>
  <c r="D1054" i="2"/>
  <c r="C1054" i="2"/>
  <c r="A1054" i="2"/>
  <c r="I1053" i="2"/>
  <c r="J1053" i="2" s="1"/>
  <c r="H1053" i="2"/>
  <c r="E1053" i="2"/>
  <c r="D1053" i="2"/>
  <c r="C1053" i="2"/>
  <c r="A1053" i="2"/>
  <c r="I1052" i="2"/>
  <c r="J1052" i="2" s="1"/>
  <c r="H1052" i="2"/>
  <c r="E1052" i="2"/>
  <c r="D1052" i="2"/>
  <c r="C1052" i="2"/>
  <c r="A1052" i="2"/>
  <c r="I1051" i="2"/>
  <c r="J1051" i="2" s="1"/>
  <c r="H1051" i="2"/>
  <c r="E1051" i="2"/>
  <c r="D1051" i="2"/>
  <c r="C1051" i="2"/>
  <c r="A1051" i="2"/>
  <c r="J1050" i="2"/>
  <c r="I1050" i="2"/>
  <c r="H1050" i="2"/>
  <c r="E1050" i="2"/>
  <c r="D1050" i="2"/>
  <c r="C1050" i="2"/>
  <c r="A1050" i="2"/>
  <c r="I1049" i="2"/>
  <c r="J1049" i="2" s="1"/>
  <c r="H1049" i="2"/>
  <c r="E1049" i="2"/>
  <c r="D1049" i="2"/>
  <c r="C1049" i="2"/>
  <c r="A1049" i="2"/>
  <c r="I1048" i="2"/>
  <c r="J1048" i="2" s="1"/>
  <c r="H1048" i="2"/>
  <c r="E1048" i="2"/>
  <c r="D1048" i="2"/>
  <c r="C1048" i="2"/>
  <c r="A1048" i="2"/>
  <c r="J1047" i="2"/>
  <c r="I1047" i="2"/>
  <c r="H1047" i="2"/>
  <c r="E1047" i="2"/>
  <c r="D1047" i="2"/>
  <c r="C1047" i="2"/>
  <c r="A1047" i="2"/>
  <c r="I1046" i="2"/>
  <c r="J1046" i="2" s="1"/>
  <c r="H1046" i="2"/>
  <c r="E1046" i="2"/>
  <c r="D1046" i="2"/>
  <c r="C1046" i="2"/>
  <c r="A1046" i="2"/>
  <c r="I1045" i="2"/>
  <c r="J1045" i="2" s="1"/>
  <c r="H1045" i="2"/>
  <c r="E1045" i="2"/>
  <c r="D1045" i="2"/>
  <c r="C1045" i="2"/>
  <c r="A1045" i="2"/>
  <c r="I1044" i="2"/>
  <c r="J1044" i="2" s="1"/>
  <c r="H1044" i="2"/>
  <c r="E1044" i="2"/>
  <c r="D1044" i="2"/>
  <c r="C1044" i="2"/>
  <c r="A1044" i="2"/>
  <c r="I1043" i="2"/>
  <c r="J1043" i="2" s="1"/>
  <c r="H1043" i="2"/>
  <c r="E1043" i="2"/>
  <c r="D1043" i="2"/>
  <c r="C1043" i="2"/>
  <c r="A1043" i="2"/>
  <c r="I1042" i="2"/>
  <c r="J1042" i="2" s="1"/>
  <c r="H1042" i="2"/>
  <c r="E1042" i="2"/>
  <c r="D1042" i="2"/>
  <c r="C1042" i="2"/>
  <c r="A1042" i="2"/>
  <c r="J1041" i="2"/>
  <c r="I1041" i="2"/>
  <c r="H1041" i="2"/>
  <c r="E1041" i="2"/>
  <c r="D1041" i="2"/>
  <c r="C1041" i="2"/>
  <c r="A1041" i="2"/>
  <c r="I1040" i="2"/>
  <c r="J1040" i="2" s="1"/>
  <c r="H1040" i="2"/>
  <c r="E1040" i="2"/>
  <c r="D1040" i="2"/>
  <c r="C1040" i="2"/>
  <c r="A1040" i="2"/>
  <c r="I1039" i="2"/>
  <c r="J1039" i="2" s="1"/>
  <c r="H1039" i="2"/>
  <c r="E1039" i="2"/>
  <c r="D1039" i="2"/>
  <c r="C1039" i="2"/>
  <c r="A1039" i="2"/>
  <c r="J1038" i="2"/>
  <c r="I1038" i="2"/>
  <c r="H1038" i="2"/>
  <c r="E1038" i="2"/>
  <c r="D1038" i="2"/>
  <c r="C1038" i="2"/>
  <c r="A1038" i="2"/>
  <c r="I1037" i="2"/>
  <c r="J1037" i="2" s="1"/>
  <c r="H1037" i="2"/>
  <c r="D1037" i="2"/>
  <c r="E1037" i="2" s="1"/>
  <c r="C1037" i="2"/>
  <c r="A1037" i="2"/>
  <c r="I1036" i="2"/>
  <c r="J1036" i="2" s="1"/>
  <c r="H1036" i="2"/>
  <c r="D1036" i="2"/>
  <c r="E1036" i="2" s="1"/>
  <c r="C1036" i="2"/>
  <c r="A1036" i="2"/>
  <c r="J1035" i="2"/>
  <c r="I1035" i="2"/>
  <c r="H1035" i="2"/>
  <c r="E1035" i="2"/>
  <c r="D1035" i="2"/>
  <c r="C1035" i="2"/>
  <c r="A1035" i="2"/>
  <c r="J1034" i="2"/>
  <c r="I1034" i="2"/>
  <c r="H1034" i="2"/>
  <c r="D1034" i="2"/>
  <c r="E1034" i="2" s="1"/>
  <c r="C1034" i="2"/>
  <c r="A1034" i="2"/>
  <c r="I1033" i="2"/>
  <c r="J1033" i="2" s="1"/>
  <c r="H1033" i="2"/>
  <c r="D1033" i="2"/>
  <c r="E1033" i="2" s="1"/>
  <c r="C1033" i="2"/>
  <c r="A1033" i="2"/>
  <c r="I1032" i="2"/>
  <c r="J1032" i="2" s="1"/>
  <c r="H1032" i="2"/>
  <c r="E1032" i="2"/>
  <c r="D1032" i="2"/>
  <c r="C1032" i="2"/>
  <c r="A1032" i="2"/>
  <c r="I1031" i="2"/>
  <c r="J1031" i="2" s="1"/>
  <c r="H1031" i="2"/>
  <c r="E1031" i="2"/>
  <c r="D1031" i="2"/>
  <c r="C1031" i="2"/>
  <c r="A1031" i="2"/>
  <c r="I1030" i="2"/>
  <c r="J1030" i="2" s="1"/>
  <c r="H1030" i="2"/>
  <c r="D1030" i="2"/>
  <c r="E1030" i="2" s="1"/>
  <c r="C1030" i="2"/>
  <c r="A1030" i="2"/>
  <c r="J1029" i="2"/>
  <c r="I1029" i="2"/>
  <c r="H1029" i="2"/>
  <c r="E1029" i="2"/>
  <c r="D1029" i="2"/>
  <c r="C1029" i="2"/>
  <c r="A1029" i="2"/>
  <c r="J1028" i="2"/>
  <c r="I1028" i="2"/>
  <c r="H1028" i="2"/>
  <c r="D1028" i="2"/>
  <c r="E1028" i="2" s="1"/>
  <c r="C1028" i="2"/>
  <c r="A1028" i="2"/>
  <c r="I1027" i="2"/>
  <c r="J1027" i="2" s="1"/>
  <c r="H1027" i="2"/>
  <c r="E1027" i="2"/>
  <c r="D1027" i="2"/>
  <c r="C1027" i="2"/>
  <c r="A1027" i="2"/>
  <c r="I1026" i="2"/>
  <c r="J1026" i="2" s="1"/>
  <c r="H1026" i="2"/>
  <c r="E1026" i="2"/>
  <c r="D1026" i="2"/>
  <c r="C1026" i="2"/>
  <c r="A1026" i="2"/>
  <c r="I1025" i="2"/>
  <c r="J1025" i="2" s="1"/>
  <c r="H1025" i="2"/>
  <c r="E1025" i="2"/>
  <c r="D1025" i="2"/>
  <c r="C1025" i="2"/>
  <c r="A1025" i="2"/>
  <c r="I1024" i="2"/>
  <c r="J1024" i="2" s="1"/>
  <c r="H1024" i="2"/>
  <c r="D1024" i="2"/>
  <c r="E1024" i="2" s="1"/>
  <c r="C1024" i="2"/>
  <c r="A1024" i="2"/>
  <c r="J1023" i="2"/>
  <c r="I1023" i="2"/>
  <c r="H1023" i="2"/>
  <c r="E1023" i="2"/>
  <c r="D1023" i="2"/>
  <c r="C1023" i="2"/>
  <c r="A1023" i="2"/>
  <c r="J1022" i="2"/>
  <c r="I1022" i="2"/>
  <c r="H1022" i="2"/>
  <c r="D1022" i="2"/>
  <c r="E1022" i="2" s="1"/>
  <c r="C1022" i="2"/>
  <c r="A1022" i="2"/>
  <c r="I1021" i="2"/>
  <c r="J1021" i="2" s="1"/>
  <c r="H1021" i="2"/>
  <c r="E1021" i="2"/>
  <c r="D1021" i="2"/>
  <c r="C1021" i="2"/>
  <c r="A1021" i="2"/>
  <c r="I1020" i="2"/>
  <c r="J1020" i="2" s="1"/>
  <c r="H1020" i="2"/>
  <c r="E1020" i="2"/>
  <c r="D1020" i="2"/>
  <c r="C1020" i="2"/>
  <c r="A1020" i="2"/>
  <c r="I1019" i="2"/>
  <c r="J1019" i="2" s="1"/>
  <c r="H1019" i="2"/>
  <c r="E1019" i="2"/>
  <c r="D1019" i="2"/>
  <c r="C1019" i="2"/>
  <c r="A1019" i="2"/>
  <c r="I1018" i="2"/>
  <c r="J1018" i="2" s="1"/>
  <c r="H1018" i="2"/>
  <c r="E1018" i="2"/>
  <c r="D1018" i="2"/>
  <c r="C1018" i="2"/>
  <c r="A1018" i="2"/>
  <c r="J1017" i="2"/>
  <c r="I1017" i="2"/>
  <c r="H1017" i="2"/>
  <c r="E1017" i="2"/>
  <c r="D1017" i="2"/>
  <c r="C1017" i="2"/>
  <c r="A1017" i="2"/>
  <c r="J1016" i="2"/>
  <c r="I1016" i="2"/>
  <c r="H1016" i="2"/>
  <c r="D1016" i="2"/>
  <c r="E1016" i="2" s="1"/>
  <c r="C1016" i="2"/>
  <c r="A1016" i="2"/>
  <c r="I1015" i="2"/>
  <c r="J1015" i="2" s="1"/>
  <c r="H1015" i="2"/>
  <c r="D1015" i="2"/>
  <c r="E1015" i="2" s="1"/>
  <c r="C1015" i="2"/>
  <c r="A1015" i="2"/>
  <c r="I1014" i="2"/>
  <c r="J1014" i="2" s="1"/>
  <c r="H1014" i="2"/>
  <c r="E1014" i="2"/>
  <c r="D1014" i="2"/>
  <c r="C1014" i="2"/>
  <c r="A1014" i="2"/>
  <c r="I1013" i="2"/>
  <c r="J1013" i="2" s="1"/>
  <c r="H1013" i="2"/>
  <c r="E1013" i="2"/>
  <c r="D1013" i="2"/>
  <c r="C1013" i="2"/>
  <c r="A1013" i="2"/>
  <c r="I1012" i="2"/>
  <c r="J1012" i="2" s="1"/>
  <c r="H1012" i="2"/>
  <c r="D1012" i="2"/>
  <c r="E1012" i="2" s="1"/>
  <c r="C1012" i="2"/>
  <c r="A1012" i="2"/>
  <c r="J1011" i="2"/>
  <c r="I1011" i="2"/>
  <c r="H1011" i="2"/>
  <c r="E1011" i="2"/>
  <c r="D1011" i="2"/>
  <c r="C1011" i="2"/>
  <c r="A1011" i="2"/>
  <c r="I1010" i="2"/>
  <c r="J1010" i="2" s="1"/>
  <c r="H1010" i="2"/>
  <c r="D1010" i="2"/>
  <c r="E1010" i="2" s="1"/>
  <c r="C1010" i="2"/>
  <c r="A1010" i="2"/>
  <c r="I1009" i="2"/>
  <c r="J1009" i="2" s="1"/>
  <c r="H1009" i="2"/>
  <c r="E1009" i="2"/>
  <c r="D1009" i="2"/>
  <c r="C1009" i="2"/>
  <c r="A1009" i="2"/>
  <c r="I1008" i="2"/>
  <c r="J1008" i="2" s="1"/>
  <c r="H1008" i="2"/>
  <c r="D1008" i="2"/>
  <c r="E1008" i="2" s="1"/>
  <c r="C1008" i="2"/>
  <c r="A1008" i="2"/>
  <c r="I1007" i="2"/>
  <c r="J1007" i="2" s="1"/>
  <c r="H1007" i="2"/>
  <c r="E1007" i="2"/>
  <c r="D1007" i="2"/>
  <c r="C1007" i="2"/>
  <c r="A1007" i="2"/>
  <c r="I1006" i="2"/>
  <c r="J1006" i="2" s="1"/>
  <c r="H1006" i="2"/>
  <c r="E1006" i="2"/>
  <c r="D1006" i="2"/>
  <c r="C1006" i="2"/>
  <c r="A1006" i="2"/>
  <c r="I1005" i="2"/>
  <c r="J1005" i="2" s="1"/>
  <c r="H1005" i="2"/>
  <c r="E1005" i="2"/>
  <c r="D1005" i="2"/>
  <c r="C1005" i="2"/>
  <c r="A1005" i="2"/>
  <c r="I1004" i="2"/>
  <c r="J1004" i="2" s="1"/>
  <c r="H1004" i="2"/>
  <c r="E1004" i="2"/>
  <c r="D1004" i="2"/>
  <c r="C1004" i="2"/>
  <c r="A1004" i="2"/>
  <c r="J1003" i="2"/>
  <c r="I1003" i="2"/>
  <c r="H1003" i="2"/>
  <c r="E1003" i="2"/>
  <c r="D1003" i="2"/>
  <c r="C1003" i="2"/>
  <c r="A1003" i="2"/>
  <c r="I1002" i="2"/>
  <c r="J1002" i="2" s="1"/>
  <c r="H1002" i="2"/>
  <c r="E1002" i="2"/>
  <c r="D1002" i="2"/>
  <c r="C1002" i="2"/>
  <c r="A1002" i="2"/>
  <c r="I1001" i="2"/>
  <c r="J1001" i="2" s="1"/>
  <c r="H1001" i="2"/>
  <c r="E1001" i="2"/>
  <c r="D1001" i="2"/>
  <c r="C1001" i="2"/>
  <c r="A1001" i="2"/>
  <c r="I1000" i="2"/>
  <c r="J1000" i="2" s="1"/>
  <c r="H1000" i="2"/>
  <c r="E1000" i="2"/>
  <c r="D1000" i="2"/>
  <c r="C1000" i="2"/>
  <c r="A1000" i="2"/>
  <c r="I999" i="2"/>
  <c r="J999" i="2" s="1"/>
  <c r="H999" i="2"/>
  <c r="D999" i="2"/>
  <c r="E999" i="2" s="1"/>
  <c r="C999" i="2"/>
  <c r="A999" i="2"/>
  <c r="I998" i="2"/>
  <c r="J998" i="2" s="1"/>
  <c r="H998" i="2"/>
  <c r="E998" i="2"/>
  <c r="D998" i="2"/>
  <c r="C998" i="2"/>
  <c r="A998" i="2"/>
  <c r="I997" i="2"/>
  <c r="J997" i="2" s="1"/>
  <c r="H997" i="2"/>
  <c r="E997" i="2"/>
  <c r="D997" i="2"/>
  <c r="C997" i="2"/>
  <c r="A997" i="2"/>
  <c r="I996" i="2"/>
  <c r="J996" i="2" s="1"/>
  <c r="H996" i="2"/>
  <c r="E996" i="2"/>
  <c r="D996" i="2"/>
  <c r="C996" i="2"/>
  <c r="A996" i="2"/>
  <c r="I995" i="2"/>
  <c r="J995" i="2" s="1"/>
  <c r="H995" i="2"/>
  <c r="E995" i="2"/>
  <c r="D995" i="2"/>
  <c r="C995" i="2"/>
  <c r="A995" i="2"/>
  <c r="J994" i="2"/>
  <c r="I994" i="2"/>
  <c r="H994" i="2"/>
  <c r="E994" i="2"/>
  <c r="D994" i="2"/>
  <c r="C994" i="2"/>
  <c r="A994" i="2"/>
  <c r="I993" i="2"/>
  <c r="J993" i="2" s="1"/>
  <c r="H993" i="2"/>
  <c r="D993" i="2"/>
  <c r="E993" i="2" s="1"/>
  <c r="C993" i="2"/>
  <c r="A993" i="2"/>
  <c r="I992" i="2"/>
  <c r="J992" i="2" s="1"/>
  <c r="H992" i="2"/>
  <c r="E992" i="2"/>
  <c r="D992" i="2"/>
  <c r="C992" i="2"/>
  <c r="A992" i="2"/>
  <c r="I991" i="2"/>
  <c r="J991" i="2" s="1"/>
  <c r="H991" i="2"/>
  <c r="E991" i="2"/>
  <c r="D991" i="2"/>
  <c r="C991" i="2"/>
  <c r="A991" i="2"/>
  <c r="I990" i="2"/>
  <c r="J990" i="2" s="1"/>
  <c r="H990" i="2"/>
  <c r="D990" i="2"/>
  <c r="E990" i="2" s="1"/>
  <c r="C990" i="2"/>
  <c r="A990" i="2"/>
  <c r="I989" i="2"/>
  <c r="J989" i="2" s="1"/>
  <c r="H989" i="2"/>
  <c r="E989" i="2"/>
  <c r="D989" i="2"/>
  <c r="C989" i="2"/>
  <c r="A989" i="2"/>
  <c r="I988" i="2"/>
  <c r="J988" i="2" s="1"/>
  <c r="H988" i="2"/>
  <c r="E988" i="2"/>
  <c r="D988" i="2"/>
  <c r="C988" i="2"/>
  <c r="A988" i="2"/>
  <c r="I987" i="2"/>
  <c r="J987" i="2" s="1"/>
  <c r="H987" i="2"/>
  <c r="E987" i="2"/>
  <c r="D987" i="2"/>
  <c r="C987" i="2"/>
  <c r="A987" i="2"/>
  <c r="I986" i="2"/>
  <c r="J986" i="2" s="1"/>
  <c r="H986" i="2"/>
  <c r="E986" i="2"/>
  <c r="D986" i="2"/>
  <c r="C986" i="2"/>
  <c r="A986" i="2"/>
  <c r="J985" i="2"/>
  <c r="I985" i="2"/>
  <c r="H985" i="2"/>
  <c r="E985" i="2"/>
  <c r="D985" i="2"/>
  <c r="C985" i="2"/>
  <c r="A985" i="2"/>
  <c r="I984" i="2"/>
  <c r="J984" i="2" s="1"/>
  <c r="H984" i="2"/>
  <c r="E984" i="2"/>
  <c r="D984" i="2"/>
  <c r="C984" i="2"/>
  <c r="A984" i="2"/>
  <c r="I983" i="2"/>
  <c r="J983" i="2" s="1"/>
  <c r="H983" i="2"/>
  <c r="E983" i="2"/>
  <c r="D983" i="2"/>
  <c r="C983" i="2"/>
  <c r="A983" i="2"/>
  <c r="J982" i="2"/>
  <c r="I982" i="2"/>
  <c r="H982" i="2"/>
  <c r="E982" i="2"/>
  <c r="D982" i="2"/>
  <c r="C982" i="2"/>
  <c r="A982" i="2"/>
  <c r="I981" i="2"/>
  <c r="J981" i="2" s="1"/>
  <c r="H981" i="2"/>
  <c r="D981" i="2"/>
  <c r="E981" i="2" s="1"/>
  <c r="C981" i="2"/>
  <c r="A981" i="2"/>
  <c r="I980" i="2"/>
  <c r="J980" i="2" s="1"/>
  <c r="H980" i="2"/>
  <c r="E980" i="2"/>
  <c r="D980" i="2"/>
  <c r="C980" i="2"/>
  <c r="A980" i="2"/>
  <c r="I979" i="2"/>
  <c r="J979" i="2" s="1"/>
  <c r="H979" i="2"/>
  <c r="E979" i="2"/>
  <c r="D979" i="2"/>
  <c r="C979" i="2"/>
  <c r="A979" i="2"/>
  <c r="I978" i="2"/>
  <c r="J978" i="2" s="1"/>
  <c r="H978" i="2"/>
  <c r="E978" i="2"/>
  <c r="D978" i="2"/>
  <c r="C978" i="2"/>
  <c r="A978" i="2"/>
  <c r="I977" i="2"/>
  <c r="J977" i="2" s="1"/>
  <c r="H977" i="2"/>
  <c r="E977" i="2"/>
  <c r="D977" i="2"/>
  <c r="C977" i="2"/>
  <c r="A977" i="2"/>
  <c r="J976" i="2"/>
  <c r="I976" i="2"/>
  <c r="H976" i="2"/>
  <c r="E976" i="2"/>
  <c r="D976" i="2"/>
  <c r="C976" i="2"/>
  <c r="A976" i="2"/>
  <c r="I975" i="2"/>
  <c r="J975" i="2" s="1"/>
  <c r="H975" i="2"/>
  <c r="E975" i="2"/>
  <c r="D975" i="2"/>
  <c r="C975" i="2"/>
  <c r="A975" i="2"/>
  <c r="I974" i="2"/>
  <c r="J974" i="2" s="1"/>
  <c r="H974" i="2"/>
  <c r="E974" i="2"/>
  <c r="D974" i="2"/>
  <c r="C974" i="2"/>
  <c r="A974" i="2"/>
  <c r="J973" i="2"/>
  <c r="I973" i="2"/>
  <c r="H973" i="2"/>
  <c r="E973" i="2"/>
  <c r="D973" i="2"/>
  <c r="C973" i="2"/>
  <c r="A973" i="2"/>
  <c r="I972" i="2"/>
  <c r="J972" i="2" s="1"/>
  <c r="H972" i="2"/>
  <c r="D972" i="2"/>
  <c r="E972" i="2" s="1"/>
  <c r="C972" i="2"/>
  <c r="A972" i="2"/>
  <c r="I971" i="2"/>
  <c r="J971" i="2" s="1"/>
  <c r="H971" i="2"/>
  <c r="E971" i="2"/>
  <c r="D971" i="2"/>
  <c r="C971" i="2"/>
  <c r="A971" i="2"/>
  <c r="I970" i="2"/>
  <c r="J970" i="2" s="1"/>
  <c r="H970" i="2"/>
  <c r="E970" i="2"/>
  <c r="D970" i="2"/>
  <c r="C970" i="2"/>
  <c r="A970" i="2"/>
  <c r="I969" i="2"/>
  <c r="J969" i="2" s="1"/>
  <c r="H969" i="2"/>
  <c r="E969" i="2"/>
  <c r="D969" i="2"/>
  <c r="C969" i="2"/>
  <c r="A969" i="2"/>
  <c r="I968" i="2"/>
  <c r="J968" i="2" s="1"/>
  <c r="H968" i="2"/>
  <c r="E968" i="2"/>
  <c r="D968" i="2"/>
  <c r="C968" i="2"/>
  <c r="A968" i="2"/>
  <c r="J967" i="2"/>
  <c r="I967" i="2"/>
  <c r="H967" i="2"/>
  <c r="E967" i="2"/>
  <c r="D967" i="2"/>
  <c r="C967" i="2"/>
  <c r="A967" i="2"/>
  <c r="I966" i="2"/>
  <c r="J966" i="2" s="1"/>
  <c r="H966" i="2"/>
  <c r="D966" i="2"/>
  <c r="E966" i="2" s="1"/>
  <c r="C966" i="2"/>
  <c r="A966" i="2"/>
  <c r="J965" i="2"/>
  <c r="I965" i="2"/>
  <c r="H965" i="2"/>
  <c r="E965" i="2"/>
  <c r="D965" i="2"/>
  <c r="C965" i="2"/>
  <c r="A965" i="2"/>
  <c r="I964" i="2"/>
  <c r="J964" i="2" s="1"/>
  <c r="H964" i="2"/>
  <c r="D964" i="2"/>
  <c r="E964" i="2" s="1"/>
  <c r="C964" i="2"/>
  <c r="A964" i="2"/>
  <c r="I963" i="2"/>
  <c r="J963" i="2" s="1"/>
  <c r="H963" i="2"/>
  <c r="D963" i="2"/>
  <c r="E963" i="2" s="1"/>
  <c r="C963" i="2"/>
  <c r="A963" i="2"/>
  <c r="I962" i="2"/>
  <c r="J962" i="2" s="1"/>
  <c r="H962" i="2"/>
  <c r="E962" i="2"/>
  <c r="D962" i="2"/>
  <c r="C962" i="2"/>
  <c r="A962" i="2"/>
  <c r="J961" i="2"/>
  <c r="I961" i="2"/>
  <c r="H961" i="2"/>
  <c r="E961" i="2"/>
  <c r="D961" i="2"/>
  <c r="C961" i="2"/>
  <c r="A961" i="2"/>
  <c r="I960" i="2"/>
  <c r="J960" i="2" s="1"/>
  <c r="H960" i="2"/>
  <c r="D960" i="2"/>
  <c r="E960" i="2" s="1"/>
  <c r="C960" i="2"/>
  <c r="A960" i="2"/>
  <c r="J959" i="2"/>
  <c r="I959" i="2"/>
  <c r="H959" i="2"/>
  <c r="E959" i="2"/>
  <c r="D959" i="2"/>
  <c r="C959" i="2"/>
  <c r="A959" i="2"/>
  <c r="J958" i="2"/>
  <c r="I958" i="2"/>
  <c r="H958" i="2"/>
  <c r="E958" i="2"/>
  <c r="D958" i="2"/>
  <c r="C958" i="2"/>
  <c r="A958" i="2"/>
  <c r="I957" i="2"/>
  <c r="J957" i="2" s="1"/>
  <c r="H957" i="2"/>
  <c r="E957" i="2"/>
  <c r="D957" i="2"/>
  <c r="C957" i="2"/>
  <c r="A957" i="2"/>
  <c r="J956" i="2"/>
  <c r="I956" i="2"/>
  <c r="H956" i="2"/>
  <c r="E956" i="2"/>
  <c r="D956" i="2"/>
  <c r="C956" i="2"/>
  <c r="A956" i="2"/>
  <c r="I955" i="2"/>
  <c r="J955" i="2" s="1"/>
  <c r="H955" i="2"/>
  <c r="E955" i="2"/>
  <c r="D955" i="2"/>
  <c r="C955" i="2"/>
  <c r="A955" i="2"/>
  <c r="I954" i="2"/>
  <c r="J954" i="2" s="1"/>
  <c r="H954" i="2"/>
  <c r="E954" i="2"/>
  <c r="D954" i="2"/>
  <c r="C954" i="2"/>
  <c r="A954" i="2"/>
  <c r="J953" i="2"/>
  <c r="I953" i="2"/>
  <c r="H953" i="2"/>
  <c r="E953" i="2"/>
  <c r="D953" i="2"/>
  <c r="C953" i="2"/>
  <c r="A953" i="2"/>
  <c r="J952" i="2"/>
  <c r="I952" i="2"/>
  <c r="H952" i="2"/>
  <c r="E952" i="2"/>
  <c r="D952" i="2"/>
  <c r="C952" i="2"/>
  <c r="A952" i="2"/>
  <c r="I951" i="2"/>
  <c r="J951" i="2" s="1"/>
  <c r="H951" i="2"/>
  <c r="E951" i="2"/>
  <c r="D951" i="2"/>
  <c r="C951" i="2"/>
  <c r="A951" i="2"/>
  <c r="I950" i="2"/>
  <c r="J950" i="2" s="1"/>
  <c r="H950" i="2"/>
  <c r="E950" i="2"/>
  <c r="D950" i="2"/>
  <c r="C950" i="2"/>
  <c r="A950" i="2"/>
  <c r="J949" i="2"/>
  <c r="I949" i="2"/>
  <c r="H949" i="2"/>
  <c r="D949" i="2"/>
  <c r="E949" i="2" s="1"/>
  <c r="C949" i="2"/>
  <c r="A949" i="2"/>
  <c r="I948" i="2"/>
  <c r="J948" i="2" s="1"/>
  <c r="H948" i="2"/>
  <c r="D948" i="2"/>
  <c r="E948" i="2" s="1"/>
  <c r="C948" i="2"/>
  <c r="A948" i="2"/>
  <c r="I947" i="2"/>
  <c r="J947" i="2" s="1"/>
  <c r="H947" i="2"/>
  <c r="E947" i="2"/>
  <c r="D947" i="2"/>
  <c r="C947" i="2"/>
  <c r="A947" i="2"/>
  <c r="J946" i="2"/>
  <c r="I946" i="2"/>
  <c r="H946" i="2"/>
  <c r="D946" i="2"/>
  <c r="E946" i="2" s="1"/>
  <c r="C946" i="2"/>
  <c r="A946" i="2"/>
  <c r="I945" i="2"/>
  <c r="J945" i="2" s="1"/>
  <c r="H945" i="2"/>
  <c r="E945" i="2"/>
  <c r="D945" i="2"/>
  <c r="C945" i="2"/>
  <c r="A945" i="2"/>
  <c r="I944" i="2"/>
  <c r="J944" i="2" s="1"/>
  <c r="H944" i="2"/>
  <c r="E944" i="2"/>
  <c r="D944" i="2"/>
  <c r="C944" i="2"/>
  <c r="A944" i="2"/>
  <c r="J943" i="2"/>
  <c r="I943" i="2"/>
  <c r="H943" i="2"/>
  <c r="E943" i="2"/>
  <c r="D943" i="2"/>
  <c r="C943" i="2"/>
  <c r="A943" i="2"/>
  <c r="I942" i="2"/>
  <c r="J942" i="2" s="1"/>
  <c r="H942" i="2"/>
  <c r="D942" i="2"/>
  <c r="E942" i="2" s="1"/>
  <c r="C942" i="2"/>
  <c r="A942" i="2"/>
  <c r="J941" i="2"/>
  <c r="I941" i="2"/>
  <c r="H941" i="2"/>
  <c r="E941" i="2"/>
  <c r="D941" i="2"/>
  <c r="C941" i="2"/>
  <c r="A941" i="2"/>
  <c r="I940" i="2"/>
  <c r="J940" i="2" s="1"/>
  <c r="H940" i="2"/>
  <c r="E940" i="2"/>
  <c r="D940" i="2"/>
  <c r="C940" i="2"/>
  <c r="A940" i="2"/>
  <c r="I939" i="2"/>
  <c r="J939" i="2" s="1"/>
  <c r="H939" i="2"/>
  <c r="E939" i="2"/>
  <c r="D939" i="2"/>
  <c r="C939" i="2"/>
  <c r="A939" i="2"/>
  <c r="J938" i="2"/>
  <c r="I938" i="2"/>
  <c r="H938" i="2"/>
  <c r="E938" i="2"/>
  <c r="D938" i="2"/>
  <c r="C938" i="2"/>
  <c r="A938" i="2"/>
  <c r="I937" i="2"/>
  <c r="J937" i="2" s="1"/>
  <c r="H937" i="2"/>
  <c r="D937" i="2"/>
  <c r="E937" i="2" s="1"/>
  <c r="C937" i="2"/>
  <c r="A937" i="2"/>
  <c r="I936" i="2"/>
  <c r="J936" i="2" s="1"/>
  <c r="H936" i="2"/>
  <c r="E936" i="2"/>
  <c r="D936" i="2"/>
  <c r="C936" i="2"/>
  <c r="A936" i="2"/>
  <c r="I935" i="2"/>
  <c r="J935" i="2" s="1"/>
  <c r="H935" i="2"/>
  <c r="E935" i="2"/>
  <c r="D935" i="2"/>
  <c r="C935" i="2"/>
  <c r="A935" i="2"/>
  <c r="J934" i="2"/>
  <c r="I934" i="2"/>
  <c r="H934" i="2"/>
  <c r="D934" i="2"/>
  <c r="E934" i="2" s="1"/>
  <c r="C934" i="2"/>
  <c r="A934" i="2"/>
  <c r="I933" i="2"/>
  <c r="J933" i="2" s="1"/>
  <c r="H933" i="2"/>
  <c r="D933" i="2"/>
  <c r="E933" i="2" s="1"/>
  <c r="C933" i="2"/>
  <c r="A933" i="2"/>
  <c r="J932" i="2"/>
  <c r="I932" i="2"/>
  <c r="H932" i="2"/>
  <c r="E932" i="2"/>
  <c r="D932" i="2"/>
  <c r="C932" i="2"/>
  <c r="A932" i="2"/>
  <c r="J931" i="2"/>
  <c r="I931" i="2"/>
  <c r="H931" i="2"/>
  <c r="E931" i="2"/>
  <c r="D931" i="2"/>
  <c r="C931" i="2"/>
  <c r="A931" i="2"/>
  <c r="I930" i="2"/>
  <c r="J930" i="2" s="1"/>
  <c r="H930" i="2"/>
  <c r="E930" i="2"/>
  <c r="D930" i="2"/>
  <c r="C930" i="2"/>
  <c r="A930" i="2"/>
  <c r="I929" i="2"/>
  <c r="J929" i="2" s="1"/>
  <c r="H929" i="2"/>
  <c r="E929" i="2"/>
  <c r="D929" i="2"/>
  <c r="C929" i="2"/>
  <c r="A929" i="2"/>
  <c r="J928" i="2"/>
  <c r="I928" i="2"/>
  <c r="H928" i="2"/>
  <c r="D928" i="2"/>
  <c r="E928" i="2" s="1"/>
  <c r="C928" i="2"/>
  <c r="A928" i="2"/>
  <c r="I927" i="2"/>
  <c r="J927" i="2" s="1"/>
  <c r="H927" i="2"/>
  <c r="D927" i="2"/>
  <c r="E927" i="2" s="1"/>
  <c r="C927" i="2"/>
  <c r="A927" i="2"/>
  <c r="I926" i="2"/>
  <c r="J926" i="2" s="1"/>
  <c r="H926" i="2"/>
  <c r="D926" i="2"/>
  <c r="E926" i="2" s="1"/>
  <c r="C926" i="2"/>
  <c r="A926" i="2"/>
  <c r="I925" i="2"/>
  <c r="J925" i="2" s="1"/>
  <c r="H925" i="2"/>
  <c r="E925" i="2"/>
  <c r="D925" i="2"/>
  <c r="C925" i="2"/>
  <c r="A925" i="2"/>
  <c r="J924" i="2"/>
  <c r="I924" i="2"/>
  <c r="H924" i="2"/>
  <c r="E924" i="2"/>
  <c r="D924" i="2"/>
  <c r="C924" i="2"/>
  <c r="A924" i="2"/>
  <c r="I923" i="2"/>
  <c r="J923" i="2" s="1"/>
  <c r="H923" i="2"/>
  <c r="E923" i="2"/>
  <c r="D923" i="2"/>
  <c r="C923" i="2"/>
  <c r="A923" i="2"/>
  <c r="J922" i="2"/>
  <c r="I922" i="2"/>
  <c r="H922" i="2"/>
  <c r="E922" i="2"/>
  <c r="D922" i="2"/>
  <c r="C922" i="2"/>
  <c r="A922" i="2"/>
  <c r="J921" i="2"/>
  <c r="I921" i="2"/>
  <c r="H921" i="2"/>
  <c r="D921" i="2"/>
  <c r="E921" i="2" s="1"/>
  <c r="C921" i="2"/>
  <c r="A921" i="2"/>
  <c r="I920" i="2"/>
  <c r="J920" i="2" s="1"/>
  <c r="H920" i="2"/>
  <c r="D920" i="2"/>
  <c r="E920" i="2" s="1"/>
  <c r="C920" i="2"/>
  <c r="A920" i="2"/>
  <c r="I919" i="2"/>
  <c r="J919" i="2" s="1"/>
  <c r="H919" i="2"/>
  <c r="E919" i="2"/>
  <c r="D919" i="2"/>
  <c r="C919" i="2"/>
  <c r="A919" i="2"/>
  <c r="J918" i="2"/>
  <c r="I918" i="2"/>
  <c r="H918" i="2"/>
  <c r="D918" i="2"/>
  <c r="E918" i="2" s="1"/>
  <c r="C918" i="2"/>
  <c r="A918" i="2"/>
  <c r="I917" i="2"/>
  <c r="J917" i="2" s="1"/>
  <c r="H917" i="2"/>
  <c r="D917" i="2"/>
  <c r="E917" i="2" s="1"/>
  <c r="C917" i="2"/>
  <c r="A917" i="2"/>
  <c r="I916" i="2"/>
  <c r="J916" i="2" s="1"/>
  <c r="H916" i="2"/>
  <c r="E916" i="2"/>
  <c r="D916" i="2"/>
  <c r="C916" i="2"/>
  <c r="A916" i="2"/>
  <c r="J915" i="2"/>
  <c r="I915" i="2"/>
  <c r="H915" i="2"/>
  <c r="E915" i="2"/>
  <c r="D915" i="2"/>
  <c r="C915" i="2"/>
  <c r="A915" i="2"/>
  <c r="I914" i="2"/>
  <c r="J914" i="2" s="1"/>
  <c r="H914" i="2"/>
  <c r="E914" i="2"/>
  <c r="D914" i="2"/>
  <c r="C914" i="2"/>
  <c r="A914" i="2"/>
  <c r="J913" i="2"/>
  <c r="I913" i="2"/>
  <c r="H913" i="2"/>
  <c r="E913" i="2"/>
  <c r="D913" i="2"/>
  <c r="C913" i="2"/>
  <c r="A913" i="2"/>
  <c r="J912" i="2"/>
  <c r="I912" i="2"/>
  <c r="H912" i="2"/>
  <c r="D912" i="2"/>
  <c r="E912" i="2" s="1"/>
  <c r="C912" i="2"/>
  <c r="A912" i="2"/>
  <c r="I911" i="2"/>
  <c r="J911" i="2" s="1"/>
  <c r="H911" i="2"/>
  <c r="D911" i="2"/>
  <c r="E911" i="2" s="1"/>
  <c r="C911" i="2"/>
  <c r="A911" i="2"/>
  <c r="J910" i="2"/>
  <c r="I910" i="2"/>
  <c r="H910" i="2"/>
  <c r="E910" i="2"/>
  <c r="D910" i="2"/>
  <c r="C910" i="2"/>
  <c r="A910" i="2"/>
  <c r="J909" i="2"/>
  <c r="I909" i="2"/>
  <c r="H909" i="2"/>
  <c r="D909" i="2"/>
  <c r="E909" i="2" s="1"/>
  <c r="C909" i="2"/>
  <c r="A909" i="2"/>
  <c r="I908" i="2"/>
  <c r="J908" i="2" s="1"/>
  <c r="H908" i="2"/>
  <c r="D908" i="2"/>
  <c r="E908" i="2" s="1"/>
  <c r="C908" i="2"/>
  <c r="A908" i="2"/>
  <c r="I907" i="2"/>
  <c r="J907" i="2" s="1"/>
  <c r="H907" i="2"/>
  <c r="E907" i="2"/>
  <c r="D907" i="2"/>
  <c r="C907" i="2"/>
  <c r="A907" i="2"/>
  <c r="I906" i="2"/>
  <c r="J906" i="2" s="1"/>
  <c r="H906" i="2"/>
  <c r="D906" i="2"/>
  <c r="E906" i="2" s="1"/>
  <c r="C906" i="2"/>
  <c r="A906" i="2"/>
  <c r="I905" i="2"/>
  <c r="J905" i="2" s="1"/>
  <c r="H905" i="2"/>
  <c r="D905" i="2"/>
  <c r="E905" i="2" s="1"/>
  <c r="C905" i="2"/>
  <c r="A905" i="2"/>
  <c r="I904" i="2"/>
  <c r="J904" i="2" s="1"/>
  <c r="H904" i="2"/>
  <c r="E904" i="2"/>
  <c r="D904" i="2"/>
  <c r="C904" i="2"/>
  <c r="A904" i="2"/>
  <c r="I903" i="2"/>
  <c r="J903" i="2" s="1"/>
  <c r="H903" i="2"/>
  <c r="E903" i="2"/>
  <c r="D903" i="2"/>
  <c r="C903" i="2"/>
  <c r="A903" i="2"/>
  <c r="I902" i="2"/>
  <c r="J902" i="2" s="1"/>
  <c r="H902" i="2"/>
  <c r="D902" i="2"/>
  <c r="E902" i="2" s="1"/>
  <c r="C902" i="2"/>
  <c r="A902" i="2"/>
  <c r="J901" i="2"/>
  <c r="I901" i="2"/>
  <c r="H901" i="2"/>
  <c r="E901" i="2"/>
  <c r="D901" i="2"/>
  <c r="C901" i="2"/>
  <c r="A901" i="2"/>
  <c r="I900" i="2"/>
  <c r="J900" i="2" s="1"/>
  <c r="H900" i="2"/>
  <c r="E900" i="2"/>
  <c r="D900" i="2"/>
  <c r="C900" i="2"/>
  <c r="A900" i="2"/>
  <c r="I899" i="2"/>
  <c r="J899" i="2" s="1"/>
  <c r="H899" i="2"/>
  <c r="E899" i="2"/>
  <c r="D899" i="2"/>
  <c r="C899" i="2"/>
  <c r="A899" i="2"/>
  <c r="J898" i="2"/>
  <c r="I898" i="2"/>
  <c r="H898" i="2"/>
  <c r="E898" i="2"/>
  <c r="D898" i="2"/>
  <c r="C898" i="2"/>
  <c r="A898" i="2"/>
  <c r="I897" i="2"/>
  <c r="J897" i="2" s="1"/>
  <c r="H897" i="2"/>
  <c r="E897" i="2"/>
  <c r="D897" i="2"/>
  <c r="C897" i="2"/>
  <c r="A897" i="2"/>
  <c r="I896" i="2"/>
  <c r="J896" i="2" s="1"/>
  <c r="H896" i="2"/>
  <c r="E896" i="2"/>
  <c r="D896" i="2"/>
  <c r="C896" i="2"/>
  <c r="A896" i="2"/>
  <c r="I895" i="2"/>
  <c r="J895" i="2" s="1"/>
  <c r="H895" i="2"/>
  <c r="E895" i="2"/>
  <c r="D895" i="2"/>
  <c r="C895" i="2"/>
  <c r="A895" i="2"/>
  <c r="J894" i="2"/>
  <c r="I894" i="2"/>
  <c r="H894" i="2"/>
  <c r="E894" i="2"/>
  <c r="D894" i="2"/>
  <c r="C894" i="2"/>
  <c r="A894" i="2"/>
  <c r="I893" i="2"/>
  <c r="J893" i="2" s="1"/>
  <c r="H893" i="2"/>
  <c r="E893" i="2"/>
  <c r="D893" i="2"/>
  <c r="C893" i="2"/>
  <c r="A893" i="2"/>
  <c r="I892" i="2"/>
  <c r="J892" i="2" s="1"/>
  <c r="H892" i="2"/>
  <c r="E892" i="2"/>
  <c r="D892" i="2"/>
  <c r="C892" i="2"/>
  <c r="A892" i="2"/>
  <c r="J891" i="2"/>
  <c r="I891" i="2"/>
  <c r="H891" i="2"/>
  <c r="D891" i="2"/>
  <c r="E891" i="2" s="1"/>
  <c r="C891" i="2"/>
  <c r="A891" i="2"/>
  <c r="I890" i="2"/>
  <c r="J890" i="2" s="1"/>
  <c r="H890" i="2"/>
  <c r="E890" i="2"/>
  <c r="D890" i="2"/>
  <c r="C890" i="2"/>
  <c r="A890" i="2"/>
  <c r="I889" i="2"/>
  <c r="J889" i="2" s="1"/>
  <c r="H889" i="2"/>
  <c r="E889" i="2"/>
  <c r="D889" i="2"/>
  <c r="C889" i="2"/>
  <c r="A889" i="2"/>
  <c r="J888" i="2"/>
  <c r="I888" i="2"/>
  <c r="H888" i="2"/>
  <c r="D888" i="2"/>
  <c r="E888" i="2" s="1"/>
  <c r="C888" i="2"/>
  <c r="A888" i="2"/>
  <c r="I887" i="2"/>
  <c r="J887" i="2" s="1"/>
  <c r="H887" i="2"/>
  <c r="D887" i="2"/>
  <c r="E887" i="2" s="1"/>
  <c r="C887" i="2"/>
  <c r="A887" i="2"/>
  <c r="I886" i="2"/>
  <c r="J886" i="2" s="1"/>
  <c r="H886" i="2"/>
  <c r="E886" i="2"/>
  <c r="D886" i="2"/>
  <c r="C886" i="2"/>
  <c r="A886" i="2"/>
  <c r="J885" i="2"/>
  <c r="I885" i="2"/>
  <c r="H885" i="2"/>
  <c r="E885" i="2"/>
  <c r="D885" i="2"/>
  <c r="C885" i="2"/>
  <c r="A885" i="2"/>
  <c r="I884" i="2"/>
  <c r="J884" i="2" s="1"/>
  <c r="H884" i="2"/>
  <c r="D884" i="2"/>
  <c r="E884" i="2" s="1"/>
  <c r="C884" i="2"/>
  <c r="A884" i="2"/>
  <c r="J883" i="2"/>
  <c r="I883" i="2"/>
  <c r="H883" i="2"/>
  <c r="E883" i="2"/>
  <c r="D883" i="2"/>
  <c r="C883" i="2"/>
  <c r="A883" i="2"/>
  <c r="I882" i="2"/>
  <c r="J882" i="2" s="1"/>
  <c r="H882" i="2"/>
  <c r="E882" i="2"/>
  <c r="D882" i="2"/>
  <c r="C882" i="2"/>
  <c r="A882" i="2"/>
  <c r="I881" i="2"/>
  <c r="J881" i="2" s="1"/>
  <c r="H881" i="2"/>
  <c r="E881" i="2"/>
  <c r="D881" i="2"/>
  <c r="C881" i="2"/>
  <c r="A881" i="2"/>
  <c r="J880" i="2"/>
  <c r="I880" i="2"/>
  <c r="H880" i="2"/>
  <c r="E880" i="2"/>
  <c r="D880" i="2"/>
  <c r="C880" i="2"/>
  <c r="A880" i="2"/>
  <c r="I879" i="2"/>
  <c r="J879" i="2" s="1"/>
  <c r="H879" i="2"/>
  <c r="E879" i="2"/>
  <c r="D879" i="2"/>
  <c r="C879" i="2"/>
  <c r="A879" i="2"/>
  <c r="I878" i="2"/>
  <c r="J878" i="2" s="1"/>
  <c r="H878" i="2"/>
  <c r="E878" i="2"/>
  <c r="D878" i="2"/>
  <c r="C878" i="2"/>
  <c r="A878" i="2"/>
  <c r="J877" i="2"/>
  <c r="I877" i="2"/>
  <c r="H877" i="2"/>
  <c r="E877" i="2"/>
  <c r="D877" i="2"/>
  <c r="C877" i="2"/>
  <c r="A877" i="2"/>
  <c r="J876" i="2"/>
  <c r="I876" i="2"/>
  <c r="H876" i="2"/>
  <c r="D876" i="2"/>
  <c r="E876" i="2" s="1"/>
  <c r="C876" i="2"/>
  <c r="A876" i="2"/>
  <c r="I875" i="2"/>
  <c r="J875" i="2" s="1"/>
  <c r="H875" i="2"/>
  <c r="D875" i="2"/>
  <c r="E875" i="2" s="1"/>
  <c r="C875" i="2"/>
  <c r="A875" i="2"/>
  <c r="I874" i="2"/>
  <c r="J874" i="2" s="1"/>
  <c r="H874" i="2"/>
  <c r="E874" i="2"/>
  <c r="D874" i="2"/>
  <c r="C874" i="2"/>
  <c r="A874" i="2"/>
  <c r="J873" i="2"/>
  <c r="I873" i="2"/>
  <c r="H873" i="2"/>
  <c r="D873" i="2"/>
  <c r="E873" i="2" s="1"/>
  <c r="C873" i="2"/>
  <c r="A873" i="2"/>
  <c r="I872" i="2"/>
  <c r="J872" i="2" s="1"/>
  <c r="H872" i="2"/>
  <c r="E872" i="2"/>
  <c r="D872" i="2"/>
  <c r="C872" i="2"/>
  <c r="A872" i="2"/>
  <c r="I871" i="2"/>
  <c r="J871" i="2" s="1"/>
  <c r="H871" i="2"/>
  <c r="E871" i="2"/>
  <c r="D871" i="2"/>
  <c r="C871" i="2"/>
  <c r="A871" i="2"/>
  <c r="J870" i="2"/>
  <c r="I870" i="2"/>
  <c r="H870" i="2"/>
  <c r="D870" i="2"/>
  <c r="E870" i="2" s="1"/>
  <c r="C870" i="2"/>
  <c r="A870" i="2"/>
  <c r="I869" i="2"/>
  <c r="J869" i="2" s="1"/>
  <c r="H869" i="2"/>
  <c r="D869" i="2"/>
  <c r="E869" i="2" s="1"/>
  <c r="C869" i="2"/>
  <c r="A869" i="2"/>
  <c r="I868" i="2"/>
  <c r="J868" i="2" s="1"/>
  <c r="H868" i="2"/>
  <c r="E868" i="2"/>
  <c r="D868" i="2"/>
  <c r="C868" i="2"/>
  <c r="A868" i="2"/>
  <c r="J867" i="2"/>
  <c r="I867" i="2"/>
  <c r="H867" i="2"/>
  <c r="E867" i="2"/>
  <c r="D867" i="2"/>
  <c r="C867" i="2"/>
  <c r="A867" i="2"/>
  <c r="I866" i="2"/>
  <c r="J866" i="2" s="1"/>
  <c r="H866" i="2"/>
  <c r="D866" i="2"/>
  <c r="E866" i="2" s="1"/>
  <c r="C866" i="2"/>
  <c r="A866" i="2"/>
  <c r="J865" i="2"/>
  <c r="I865" i="2"/>
  <c r="H865" i="2"/>
  <c r="E865" i="2"/>
  <c r="D865" i="2"/>
  <c r="C865" i="2"/>
  <c r="A865" i="2"/>
  <c r="I864" i="2"/>
  <c r="J864" i="2" s="1"/>
  <c r="H864" i="2"/>
  <c r="E864" i="2"/>
  <c r="D864" i="2"/>
  <c r="C864" i="2"/>
  <c r="A864" i="2"/>
  <c r="I863" i="2"/>
  <c r="J863" i="2" s="1"/>
  <c r="H863" i="2"/>
  <c r="E863" i="2"/>
  <c r="D863" i="2"/>
  <c r="C863" i="2"/>
  <c r="A863" i="2"/>
  <c r="J862" i="2"/>
  <c r="I862" i="2"/>
  <c r="H862" i="2"/>
  <c r="E862" i="2"/>
  <c r="D862" i="2"/>
  <c r="C862" i="2"/>
  <c r="A862" i="2"/>
  <c r="I861" i="2"/>
  <c r="J861" i="2" s="1"/>
  <c r="H861" i="2"/>
  <c r="D861" i="2"/>
  <c r="E861" i="2" s="1"/>
  <c r="C861" i="2"/>
  <c r="A861" i="2"/>
  <c r="I860" i="2"/>
  <c r="J860" i="2" s="1"/>
  <c r="H860" i="2"/>
  <c r="E860" i="2"/>
  <c r="D860" i="2"/>
  <c r="C860" i="2"/>
  <c r="A860" i="2"/>
  <c r="J859" i="2"/>
  <c r="I859" i="2"/>
  <c r="H859" i="2"/>
  <c r="E859" i="2"/>
  <c r="D859" i="2"/>
  <c r="C859" i="2"/>
  <c r="A859" i="2"/>
  <c r="J858" i="2"/>
  <c r="I858" i="2"/>
  <c r="H858" i="2"/>
  <c r="E858" i="2"/>
  <c r="D858" i="2"/>
  <c r="C858" i="2"/>
  <c r="A858" i="2"/>
  <c r="I857" i="2"/>
  <c r="J857" i="2" s="1"/>
  <c r="H857" i="2"/>
  <c r="E857" i="2"/>
  <c r="D857" i="2"/>
  <c r="C857" i="2"/>
  <c r="A857" i="2"/>
  <c r="I856" i="2"/>
  <c r="J856" i="2" s="1"/>
  <c r="H856" i="2"/>
  <c r="E856" i="2"/>
  <c r="D856" i="2"/>
  <c r="C856" i="2"/>
  <c r="A856" i="2"/>
  <c r="J855" i="2"/>
  <c r="I855" i="2"/>
  <c r="H855" i="2"/>
  <c r="D855" i="2"/>
  <c r="E855" i="2" s="1"/>
  <c r="C855" i="2"/>
  <c r="A855" i="2"/>
  <c r="I854" i="2"/>
  <c r="J854" i="2" s="1"/>
  <c r="H854" i="2"/>
  <c r="D854" i="2"/>
  <c r="E854" i="2" s="1"/>
  <c r="C854" i="2"/>
  <c r="A854" i="2"/>
  <c r="I853" i="2"/>
  <c r="J853" i="2" s="1"/>
  <c r="H853" i="2"/>
  <c r="E853" i="2"/>
  <c r="D853" i="2"/>
  <c r="C853" i="2"/>
  <c r="A853" i="2"/>
  <c r="J852" i="2"/>
  <c r="I852" i="2"/>
  <c r="H852" i="2"/>
  <c r="D852" i="2"/>
  <c r="E852" i="2" s="1"/>
  <c r="C852" i="2"/>
  <c r="A852" i="2"/>
  <c r="I851" i="2"/>
  <c r="J851" i="2" s="1"/>
  <c r="H851" i="2"/>
  <c r="D851" i="2"/>
  <c r="E851" i="2" s="1"/>
  <c r="C851" i="2"/>
  <c r="A851" i="2"/>
  <c r="I850" i="2"/>
  <c r="J850" i="2" s="1"/>
  <c r="H850" i="2"/>
  <c r="D850" i="2"/>
  <c r="E850" i="2" s="1"/>
  <c r="C850" i="2"/>
  <c r="A850" i="2"/>
  <c r="J849" i="2"/>
  <c r="I849" i="2"/>
  <c r="H849" i="2"/>
  <c r="E849" i="2"/>
  <c r="D849" i="2"/>
  <c r="C849" i="2"/>
  <c r="A849" i="2"/>
  <c r="J848" i="2"/>
  <c r="I848" i="2"/>
  <c r="H848" i="2"/>
  <c r="D848" i="2"/>
  <c r="E848" i="2" s="1"/>
  <c r="C848" i="2"/>
  <c r="A848" i="2"/>
  <c r="I847" i="2"/>
  <c r="J847" i="2" s="1"/>
  <c r="H847" i="2"/>
  <c r="D847" i="2"/>
  <c r="E847" i="2" s="1"/>
  <c r="C847" i="2"/>
  <c r="A847" i="2"/>
  <c r="I846" i="2"/>
  <c r="J846" i="2" s="1"/>
  <c r="H846" i="2"/>
  <c r="E846" i="2"/>
  <c r="D846" i="2"/>
  <c r="C846" i="2"/>
  <c r="A846" i="2"/>
  <c r="J845" i="2"/>
  <c r="I845" i="2"/>
  <c r="H845" i="2"/>
  <c r="D845" i="2"/>
  <c r="E845" i="2" s="1"/>
  <c r="C845" i="2"/>
  <c r="A845" i="2"/>
  <c r="I844" i="2"/>
  <c r="J844" i="2" s="1"/>
  <c r="H844" i="2"/>
  <c r="E844" i="2"/>
  <c r="D844" i="2"/>
  <c r="C844" i="2"/>
  <c r="A844" i="2"/>
  <c r="I843" i="2"/>
  <c r="J843" i="2" s="1"/>
  <c r="H843" i="2"/>
  <c r="E843" i="2"/>
  <c r="D843" i="2"/>
  <c r="C843" i="2"/>
  <c r="A843" i="2"/>
  <c r="J842" i="2"/>
  <c r="I842" i="2"/>
  <c r="H842" i="2"/>
  <c r="D842" i="2"/>
  <c r="E842" i="2" s="1"/>
  <c r="C842" i="2"/>
  <c r="A842" i="2"/>
  <c r="I841" i="2"/>
  <c r="J841" i="2" s="1"/>
  <c r="H841" i="2"/>
  <c r="D841" i="2"/>
  <c r="E841" i="2" s="1"/>
  <c r="C841" i="2"/>
  <c r="A841" i="2"/>
  <c r="J840" i="2"/>
  <c r="I840" i="2"/>
  <c r="H840" i="2"/>
  <c r="E840" i="2"/>
  <c r="D840" i="2"/>
  <c r="C840" i="2"/>
  <c r="A840" i="2"/>
  <c r="J839" i="2"/>
  <c r="I839" i="2"/>
  <c r="H839" i="2"/>
  <c r="D839" i="2"/>
  <c r="E839" i="2" s="1"/>
  <c r="C839" i="2"/>
  <c r="A839" i="2"/>
  <c r="I838" i="2"/>
  <c r="J838" i="2" s="1"/>
  <c r="H838" i="2"/>
  <c r="D838" i="2"/>
  <c r="E838" i="2" s="1"/>
  <c r="C838" i="2"/>
  <c r="A838" i="2"/>
  <c r="I837" i="2"/>
  <c r="J837" i="2" s="1"/>
  <c r="H837" i="2"/>
  <c r="E837" i="2"/>
  <c r="D837" i="2"/>
  <c r="C837" i="2"/>
  <c r="A837" i="2"/>
  <c r="J836" i="2"/>
  <c r="I836" i="2"/>
  <c r="H836" i="2"/>
  <c r="D836" i="2"/>
  <c r="E836" i="2" s="1"/>
  <c r="C836" i="2"/>
  <c r="A836" i="2"/>
  <c r="I835" i="2"/>
  <c r="J835" i="2" s="1"/>
  <c r="H835" i="2"/>
  <c r="E835" i="2"/>
  <c r="D835" i="2"/>
  <c r="C835" i="2"/>
  <c r="A835" i="2"/>
  <c r="J834" i="2"/>
  <c r="I834" i="2"/>
  <c r="H834" i="2"/>
  <c r="E834" i="2"/>
  <c r="D834" i="2"/>
  <c r="C834" i="2"/>
  <c r="A834" i="2"/>
  <c r="J833" i="2"/>
  <c r="I833" i="2"/>
  <c r="H833" i="2"/>
  <c r="D833" i="2"/>
  <c r="E833" i="2" s="1"/>
  <c r="C833" i="2"/>
  <c r="A833" i="2"/>
  <c r="I832" i="2"/>
  <c r="J832" i="2" s="1"/>
  <c r="H832" i="2"/>
  <c r="D832" i="2"/>
  <c r="E832" i="2" s="1"/>
  <c r="C832" i="2"/>
  <c r="A832" i="2"/>
  <c r="I831" i="2"/>
  <c r="J831" i="2" s="1"/>
  <c r="H831" i="2"/>
  <c r="E831" i="2"/>
  <c r="D831" i="2"/>
  <c r="C831" i="2"/>
  <c r="A831" i="2"/>
  <c r="J830" i="2"/>
  <c r="I830" i="2"/>
  <c r="H830" i="2"/>
  <c r="D830" i="2"/>
  <c r="E830" i="2" s="1"/>
  <c r="C830" i="2"/>
  <c r="A830" i="2"/>
  <c r="I829" i="2"/>
  <c r="J829" i="2" s="1"/>
  <c r="H829" i="2"/>
  <c r="D829" i="2"/>
  <c r="E829" i="2" s="1"/>
  <c r="C829" i="2"/>
  <c r="A829" i="2"/>
  <c r="I828" i="2"/>
  <c r="J828" i="2" s="1"/>
  <c r="H828" i="2"/>
  <c r="E828" i="2"/>
  <c r="D828" i="2"/>
  <c r="C828" i="2"/>
  <c r="A828" i="2"/>
  <c r="J827" i="2"/>
  <c r="I827" i="2"/>
  <c r="H827" i="2"/>
  <c r="D827" i="2"/>
  <c r="E827" i="2" s="1"/>
  <c r="C827" i="2"/>
  <c r="A827" i="2"/>
  <c r="I826" i="2"/>
  <c r="J826" i="2" s="1"/>
  <c r="H826" i="2"/>
  <c r="D826" i="2"/>
  <c r="E826" i="2" s="1"/>
  <c r="C826" i="2"/>
  <c r="A826" i="2"/>
  <c r="I825" i="2"/>
  <c r="J825" i="2" s="1"/>
  <c r="H825" i="2"/>
  <c r="E825" i="2"/>
  <c r="D825" i="2"/>
  <c r="C825" i="2"/>
  <c r="A825" i="2"/>
  <c r="J824" i="2"/>
  <c r="I824" i="2"/>
  <c r="H824" i="2"/>
  <c r="D824" i="2"/>
  <c r="E824" i="2" s="1"/>
  <c r="C824" i="2"/>
  <c r="A824" i="2"/>
  <c r="I823" i="2"/>
  <c r="J823" i="2" s="1"/>
  <c r="H823" i="2"/>
  <c r="D823" i="2"/>
  <c r="E823" i="2" s="1"/>
  <c r="C823" i="2"/>
  <c r="A823" i="2"/>
  <c r="I822" i="2"/>
  <c r="J822" i="2" s="1"/>
  <c r="H822" i="2"/>
  <c r="E822" i="2"/>
  <c r="D822" i="2"/>
  <c r="C822" i="2"/>
  <c r="A822" i="2"/>
  <c r="J821" i="2"/>
  <c r="I821" i="2"/>
  <c r="H821" i="2"/>
  <c r="D821" i="2"/>
  <c r="E821" i="2" s="1"/>
  <c r="C821" i="2"/>
  <c r="A821" i="2"/>
  <c r="I820" i="2"/>
  <c r="J820" i="2" s="1"/>
  <c r="H820" i="2"/>
  <c r="D820" i="2"/>
  <c r="E820" i="2" s="1"/>
  <c r="C820" i="2"/>
  <c r="A820" i="2"/>
  <c r="I819" i="2"/>
  <c r="J819" i="2" s="1"/>
  <c r="H819" i="2"/>
  <c r="E819" i="2"/>
  <c r="D819" i="2"/>
  <c r="C819" i="2"/>
  <c r="A819" i="2"/>
  <c r="J818" i="2"/>
  <c r="I818" i="2"/>
  <c r="H818" i="2"/>
  <c r="D818" i="2"/>
  <c r="E818" i="2" s="1"/>
  <c r="C818" i="2"/>
  <c r="A818" i="2"/>
  <c r="I817" i="2"/>
  <c r="J817" i="2" s="1"/>
  <c r="H817" i="2"/>
  <c r="D817" i="2"/>
  <c r="E817" i="2" s="1"/>
  <c r="C817" i="2"/>
  <c r="A817" i="2"/>
  <c r="I816" i="2"/>
  <c r="J816" i="2" s="1"/>
  <c r="H816" i="2"/>
  <c r="E816" i="2"/>
  <c r="D816" i="2"/>
  <c r="C816" i="2"/>
  <c r="A816" i="2"/>
  <c r="J815" i="2"/>
  <c r="I815" i="2"/>
  <c r="H815" i="2"/>
  <c r="D815" i="2"/>
  <c r="E815" i="2" s="1"/>
  <c r="C815" i="2"/>
  <c r="A815" i="2"/>
  <c r="I814" i="2"/>
  <c r="J814" i="2" s="1"/>
  <c r="H814" i="2"/>
  <c r="D814" i="2"/>
  <c r="E814" i="2" s="1"/>
  <c r="C814" i="2"/>
  <c r="A814" i="2"/>
  <c r="I813" i="2"/>
  <c r="J813" i="2" s="1"/>
  <c r="H813" i="2"/>
  <c r="E813" i="2"/>
  <c r="D813" i="2"/>
  <c r="C813" i="2"/>
  <c r="A813" i="2"/>
  <c r="J812" i="2"/>
  <c r="I812" i="2"/>
  <c r="H812" i="2"/>
  <c r="D812" i="2"/>
  <c r="E812" i="2" s="1"/>
  <c r="C812" i="2"/>
  <c r="A812" i="2"/>
  <c r="I811" i="2"/>
  <c r="J811" i="2" s="1"/>
  <c r="H811" i="2"/>
  <c r="E811" i="2"/>
  <c r="D811" i="2"/>
  <c r="C811" i="2"/>
  <c r="A811" i="2"/>
  <c r="I810" i="2"/>
  <c r="J810" i="2" s="1"/>
  <c r="H810" i="2"/>
  <c r="E810" i="2"/>
  <c r="D810" i="2"/>
  <c r="C810" i="2"/>
  <c r="A810" i="2"/>
  <c r="J809" i="2"/>
  <c r="I809" i="2"/>
  <c r="H809" i="2"/>
  <c r="D809" i="2"/>
  <c r="E809" i="2" s="1"/>
  <c r="C809" i="2"/>
  <c r="A809" i="2"/>
  <c r="I808" i="2"/>
  <c r="J808" i="2" s="1"/>
  <c r="H808" i="2"/>
  <c r="D808" i="2"/>
  <c r="E808" i="2" s="1"/>
  <c r="C808" i="2"/>
  <c r="A808" i="2"/>
  <c r="I807" i="2"/>
  <c r="J807" i="2" s="1"/>
  <c r="H807" i="2"/>
  <c r="E807" i="2"/>
  <c r="D807" i="2"/>
  <c r="C807" i="2"/>
  <c r="A807" i="2"/>
  <c r="J806" i="2"/>
  <c r="I806" i="2"/>
  <c r="H806" i="2"/>
  <c r="D806" i="2"/>
  <c r="E806" i="2" s="1"/>
  <c r="C806" i="2"/>
  <c r="A806" i="2"/>
  <c r="I805" i="2"/>
  <c r="J805" i="2" s="1"/>
  <c r="H805" i="2"/>
  <c r="D805" i="2"/>
  <c r="E805" i="2" s="1"/>
  <c r="C805" i="2"/>
  <c r="A805" i="2"/>
  <c r="I804" i="2"/>
  <c r="J804" i="2" s="1"/>
  <c r="H804" i="2"/>
  <c r="E804" i="2"/>
  <c r="D804" i="2"/>
  <c r="C804" i="2"/>
  <c r="A804" i="2"/>
  <c r="J803" i="2"/>
  <c r="I803" i="2"/>
  <c r="H803" i="2"/>
  <c r="D803" i="2"/>
  <c r="E803" i="2" s="1"/>
  <c r="C803" i="2"/>
  <c r="A803" i="2"/>
  <c r="I802" i="2"/>
  <c r="J802" i="2" s="1"/>
  <c r="H802" i="2"/>
  <c r="E802" i="2"/>
  <c r="D802" i="2"/>
  <c r="C802" i="2"/>
  <c r="A802" i="2"/>
  <c r="I801" i="2"/>
  <c r="J801" i="2" s="1"/>
  <c r="H801" i="2"/>
  <c r="E801" i="2"/>
  <c r="D801" i="2"/>
  <c r="C801" i="2"/>
  <c r="A801" i="2"/>
  <c r="J800" i="2"/>
  <c r="I800" i="2"/>
  <c r="H800" i="2"/>
  <c r="D800" i="2"/>
  <c r="E800" i="2" s="1"/>
  <c r="C800" i="2"/>
  <c r="A800" i="2"/>
  <c r="I799" i="2"/>
  <c r="J799" i="2" s="1"/>
  <c r="H799" i="2"/>
  <c r="D799" i="2"/>
  <c r="E799" i="2" s="1"/>
  <c r="C799" i="2"/>
  <c r="A799" i="2"/>
  <c r="I798" i="2"/>
  <c r="J798" i="2" s="1"/>
  <c r="H798" i="2"/>
  <c r="E798" i="2"/>
  <c r="D798" i="2"/>
  <c r="C798" i="2"/>
  <c r="A798" i="2"/>
  <c r="J797" i="2"/>
  <c r="I797" i="2"/>
  <c r="H797" i="2"/>
  <c r="D797" i="2"/>
  <c r="E797" i="2" s="1"/>
  <c r="C797" i="2"/>
  <c r="A797" i="2"/>
  <c r="I796" i="2"/>
  <c r="J796" i="2" s="1"/>
  <c r="H796" i="2"/>
  <c r="D796" i="2"/>
  <c r="E796" i="2" s="1"/>
  <c r="C796" i="2"/>
  <c r="A796" i="2"/>
  <c r="I795" i="2"/>
  <c r="J795" i="2" s="1"/>
  <c r="H795" i="2"/>
  <c r="E795" i="2"/>
  <c r="D795" i="2"/>
  <c r="C795" i="2"/>
  <c r="A795" i="2"/>
  <c r="J794" i="2"/>
  <c r="I794" i="2"/>
  <c r="H794" i="2"/>
  <c r="D794" i="2"/>
  <c r="E794" i="2" s="1"/>
  <c r="C794" i="2"/>
  <c r="A794" i="2"/>
  <c r="I793" i="2"/>
  <c r="J793" i="2" s="1"/>
  <c r="H793" i="2"/>
  <c r="D793" i="2"/>
  <c r="E793" i="2" s="1"/>
  <c r="C793" i="2"/>
  <c r="A793" i="2"/>
  <c r="I792" i="2"/>
  <c r="J792" i="2" s="1"/>
  <c r="H792" i="2"/>
  <c r="E792" i="2"/>
  <c r="D792" i="2"/>
  <c r="C792" i="2"/>
  <c r="A792" i="2"/>
  <c r="J791" i="2"/>
  <c r="I791" i="2"/>
  <c r="H791" i="2"/>
  <c r="D791" i="2"/>
  <c r="E791" i="2" s="1"/>
  <c r="C791" i="2"/>
  <c r="A791" i="2"/>
  <c r="I790" i="2"/>
  <c r="J790" i="2" s="1"/>
  <c r="H790" i="2"/>
  <c r="D790" i="2"/>
  <c r="E790" i="2" s="1"/>
  <c r="C790" i="2"/>
  <c r="A790" i="2"/>
  <c r="J789" i="2"/>
  <c r="I789" i="2"/>
  <c r="H789" i="2"/>
  <c r="E789" i="2"/>
  <c r="D789" i="2"/>
  <c r="C789" i="2"/>
  <c r="A789" i="2"/>
  <c r="J788" i="2"/>
  <c r="I788" i="2"/>
  <c r="H788" i="2"/>
  <c r="D788" i="2"/>
  <c r="E788" i="2" s="1"/>
  <c r="C788" i="2"/>
  <c r="A788" i="2"/>
  <c r="I787" i="2"/>
  <c r="J787" i="2" s="1"/>
  <c r="H787" i="2"/>
  <c r="D787" i="2"/>
  <c r="E787" i="2" s="1"/>
  <c r="C787" i="2"/>
  <c r="A787" i="2"/>
  <c r="I786" i="2"/>
  <c r="J786" i="2" s="1"/>
  <c r="H786" i="2"/>
  <c r="E786" i="2"/>
  <c r="D786" i="2"/>
  <c r="C786" i="2"/>
  <c r="A786" i="2"/>
  <c r="J785" i="2"/>
  <c r="I785" i="2"/>
  <c r="H785" i="2"/>
  <c r="D785" i="2"/>
  <c r="E785" i="2" s="1"/>
  <c r="C785" i="2"/>
  <c r="A785" i="2"/>
  <c r="I784" i="2"/>
  <c r="J784" i="2" s="1"/>
  <c r="H784" i="2"/>
  <c r="D784" i="2"/>
  <c r="E784" i="2" s="1"/>
  <c r="C784" i="2"/>
  <c r="A784" i="2"/>
  <c r="I783" i="2"/>
  <c r="J783" i="2" s="1"/>
  <c r="H783" i="2"/>
  <c r="E783" i="2"/>
  <c r="D783" i="2"/>
  <c r="C783" i="2"/>
  <c r="A783" i="2"/>
  <c r="J782" i="2"/>
  <c r="I782" i="2"/>
  <c r="H782" i="2"/>
  <c r="D782" i="2"/>
  <c r="E782" i="2" s="1"/>
  <c r="C782" i="2"/>
  <c r="A782" i="2"/>
  <c r="I781" i="2"/>
  <c r="J781" i="2" s="1"/>
  <c r="H781" i="2"/>
  <c r="D781" i="2"/>
  <c r="E781" i="2" s="1"/>
  <c r="C781" i="2"/>
  <c r="A781" i="2"/>
  <c r="J780" i="2"/>
  <c r="I780" i="2"/>
  <c r="H780" i="2"/>
  <c r="E780" i="2"/>
  <c r="D780" i="2"/>
  <c r="C780" i="2"/>
  <c r="A780" i="2"/>
  <c r="J779" i="2"/>
  <c r="I779" i="2"/>
  <c r="H779" i="2"/>
  <c r="D779" i="2"/>
  <c r="E779" i="2" s="1"/>
  <c r="C779" i="2"/>
  <c r="A779" i="2"/>
  <c r="I778" i="2"/>
  <c r="J778" i="2" s="1"/>
  <c r="H778" i="2"/>
  <c r="D778" i="2"/>
  <c r="E778" i="2" s="1"/>
  <c r="C778" i="2"/>
  <c r="A778" i="2"/>
  <c r="I777" i="2"/>
  <c r="J777" i="2" s="1"/>
  <c r="H777" i="2"/>
  <c r="E777" i="2"/>
  <c r="D777" i="2"/>
  <c r="C777" i="2"/>
  <c r="A777" i="2"/>
  <c r="J776" i="2"/>
  <c r="I776" i="2"/>
  <c r="H776" i="2"/>
  <c r="D776" i="2"/>
  <c r="E776" i="2" s="1"/>
  <c r="C776" i="2"/>
  <c r="A776" i="2"/>
  <c r="I775" i="2"/>
  <c r="J775" i="2" s="1"/>
  <c r="H775" i="2"/>
  <c r="D775" i="2"/>
  <c r="E775" i="2" s="1"/>
  <c r="C775" i="2"/>
  <c r="A775" i="2"/>
  <c r="I774" i="2"/>
  <c r="J774" i="2" s="1"/>
  <c r="H774" i="2"/>
  <c r="E774" i="2"/>
  <c r="D774" i="2"/>
  <c r="C774" i="2"/>
  <c r="A774" i="2"/>
  <c r="J773" i="2"/>
  <c r="I773" i="2"/>
  <c r="H773" i="2"/>
  <c r="D773" i="2"/>
  <c r="E773" i="2" s="1"/>
  <c r="C773" i="2"/>
  <c r="A773" i="2"/>
  <c r="I772" i="2"/>
  <c r="J772" i="2" s="1"/>
  <c r="H772" i="2"/>
  <c r="D772" i="2"/>
  <c r="E772" i="2" s="1"/>
  <c r="C772" i="2"/>
  <c r="A772" i="2"/>
  <c r="I771" i="2"/>
  <c r="J771" i="2" s="1"/>
  <c r="H771" i="2"/>
  <c r="E771" i="2"/>
  <c r="D771" i="2"/>
  <c r="C771" i="2"/>
  <c r="A771" i="2"/>
  <c r="J770" i="2"/>
  <c r="I770" i="2"/>
  <c r="H770" i="2"/>
  <c r="D770" i="2"/>
  <c r="E770" i="2" s="1"/>
  <c r="C770" i="2"/>
  <c r="A770" i="2"/>
  <c r="I769" i="2"/>
  <c r="J769" i="2" s="1"/>
  <c r="H769" i="2"/>
  <c r="D769" i="2"/>
  <c r="E769" i="2" s="1"/>
  <c r="C769" i="2"/>
  <c r="A769" i="2"/>
  <c r="I768" i="2"/>
  <c r="J768" i="2" s="1"/>
  <c r="H768" i="2"/>
  <c r="E768" i="2"/>
  <c r="D768" i="2"/>
  <c r="C768" i="2"/>
  <c r="A768" i="2"/>
  <c r="J767" i="2"/>
  <c r="I767" i="2"/>
  <c r="H767" i="2"/>
  <c r="D767" i="2"/>
  <c r="E767" i="2" s="1"/>
  <c r="C767" i="2"/>
  <c r="A767" i="2"/>
  <c r="I766" i="2"/>
  <c r="J766" i="2" s="1"/>
  <c r="H766" i="2"/>
  <c r="D766" i="2"/>
  <c r="E766" i="2" s="1"/>
  <c r="C766" i="2"/>
  <c r="A766" i="2"/>
  <c r="I765" i="2"/>
  <c r="J765" i="2" s="1"/>
  <c r="H765" i="2"/>
  <c r="E765" i="2"/>
  <c r="D765" i="2"/>
  <c r="C765" i="2"/>
  <c r="A765" i="2"/>
  <c r="J764" i="2"/>
  <c r="I764" i="2"/>
  <c r="H764" i="2"/>
  <c r="D764" i="2"/>
  <c r="E764" i="2" s="1"/>
  <c r="C764" i="2"/>
  <c r="A764" i="2"/>
  <c r="I763" i="2"/>
  <c r="J763" i="2" s="1"/>
  <c r="H763" i="2"/>
  <c r="D763" i="2"/>
  <c r="E763" i="2" s="1"/>
  <c r="C763" i="2"/>
  <c r="A763" i="2"/>
  <c r="I762" i="2"/>
  <c r="J762" i="2" s="1"/>
  <c r="H762" i="2"/>
  <c r="E762" i="2"/>
  <c r="D762" i="2"/>
  <c r="C762" i="2"/>
  <c r="A762" i="2"/>
  <c r="J761" i="2"/>
  <c r="I761" i="2"/>
  <c r="H761" i="2"/>
  <c r="D761" i="2"/>
  <c r="E761" i="2" s="1"/>
  <c r="C761" i="2"/>
  <c r="A761" i="2"/>
  <c r="I760" i="2"/>
  <c r="J760" i="2" s="1"/>
  <c r="H760" i="2"/>
  <c r="D760" i="2"/>
  <c r="E760" i="2" s="1"/>
  <c r="C760" i="2"/>
  <c r="A760" i="2"/>
  <c r="I759" i="2"/>
  <c r="J759" i="2" s="1"/>
  <c r="H759" i="2"/>
  <c r="E759" i="2"/>
  <c r="D759" i="2"/>
  <c r="C759" i="2"/>
  <c r="A759" i="2"/>
  <c r="J758" i="2"/>
  <c r="I758" i="2"/>
  <c r="H758" i="2"/>
  <c r="D758" i="2"/>
  <c r="E758" i="2" s="1"/>
  <c r="C758" i="2"/>
  <c r="A758" i="2"/>
  <c r="I757" i="2"/>
  <c r="J757" i="2" s="1"/>
  <c r="H757" i="2"/>
  <c r="E757" i="2"/>
  <c r="D757" i="2"/>
  <c r="C757" i="2"/>
  <c r="A757" i="2"/>
  <c r="I756" i="2"/>
  <c r="J756" i="2" s="1"/>
  <c r="H756" i="2"/>
  <c r="E756" i="2"/>
  <c r="D756" i="2"/>
  <c r="C756" i="2"/>
  <c r="A756" i="2"/>
  <c r="J755" i="2"/>
  <c r="I755" i="2"/>
  <c r="H755" i="2"/>
  <c r="D755" i="2"/>
  <c r="E755" i="2" s="1"/>
  <c r="C755" i="2"/>
  <c r="A755" i="2"/>
  <c r="I754" i="2"/>
  <c r="J754" i="2" s="1"/>
  <c r="H754" i="2"/>
  <c r="D754" i="2"/>
  <c r="E754" i="2" s="1"/>
  <c r="C754" i="2"/>
  <c r="A754" i="2"/>
  <c r="I753" i="2"/>
  <c r="J753" i="2" s="1"/>
  <c r="H753" i="2"/>
  <c r="E753" i="2"/>
  <c r="D753" i="2"/>
  <c r="C753" i="2"/>
  <c r="A753" i="2"/>
  <c r="J752" i="2"/>
  <c r="I752" i="2"/>
  <c r="H752" i="2"/>
  <c r="D752" i="2"/>
  <c r="E752" i="2" s="1"/>
  <c r="C752" i="2"/>
  <c r="A752" i="2"/>
  <c r="I751" i="2"/>
  <c r="J751" i="2" s="1"/>
  <c r="H751" i="2"/>
  <c r="D751" i="2"/>
  <c r="E751" i="2" s="1"/>
  <c r="C751" i="2"/>
  <c r="A751" i="2"/>
  <c r="I750" i="2"/>
  <c r="J750" i="2" s="1"/>
  <c r="H750" i="2"/>
  <c r="E750" i="2"/>
  <c r="D750" i="2"/>
  <c r="C750" i="2"/>
  <c r="A750" i="2"/>
  <c r="J749" i="2"/>
  <c r="I749" i="2"/>
  <c r="H749" i="2"/>
  <c r="D749" i="2"/>
  <c r="E749" i="2" s="1"/>
  <c r="C749" i="2"/>
  <c r="A749" i="2"/>
  <c r="I748" i="2"/>
  <c r="J748" i="2" s="1"/>
  <c r="H748" i="2"/>
  <c r="E748" i="2"/>
  <c r="D748" i="2"/>
  <c r="C748" i="2"/>
  <c r="A748" i="2"/>
  <c r="I747" i="2"/>
  <c r="J747" i="2" s="1"/>
  <c r="H747" i="2"/>
  <c r="E747" i="2"/>
  <c r="D747" i="2"/>
  <c r="C747" i="2"/>
  <c r="A747" i="2"/>
  <c r="J746" i="2"/>
  <c r="I746" i="2"/>
  <c r="H746" i="2"/>
  <c r="D746" i="2"/>
  <c r="E746" i="2" s="1"/>
  <c r="C746" i="2"/>
  <c r="A746" i="2"/>
  <c r="I745" i="2"/>
  <c r="J745" i="2" s="1"/>
  <c r="H745" i="2"/>
  <c r="D745" i="2"/>
  <c r="E745" i="2" s="1"/>
  <c r="C745" i="2"/>
  <c r="A745" i="2"/>
  <c r="I744" i="2"/>
  <c r="J744" i="2" s="1"/>
  <c r="H744" i="2"/>
  <c r="E744" i="2"/>
  <c r="D744" i="2"/>
  <c r="C744" i="2"/>
  <c r="A744" i="2"/>
  <c r="J743" i="2"/>
  <c r="I743" i="2"/>
  <c r="H743" i="2"/>
  <c r="D743" i="2"/>
  <c r="E743" i="2" s="1"/>
  <c r="C743" i="2"/>
  <c r="A743" i="2"/>
  <c r="I742" i="2"/>
  <c r="J742" i="2" s="1"/>
  <c r="H742" i="2"/>
  <c r="D742" i="2"/>
  <c r="E742" i="2" s="1"/>
  <c r="C742" i="2"/>
  <c r="A742" i="2"/>
  <c r="I741" i="2"/>
  <c r="J741" i="2" s="1"/>
  <c r="H741" i="2"/>
  <c r="E741" i="2"/>
  <c r="D741" i="2"/>
  <c r="C741" i="2"/>
  <c r="A741" i="2"/>
  <c r="J740" i="2"/>
  <c r="I740" i="2"/>
  <c r="H740" i="2"/>
  <c r="D740" i="2"/>
  <c r="E740" i="2" s="1"/>
  <c r="C740" i="2"/>
  <c r="A740" i="2"/>
  <c r="I739" i="2"/>
  <c r="J739" i="2" s="1"/>
  <c r="H739" i="2"/>
  <c r="D739" i="2"/>
  <c r="E739" i="2" s="1"/>
  <c r="C739" i="2"/>
  <c r="A739" i="2"/>
  <c r="I738" i="2"/>
  <c r="J738" i="2" s="1"/>
  <c r="H738" i="2"/>
  <c r="E738" i="2"/>
  <c r="D738" i="2"/>
  <c r="C738" i="2"/>
  <c r="A738" i="2"/>
  <c r="J737" i="2"/>
  <c r="I737" i="2"/>
  <c r="H737" i="2"/>
  <c r="D737" i="2"/>
  <c r="E737" i="2" s="1"/>
  <c r="C737" i="2"/>
  <c r="A737" i="2"/>
  <c r="I736" i="2"/>
  <c r="J736" i="2" s="1"/>
  <c r="H736" i="2"/>
  <c r="D736" i="2"/>
  <c r="E736" i="2" s="1"/>
  <c r="C736" i="2"/>
  <c r="A736" i="2"/>
  <c r="J735" i="2"/>
  <c r="I735" i="2"/>
  <c r="H735" i="2"/>
  <c r="E735" i="2"/>
  <c r="D735" i="2"/>
  <c r="C735" i="2"/>
  <c r="A735" i="2"/>
  <c r="J734" i="2"/>
  <c r="I734" i="2"/>
  <c r="H734" i="2"/>
  <c r="D734" i="2"/>
  <c r="E734" i="2" s="1"/>
  <c r="C734" i="2"/>
  <c r="A734" i="2"/>
  <c r="I733" i="2"/>
  <c r="J733" i="2" s="1"/>
  <c r="H733" i="2"/>
  <c r="D733" i="2"/>
  <c r="E733" i="2" s="1"/>
  <c r="C733" i="2"/>
  <c r="A733" i="2"/>
  <c r="I732" i="2"/>
  <c r="J732" i="2" s="1"/>
  <c r="H732" i="2"/>
  <c r="E732" i="2"/>
  <c r="D732" i="2"/>
  <c r="C732" i="2"/>
  <c r="A732" i="2"/>
  <c r="J731" i="2"/>
  <c r="I731" i="2"/>
  <c r="H731" i="2"/>
  <c r="D731" i="2"/>
  <c r="E731" i="2" s="1"/>
  <c r="C731" i="2"/>
  <c r="A731" i="2"/>
  <c r="I730" i="2"/>
  <c r="J730" i="2" s="1"/>
  <c r="H730" i="2"/>
  <c r="D730" i="2"/>
  <c r="E730" i="2" s="1"/>
  <c r="C730" i="2"/>
  <c r="A730" i="2"/>
  <c r="I729" i="2"/>
  <c r="J729" i="2" s="1"/>
  <c r="H729" i="2"/>
  <c r="E729" i="2"/>
  <c r="D729" i="2"/>
  <c r="C729" i="2"/>
  <c r="A729" i="2"/>
  <c r="J728" i="2"/>
  <c r="I728" i="2"/>
  <c r="H728" i="2"/>
  <c r="D728" i="2"/>
  <c r="E728" i="2" s="1"/>
  <c r="C728" i="2"/>
  <c r="A728" i="2"/>
  <c r="I727" i="2"/>
  <c r="J727" i="2" s="1"/>
  <c r="H727" i="2"/>
  <c r="D727" i="2"/>
  <c r="E727" i="2" s="1"/>
  <c r="C727" i="2"/>
  <c r="A727" i="2"/>
  <c r="J726" i="2"/>
  <c r="I726" i="2"/>
  <c r="H726" i="2"/>
  <c r="E726" i="2"/>
  <c r="D726" i="2"/>
  <c r="C726" i="2"/>
  <c r="A726" i="2"/>
  <c r="J725" i="2"/>
  <c r="I725" i="2"/>
  <c r="H725" i="2"/>
  <c r="D725" i="2"/>
  <c r="E725" i="2" s="1"/>
  <c r="C725" i="2"/>
  <c r="A725" i="2"/>
  <c r="I724" i="2"/>
  <c r="J724" i="2" s="1"/>
  <c r="H724" i="2"/>
  <c r="D724" i="2"/>
  <c r="E724" i="2" s="1"/>
  <c r="C724" i="2"/>
  <c r="A724" i="2"/>
  <c r="I723" i="2"/>
  <c r="J723" i="2" s="1"/>
  <c r="H723" i="2"/>
  <c r="E723" i="2"/>
  <c r="D723" i="2"/>
  <c r="C723" i="2"/>
  <c r="A723" i="2"/>
  <c r="J722" i="2"/>
  <c r="I722" i="2"/>
  <c r="H722" i="2"/>
  <c r="D722" i="2"/>
  <c r="E722" i="2" s="1"/>
  <c r="C722" i="2"/>
  <c r="A722" i="2"/>
  <c r="I721" i="2"/>
  <c r="J721" i="2" s="1"/>
  <c r="H721" i="2"/>
  <c r="D721" i="2"/>
  <c r="E721" i="2" s="1"/>
  <c r="C721" i="2"/>
  <c r="A721" i="2"/>
  <c r="I720" i="2"/>
  <c r="J720" i="2" s="1"/>
  <c r="H720" i="2"/>
  <c r="E720" i="2"/>
  <c r="D720" i="2"/>
  <c r="C720" i="2"/>
  <c r="A720" i="2"/>
  <c r="J719" i="2"/>
  <c r="I719" i="2"/>
  <c r="H719" i="2"/>
  <c r="D719" i="2"/>
  <c r="E719" i="2" s="1"/>
  <c r="C719" i="2"/>
  <c r="A719" i="2"/>
  <c r="I718" i="2"/>
  <c r="J718" i="2" s="1"/>
  <c r="H718" i="2"/>
  <c r="D718" i="2"/>
  <c r="E718" i="2" s="1"/>
  <c r="C718" i="2"/>
  <c r="A718" i="2"/>
  <c r="I717" i="2"/>
  <c r="J717" i="2" s="1"/>
  <c r="H717" i="2"/>
  <c r="E717" i="2"/>
  <c r="D717" i="2"/>
  <c r="C717" i="2"/>
  <c r="A717" i="2"/>
  <c r="J716" i="2"/>
  <c r="I716" i="2"/>
  <c r="H716" i="2"/>
  <c r="D716" i="2"/>
  <c r="E716" i="2" s="1"/>
  <c r="C716" i="2"/>
  <c r="A716" i="2"/>
  <c r="I715" i="2"/>
  <c r="J715" i="2" s="1"/>
  <c r="H715" i="2"/>
  <c r="D715" i="2"/>
  <c r="E715" i="2" s="1"/>
  <c r="C715" i="2"/>
  <c r="A715" i="2"/>
  <c r="I714" i="2"/>
  <c r="J714" i="2" s="1"/>
  <c r="H714" i="2"/>
  <c r="E714" i="2"/>
  <c r="D714" i="2"/>
  <c r="C714" i="2"/>
  <c r="A714" i="2"/>
  <c r="J713" i="2"/>
  <c r="I713" i="2"/>
  <c r="H713" i="2"/>
  <c r="D713" i="2"/>
  <c r="E713" i="2" s="1"/>
  <c r="C713" i="2"/>
  <c r="A713" i="2"/>
  <c r="I712" i="2"/>
  <c r="J712" i="2" s="1"/>
  <c r="H712" i="2"/>
  <c r="D712" i="2"/>
  <c r="E712" i="2" s="1"/>
  <c r="C712" i="2"/>
  <c r="A712" i="2"/>
  <c r="I711" i="2"/>
  <c r="J711" i="2" s="1"/>
  <c r="H711" i="2"/>
  <c r="E711" i="2"/>
  <c r="D711" i="2"/>
  <c r="C711" i="2"/>
  <c r="A711" i="2"/>
  <c r="J710" i="2"/>
  <c r="I710" i="2"/>
  <c r="H710" i="2"/>
  <c r="D710" i="2"/>
  <c r="E710" i="2" s="1"/>
  <c r="C710" i="2"/>
  <c r="A710" i="2"/>
  <c r="I709" i="2"/>
  <c r="J709" i="2" s="1"/>
  <c r="H709" i="2"/>
  <c r="D709" i="2"/>
  <c r="E709" i="2" s="1"/>
  <c r="C709" i="2"/>
  <c r="A709" i="2"/>
  <c r="I708" i="2"/>
  <c r="J708" i="2" s="1"/>
  <c r="H708" i="2"/>
  <c r="E708" i="2"/>
  <c r="D708" i="2"/>
  <c r="C708" i="2"/>
  <c r="A708" i="2"/>
  <c r="J707" i="2"/>
  <c r="I707" i="2"/>
  <c r="H707" i="2"/>
  <c r="D707" i="2"/>
  <c r="E707" i="2" s="1"/>
  <c r="C707" i="2"/>
  <c r="A707" i="2"/>
  <c r="I706" i="2"/>
  <c r="J706" i="2" s="1"/>
  <c r="H706" i="2"/>
  <c r="D706" i="2"/>
  <c r="E706" i="2" s="1"/>
  <c r="C706" i="2"/>
  <c r="A706" i="2"/>
  <c r="I705" i="2"/>
  <c r="J705" i="2" s="1"/>
  <c r="H705" i="2"/>
  <c r="E705" i="2"/>
  <c r="D705" i="2"/>
  <c r="C705" i="2"/>
  <c r="A705" i="2"/>
  <c r="J704" i="2"/>
  <c r="I704" i="2"/>
  <c r="H704" i="2"/>
  <c r="D704" i="2"/>
  <c r="E704" i="2" s="1"/>
  <c r="C704" i="2"/>
  <c r="A704" i="2"/>
  <c r="I703" i="2"/>
  <c r="J703" i="2" s="1"/>
  <c r="H703" i="2"/>
  <c r="E703" i="2"/>
  <c r="D703" i="2"/>
  <c r="C703" i="2"/>
  <c r="A703" i="2"/>
  <c r="I702" i="2"/>
  <c r="J702" i="2" s="1"/>
  <c r="H702" i="2"/>
  <c r="E702" i="2"/>
  <c r="D702" i="2"/>
  <c r="C702" i="2"/>
  <c r="A702" i="2"/>
  <c r="J701" i="2"/>
  <c r="I701" i="2"/>
  <c r="H701" i="2"/>
  <c r="D701" i="2"/>
  <c r="E701" i="2" s="1"/>
  <c r="C701" i="2"/>
  <c r="A701" i="2"/>
  <c r="I700" i="2"/>
  <c r="J700" i="2" s="1"/>
  <c r="H700" i="2"/>
  <c r="D700" i="2"/>
  <c r="E700" i="2" s="1"/>
  <c r="C700" i="2"/>
  <c r="A700" i="2"/>
  <c r="J699" i="2"/>
  <c r="I699" i="2"/>
  <c r="H699" i="2"/>
  <c r="E699" i="2"/>
  <c r="D699" i="2"/>
  <c r="C699" i="2"/>
  <c r="A699" i="2"/>
  <c r="J698" i="2"/>
  <c r="I698" i="2"/>
  <c r="H698" i="2"/>
  <c r="D698" i="2"/>
  <c r="E698" i="2" s="1"/>
  <c r="C698" i="2"/>
  <c r="A698" i="2"/>
  <c r="I697" i="2"/>
  <c r="J697" i="2" s="1"/>
  <c r="H697" i="2"/>
  <c r="D697" i="2"/>
  <c r="E697" i="2" s="1"/>
  <c r="C697" i="2"/>
  <c r="A697" i="2"/>
  <c r="I696" i="2"/>
  <c r="J696" i="2" s="1"/>
  <c r="H696" i="2"/>
  <c r="E696" i="2"/>
  <c r="D696" i="2"/>
  <c r="C696" i="2"/>
  <c r="A696" i="2"/>
  <c r="J695" i="2"/>
  <c r="I695" i="2"/>
  <c r="H695" i="2"/>
  <c r="D695" i="2"/>
  <c r="E695" i="2" s="1"/>
  <c r="C695" i="2"/>
  <c r="A695" i="2"/>
  <c r="I694" i="2"/>
  <c r="J694" i="2" s="1"/>
  <c r="H694" i="2"/>
  <c r="E694" i="2"/>
  <c r="D694" i="2"/>
  <c r="C694" i="2"/>
  <c r="A694" i="2"/>
  <c r="I693" i="2"/>
  <c r="J693" i="2" s="1"/>
  <c r="H693" i="2"/>
  <c r="E693" i="2"/>
  <c r="D693" i="2"/>
  <c r="C693" i="2"/>
  <c r="A693" i="2"/>
  <c r="J692" i="2"/>
  <c r="I692" i="2"/>
  <c r="H692" i="2"/>
  <c r="D692" i="2"/>
  <c r="E692" i="2" s="1"/>
  <c r="C692" i="2"/>
  <c r="A692" i="2"/>
  <c r="I691" i="2"/>
  <c r="J691" i="2" s="1"/>
  <c r="H691" i="2"/>
  <c r="D691" i="2"/>
  <c r="E691" i="2" s="1"/>
  <c r="C691" i="2"/>
  <c r="A691" i="2"/>
  <c r="I690" i="2"/>
  <c r="J690" i="2" s="1"/>
  <c r="H690" i="2"/>
  <c r="E690" i="2"/>
  <c r="D690" i="2"/>
  <c r="C690" i="2"/>
  <c r="A690" i="2"/>
  <c r="J689" i="2"/>
  <c r="I689" i="2"/>
  <c r="H689" i="2"/>
  <c r="D689" i="2"/>
  <c r="E689" i="2" s="1"/>
  <c r="C689" i="2"/>
  <c r="A689" i="2"/>
  <c r="I688" i="2"/>
  <c r="J688" i="2" s="1"/>
  <c r="H688" i="2"/>
  <c r="D688" i="2"/>
  <c r="E688" i="2" s="1"/>
  <c r="C688" i="2"/>
  <c r="A688" i="2"/>
  <c r="J687" i="2"/>
  <c r="I687" i="2"/>
  <c r="H687" i="2"/>
  <c r="E687" i="2"/>
  <c r="D687" i="2"/>
  <c r="C687" i="2"/>
  <c r="A687" i="2"/>
  <c r="J686" i="2"/>
  <c r="I686" i="2"/>
  <c r="H686" i="2"/>
  <c r="D686" i="2"/>
  <c r="E686" i="2" s="1"/>
  <c r="C686" i="2"/>
  <c r="A686" i="2"/>
  <c r="I685" i="2"/>
  <c r="J685" i="2" s="1"/>
  <c r="H685" i="2"/>
  <c r="D685" i="2"/>
  <c r="E685" i="2" s="1"/>
  <c r="C685" i="2"/>
  <c r="A685" i="2"/>
  <c r="J684" i="2"/>
  <c r="I684" i="2"/>
  <c r="H684" i="2"/>
  <c r="E684" i="2"/>
  <c r="D684" i="2"/>
  <c r="C684" i="2"/>
  <c r="A684" i="2"/>
  <c r="J683" i="2"/>
  <c r="I683" i="2"/>
  <c r="H683" i="2"/>
  <c r="D683" i="2"/>
  <c r="E683" i="2" s="1"/>
  <c r="C683" i="2"/>
  <c r="A683" i="2"/>
  <c r="I682" i="2"/>
  <c r="J682" i="2" s="1"/>
  <c r="H682" i="2"/>
  <c r="D682" i="2"/>
  <c r="E682" i="2" s="1"/>
  <c r="C682" i="2"/>
  <c r="A682" i="2"/>
  <c r="I681" i="2"/>
  <c r="J681" i="2" s="1"/>
  <c r="H681" i="2"/>
  <c r="E681" i="2"/>
  <c r="D681" i="2"/>
  <c r="C681" i="2"/>
  <c r="A681" i="2"/>
  <c r="J680" i="2"/>
  <c r="I680" i="2"/>
  <c r="H680" i="2"/>
  <c r="D680" i="2"/>
  <c r="E680" i="2" s="1"/>
  <c r="C680" i="2"/>
  <c r="A680" i="2"/>
  <c r="I679" i="2"/>
  <c r="J679" i="2" s="1"/>
  <c r="H679" i="2"/>
  <c r="D679" i="2"/>
  <c r="E679" i="2" s="1"/>
  <c r="C679" i="2"/>
  <c r="A679" i="2"/>
  <c r="J678" i="2"/>
  <c r="I678" i="2"/>
  <c r="H678" i="2"/>
  <c r="E678" i="2"/>
  <c r="D678" i="2"/>
  <c r="C678" i="2"/>
  <c r="A678" i="2"/>
  <c r="J677" i="2"/>
  <c r="I677" i="2"/>
  <c r="H677" i="2"/>
  <c r="D677" i="2"/>
  <c r="E677" i="2" s="1"/>
  <c r="C677" i="2"/>
  <c r="A677" i="2"/>
  <c r="I676" i="2"/>
  <c r="J676" i="2" s="1"/>
  <c r="H676" i="2"/>
  <c r="D676" i="2"/>
  <c r="E676" i="2" s="1"/>
  <c r="C676" i="2"/>
  <c r="A676" i="2"/>
  <c r="J675" i="2"/>
  <c r="I675" i="2"/>
  <c r="H675" i="2"/>
  <c r="E675" i="2"/>
  <c r="D675" i="2"/>
  <c r="C675" i="2"/>
  <c r="A675" i="2"/>
  <c r="J674" i="2"/>
  <c r="I674" i="2"/>
  <c r="H674" i="2"/>
  <c r="D674" i="2"/>
  <c r="E674" i="2" s="1"/>
  <c r="C674" i="2"/>
  <c r="A674" i="2"/>
  <c r="I673" i="2"/>
  <c r="J673" i="2" s="1"/>
  <c r="H673" i="2"/>
  <c r="D673" i="2"/>
  <c r="E673" i="2" s="1"/>
  <c r="C673" i="2"/>
  <c r="A673" i="2"/>
  <c r="J672" i="2"/>
  <c r="I672" i="2"/>
  <c r="H672" i="2"/>
  <c r="E672" i="2"/>
  <c r="D672" i="2"/>
  <c r="C672" i="2"/>
  <c r="A672" i="2"/>
  <c r="J671" i="2"/>
  <c r="I671" i="2"/>
  <c r="H671" i="2"/>
  <c r="D671" i="2"/>
  <c r="E671" i="2" s="1"/>
  <c r="C671" i="2"/>
  <c r="A671" i="2"/>
  <c r="I670" i="2"/>
  <c r="J670" i="2" s="1"/>
  <c r="H670" i="2"/>
  <c r="D670" i="2"/>
  <c r="E670" i="2" s="1"/>
  <c r="C670" i="2"/>
  <c r="A670" i="2"/>
  <c r="J669" i="2"/>
  <c r="I669" i="2"/>
  <c r="H669" i="2"/>
  <c r="E669" i="2"/>
  <c r="D669" i="2"/>
  <c r="C669" i="2"/>
  <c r="A669" i="2"/>
  <c r="J668" i="2"/>
  <c r="I668" i="2"/>
  <c r="H668" i="2"/>
  <c r="D668" i="2"/>
  <c r="E668" i="2" s="1"/>
  <c r="C668" i="2"/>
  <c r="A668" i="2"/>
  <c r="I667" i="2"/>
  <c r="J667" i="2" s="1"/>
  <c r="H667" i="2"/>
  <c r="D667" i="2"/>
  <c r="E667" i="2" s="1"/>
  <c r="C667" i="2"/>
  <c r="A667" i="2"/>
  <c r="J666" i="2"/>
  <c r="I666" i="2"/>
  <c r="H666" i="2"/>
  <c r="E666" i="2"/>
  <c r="D666" i="2"/>
  <c r="C666" i="2"/>
  <c r="A666" i="2"/>
  <c r="J665" i="2"/>
  <c r="I665" i="2"/>
  <c r="H665" i="2"/>
  <c r="E665" i="2"/>
  <c r="D665" i="2"/>
  <c r="C665" i="2"/>
  <c r="A665" i="2"/>
  <c r="I664" i="2"/>
  <c r="J664" i="2" s="1"/>
  <c r="H664" i="2"/>
  <c r="E664" i="2"/>
  <c r="D664" i="2"/>
  <c r="C664" i="2"/>
  <c r="A664" i="2"/>
  <c r="I663" i="2"/>
  <c r="J663" i="2" s="1"/>
  <c r="H663" i="2"/>
  <c r="E663" i="2"/>
  <c r="D663" i="2"/>
  <c r="C663" i="2"/>
  <c r="A663" i="2"/>
  <c r="J662" i="2"/>
  <c r="I662" i="2"/>
  <c r="H662" i="2"/>
  <c r="D662" i="2"/>
  <c r="E662" i="2" s="1"/>
  <c r="C662" i="2"/>
  <c r="A662" i="2"/>
  <c r="I661" i="2"/>
  <c r="J661" i="2" s="1"/>
  <c r="H661" i="2"/>
  <c r="D661" i="2"/>
  <c r="E661" i="2" s="1"/>
  <c r="C661" i="2"/>
  <c r="A661" i="2"/>
  <c r="J660" i="2"/>
  <c r="I660" i="2"/>
  <c r="H660" i="2"/>
  <c r="E660" i="2"/>
  <c r="D660" i="2"/>
  <c r="C660" i="2"/>
  <c r="A660" i="2"/>
  <c r="J659" i="2"/>
  <c r="I659" i="2"/>
  <c r="H659" i="2"/>
  <c r="D659" i="2"/>
  <c r="E659" i="2" s="1"/>
  <c r="C659" i="2"/>
  <c r="A659" i="2"/>
  <c r="I658" i="2"/>
  <c r="J658" i="2" s="1"/>
  <c r="H658" i="2"/>
  <c r="D658" i="2"/>
  <c r="E658" i="2" s="1"/>
  <c r="C658" i="2"/>
  <c r="A658" i="2"/>
  <c r="J657" i="2"/>
  <c r="I657" i="2"/>
  <c r="H657" i="2"/>
  <c r="E657" i="2"/>
  <c r="D657" i="2"/>
  <c r="C657" i="2"/>
  <c r="A657" i="2"/>
  <c r="J656" i="2"/>
  <c r="I656" i="2"/>
  <c r="H656" i="2"/>
  <c r="D656" i="2"/>
  <c r="E656" i="2" s="1"/>
  <c r="C656" i="2"/>
  <c r="A656" i="2"/>
  <c r="I655" i="2"/>
  <c r="J655" i="2" s="1"/>
  <c r="H655" i="2"/>
  <c r="D655" i="2"/>
  <c r="E655" i="2" s="1"/>
  <c r="C655" i="2"/>
  <c r="A655" i="2"/>
  <c r="I654" i="2"/>
  <c r="J654" i="2" s="1"/>
  <c r="H654" i="2"/>
  <c r="E654" i="2"/>
  <c r="D654" i="2"/>
  <c r="C654" i="2"/>
  <c r="A654" i="2"/>
  <c r="J653" i="2"/>
  <c r="I653" i="2"/>
  <c r="H653" i="2"/>
  <c r="D653" i="2"/>
  <c r="E653" i="2" s="1"/>
  <c r="C653" i="2"/>
  <c r="A653" i="2"/>
  <c r="I652" i="2"/>
  <c r="J652" i="2" s="1"/>
  <c r="H652" i="2"/>
  <c r="D652" i="2"/>
  <c r="E652" i="2" s="1"/>
  <c r="C652" i="2"/>
  <c r="A652" i="2"/>
  <c r="J651" i="2"/>
  <c r="I651" i="2"/>
  <c r="H651" i="2"/>
  <c r="E651" i="2"/>
  <c r="D651" i="2"/>
  <c r="C651" i="2"/>
  <c r="A651" i="2"/>
  <c r="J650" i="2"/>
  <c r="I650" i="2"/>
  <c r="H650" i="2"/>
  <c r="D650" i="2"/>
  <c r="E650" i="2" s="1"/>
  <c r="C650" i="2"/>
  <c r="A650" i="2"/>
  <c r="I649" i="2"/>
  <c r="J649" i="2" s="1"/>
  <c r="H649" i="2"/>
  <c r="D649" i="2"/>
  <c r="E649" i="2" s="1"/>
  <c r="C649" i="2"/>
  <c r="A649" i="2"/>
  <c r="J648" i="2"/>
  <c r="I648" i="2"/>
  <c r="H648" i="2"/>
  <c r="E648" i="2"/>
  <c r="D648" i="2"/>
  <c r="C648" i="2"/>
  <c r="A648" i="2"/>
  <c r="J647" i="2"/>
  <c r="I647" i="2"/>
  <c r="H647" i="2"/>
  <c r="D647" i="2"/>
  <c r="E647" i="2" s="1"/>
  <c r="C647" i="2"/>
  <c r="A647" i="2"/>
  <c r="I646" i="2"/>
  <c r="J646" i="2" s="1"/>
  <c r="H646" i="2"/>
  <c r="D646" i="2"/>
  <c r="E646" i="2" s="1"/>
  <c r="C646" i="2"/>
  <c r="A646" i="2"/>
  <c r="J645" i="2"/>
  <c r="I645" i="2"/>
  <c r="H645" i="2"/>
  <c r="E645" i="2"/>
  <c r="D645" i="2"/>
  <c r="C645" i="2"/>
  <c r="A645" i="2"/>
  <c r="J644" i="2"/>
  <c r="I644" i="2"/>
  <c r="H644" i="2"/>
  <c r="D644" i="2"/>
  <c r="E644" i="2" s="1"/>
  <c r="C644" i="2"/>
  <c r="A644" i="2"/>
  <c r="I643" i="2"/>
  <c r="J643" i="2" s="1"/>
  <c r="H643" i="2"/>
  <c r="D643" i="2"/>
  <c r="E643" i="2" s="1"/>
  <c r="C643" i="2"/>
  <c r="A643" i="2"/>
  <c r="J642" i="2"/>
  <c r="I642" i="2"/>
  <c r="H642" i="2"/>
  <c r="D642" i="2"/>
  <c r="E642" i="2" s="1"/>
  <c r="C642" i="2"/>
  <c r="A642" i="2"/>
  <c r="J641" i="2"/>
  <c r="I641" i="2"/>
  <c r="H641" i="2"/>
  <c r="E641" i="2"/>
  <c r="D641" i="2"/>
  <c r="C641" i="2"/>
  <c r="A641" i="2"/>
  <c r="I640" i="2"/>
  <c r="J640" i="2" s="1"/>
  <c r="H640" i="2"/>
  <c r="E640" i="2"/>
  <c r="D640" i="2"/>
  <c r="C640" i="2"/>
  <c r="A640" i="2"/>
  <c r="I639" i="2"/>
  <c r="J639" i="2" s="1"/>
  <c r="H639" i="2"/>
  <c r="D639" i="2"/>
  <c r="E639" i="2" s="1"/>
  <c r="C639" i="2"/>
  <c r="A639" i="2"/>
  <c r="J638" i="2"/>
  <c r="I638" i="2"/>
  <c r="H638" i="2"/>
  <c r="D638" i="2"/>
  <c r="E638" i="2" s="1"/>
  <c r="C638" i="2"/>
  <c r="A638" i="2"/>
  <c r="I637" i="2"/>
  <c r="J637" i="2" s="1"/>
  <c r="H637" i="2"/>
  <c r="D637" i="2"/>
  <c r="E637" i="2" s="1"/>
  <c r="C637" i="2"/>
  <c r="A637" i="2"/>
  <c r="J636" i="2"/>
  <c r="I636" i="2"/>
  <c r="H636" i="2"/>
  <c r="D636" i="2"/>
  <c r="E636" i="2" s="1"/>
  <c r="C636" i="2"/>
  <c r="A636" i="2"/>
  <c r="J635" i="2"/>
  <c r="I635" i="2"/>
  <c r="H635" i="2"/>
  <c r="E635" i="2"/>
  <c r="D635" i="2"/>
  <c r="C635" i="2"/>
  <c r="A635" i="2"/>
  <c r="I634" i="2"/>
  <c r="J634" i="2" s="1"/>
  <c r="H634" i="2"/>
  <c r="E634" i="2"/>
  <c r="D634" i="2"/>
  <c r="C634" i="2"/>
  <c r="A634" i="2"/>
  <c r="J633" i="2"/>
  <c r="I633" i="2"/>
  <c r="H633" i="2"/>
  <c r="D633" i="2"/>
  <c r="E633" i="2" s="1"/>
  <c r="C633" i="2"/>
  <c r="A633" i="2"/>
  <c r="J632" i="2"/>
  <c r="I632" i="2"/>
  <c r="H632" i="2"/>
  <c r="D632" i="2"/>
  <c r="E632" i="2" s="1"/>
  <c r="C632" i="2"/>
  <c r="A632" i="2"/>
  <c r="I631" i="2"/>
  <c r="J631" i="2" s="1"/>
  <c r="H631" i="2"/>
  <c r="D631" i="2"/>
  <c r="E631" i="2" s="1"/>
  <c r="C631" i="2"/>
  <c r="A631" i="2"/>
  <c r="J630" i="2"/>
  <c r="I630" i="2"/>
  <c r="H630" i="2"/>
  <c r="D630" i="2"/>
  <c r="E630" i="2" s="1"/>
  <c r="C630" i="2"/>
  <c r="A630" i="2"/>
  <c r="J629" i="2"/>
  <c r="I629" i="2"/>
  <c r="H629" i="2"/>
  <c r="E629" i="2"/>
  <c r="D629" i="2"/>
  <c r="C629" i="2"/>
  <c r="A629" i="2"/>
  <c r="I628" i="2"/>
  <c r="J628" i="2" s="1"/>
  <c r="H628" i="2"/>
  <c r="E628" i="2"/>
  <c r="D628" i="2"/>
  <c r="C628" i="2"/>
  <c r="A628" i="2"/>
  <c r="I627" i="2"/>
  <c r="J627" i="2" s="1"/>
  <c r="H627" i="2"/>
  <c r="D627" i="2"/>
  <c r="E627" i="2" s="1"/>
  <c r="C627" i="2"/>
  <c r="A627" i="2"/>
  <c r="J626" i="2"/>
  <c r="I626" i="2"/>
  <c r="H626" i="2"/>
  <c r="D626" i="2"/>
  <c r="E626" i="2" s="1"/>
  <c r="C626" i="2"/>
  <c r="A626" i="2"/>
  <c r="I625" i="2"/>
  <c r="J625" i="2" s="1"/>
  <c r="H625" i="2"/>
  <c r="D625" i="2"/>
  <c r="E625" i="2" s="1"/>
  <c r="C625" i="2"/>
  <c r="A625" i="2"/>
  <c r="J624" i="2"/>
  <c r="I624" i="2"/>
  <c r="H624" i="2"/>
  <c r="D624" i="2"/>
  <c r="E624" i="2" s="1"/>
  <c r="C624" i="2"/>
  <c r="A624" i="2"/>
  <c r="J623" i="2"/>
  <c r="I623" i="2"/>
  <c r="H623" i="2"/>
  <c r="E623" i="2"/>
  <c r="D623" i="2"/>
  <c r="C623" i="2"/>
  <c r="A623" i="2"/>
  <c r="I622" i="2"/>
  <c r="J622" i="2" s="1"/>
  <c r="H622" i="2"/>
  <c r="E622" i="2"/>
  <c r="D622" i="2"/>
  <c r="C622" i="2"/>
  <c r="A622" i="2"/>
  <c r="I621" i="2"/>
  <c r="J621" i="2" s="1"/>
  <c r="H621" i="2"/>
  <c r="D621" i="2"/>
  <c r="E621" i="2" s="1"/>
  <c r="C621" i="2"/>
  <c r="A621" i="2"/>
  <c r="I620" i="2"/>
  <c r="J620" i="2" s="1"/>
  <c r="H620" i="2"/>
  <c r="E620" i="2"/>
  <c r="D620" i="2"/>
  <c r="C620" i="2"/>
  <c r="A620" i="2"/>
  <c r="J619" i="2"/>
  <c r="I619" i="2"/>
  <c r="H619" i="2"/>
  <c r="E619" i="2"/>
  <c r="D619" i="2"/>
  <c r="C619" i="2"/>
  <c r="A619" i="2"/>
  <c r="I618" i="2"/>
  <c r="J618" i="2" s="1"/>
  <c r="H618" i="2"/>
  <c r="D618" i="2"/>
  <c r="E618" i="2" s="1"/>
  <c r="C618" i="2"/>
  <c r="A618" i="2"/>
  <c r="I617" i="2"/>
  <c r="J617" i="2" s="1"/>
  <c r="H617" i="2"/>
  <c r="E617" i="2"/>
  <c r="D617" i="2"/>
  <c r="C617" i="2"/>
  <c r="A617" i="2"/>
  <c r="I616" i="2"/>
  <c r="J616" i="2" s="1"/>
  <c r="H616" i="2"/>
  <c r="E616" i="2"/>
  <c r="D616" i="2"/>
  <c r="C616" i="2"/>
  <c r="A616" i="2"/>
  <c r="I615" i="2"/>
  <c r="J615" i="2" s="1"/>
  <c r="H615" i="2"/>
  <c r="D615" i="2"/>
  <c r="E615" i="2" s="1"/>
  <c r="C615" i="2"/>
  <c r="A615" i="2"/>
  <c r="I614" i="2"/>
  <c r="J614" i="2" s="1"/>
  <c r="H614" i="2"/>
  <c r="E614" i="2"/>
  <c r="D614" i="2"/>
  <c r="C614" i="2"/>
  <c r="A614" i="2"/>
  <c r="J613" i="2"/>
  <c r="I613" i="2"/>
  <c r="H613" i="2"/>
  <c r="E613" i="2"/>
  <c r="D613" i="2"/>
  <c r="C613" i="2"/>
  <c r="A613" i="2"/>
  <c r="I612" i="2"/>
  <c r="J612" i="2" s="1"/>
  <c r="H612" i="2"/>
  <c r="E612" i="2"/>
  <c r="D612" i="2"/>
  <c r="C612" i="2"/>
  <c r="A612" i="2"/>
  <c r="I611" i="2"/>
  <c r="J611" i="2" s="1"/>
  <c r="H611" i="2"/>
  <c r="E611" i="2"/>
  <c r="D611" i="2"/>
  <c r="C611" i="2"/>
  <c r="A611" i="2"/>
  <c r="I610" i="2"/>
  <c r="J610" i="2" s="1"/>
  <c r="H610" i="2"/>
  <c r="E610" i="2"/>
  <c r="D610" i="2"/>
  <c r="C610" i="2"/>
  <c r="A610" i="2"/>
  <c r="I609" i="2"/>
  <c r="J609" i="2" s="1"/>
  <c r="H609" i="2"/>
  <c r="D609" i="2"/>
  <c r="E609" i="2" s="1"/>
  <c r="C609" i="2"/>
  <c r="A609" i="2"/>
  <c r="I608" i="2"/>
  <c r="J608" i="2" s="1"/>
  <c r="H608" i="2"/>
  <c r="E608" i="2"/>
  <c r="D608" i="2"/>
  <c r="C608" i="2"/>
  <c r="A608" i="2"/>
  <c r="J607" i="2"/>
  <c r="I607" i="2"/>
  <c r="H607" i="2"/>
  <c r="E607" i="2"/>
  <c r="D607" i="2"/>
  <c r="C607" i="2"/>
  <c r="A607" i="2"/>
  <c r="I606" i="2"/>
  <c r="J606" i="2" s="1"/>
  <c r="H606" i="2"/>
  <c r="D606" i="2"/>
  <c r="E606" i="2" s="1"/>
  <c r="C606" i="2"/>
  <c r="A606" i="2"/>
  <c r="I605" i="2"/>
  <c r="J605" i="2" s="1"/>
  <c r="H605" i="2"/>
  <c r="E605" i="2"/>
  <c r="D605" i="2"/>
  <c r="C605" i="2"/>
  <c r="A605" i="2"/>
  <c r="I604" i="2"/>
  <c r="J604" i="2" s="1"/>
  <c r="H604" i="2"/>
  <c r="E604" i="2"/>
  <c r="D604" i="2"/>
  <c r="C604" i="2"/>
  <c r="A604" i="2"/>
  <c r="I603" i="2"/>
  <c r="J603" i="2" s="1"/>
  <c r="H603" i="2"/>
  <c r="D603" i="2"/>
  <c r="E603" i="2" s="1"/>
  <c r="C603" i="2"/>
  <c r="A603" i="2"/>
  <c r="I602" i="2"/>
  <c r="J602" i="2" s="1"/>
  <c r="H602" i="2"/>
  <c r="E602" i="2"/>
  <c r="D602" i="2"/>
  <c r="C602" i="2"/>
  <c r="A602" i="2"/>
  <c r="J601" i="2"/>
  <c r="I601" i="2"/>
  <c r="H601" i="2"/>
  <c r="E601" i="2"/>
  <c r="D601" i="2"/>
  <c r="C601" i="2"/>
  <c r="A601" i="2"/>
  <c r="I600" i="2"/>
  <c r="J600" i="2" s="1"/>
  <c r="H600" i="2"/>
  <c r="E600" i="2"/>
  <c r="D600" i="2"/>
  <c r="C600" i="2"/>
  <c r="A600" i="2"/>
  <c r="I599" i="2"/>
  <c r="J599" i="2" s="1"/>
  <c r="H599" i="2"/>
  <c r="E599" i="2"/>
  <c r="D599" i="2"/>
  <c r="C599" i="2"/>
  <c r="A599" i="2"/>
  <c r="I598" i="2"/>
  <c r="J598" i="2" s="1"/>
  <c r="H598" i="2"/>
  <c r="E598" i="2"/>
  <c r="D598" i="2"/>
  <c r="C598" i="2"/>
  <c r="A598" i="2"/>
  <c r="I597" i="2"/>
  <c r="J597" i="2" s="1"/>
  <c r="H597" i="2"/>
  <c r="D597" i="2"/>
  <c r="E597" i="2" s="1"/>
  <c r="C597" i="2"/>
  <c r="A597" i="2"/>
  <c r="I596" i="2"/>
  <c r="J596" i="2" s="1"/>
  <c r="H596" i="2"/>
  <c r="E596" i="2"/>
  <c r="D596" i="2"/>
  <c r="C596" i="2"/>
  <c r="A596" i="2"/>
  <c r="J595" i="2"/>
  <c r="I595" i="2"/>
  <c r="H595" i="2"/>
  <c r="E595" i="2"/>
  <c r="D595" i="2"/>
  <c r="C595" i="2"/>
  <c r="A595" i="2"/>
  <c r="I594" i="2"/>
  <c r="J594" i="2" s="1"/>
  <c r="H594" i="2"/>
  <c r="D594" i="2"/>
  <c r="E594" i="2" s="1"/>
  <c r="C594" i="2"/>
  <c r="A594" i="2"/>
  <c r="I593" i="2"/>
  <c r="J593" i="2" s="1"/>
  <c r="H593" i="2"/>
  <c r="E593" i="2"/>
  <c r="D593" i="2"/>
  <c r="C593" i="2"/>
  <c r="A593" i="2"/>
  <c r="I592" i="2"/>
  <c r="J592" i="2" s="1"/>
  <c r="H592" i="2"/>
  <c r="E592" i="2"/>
  <c r="D592" i="2"/>
  <c r="C592" i="2"/>
  <c r="A592" i="2"/>
  <c r="I591" i="2"/>
  <c r="J591" i="2" s="1"/>
  <c r="H591" i="2"/>
  <c r="D591" i="2"/>
  <c r="E591" i="2" s="1"/>
  <c r="C591" i="2"/>
  <c r="A591" i="2"/>
  <c r="I590" i="2"/>
  <c r="J590" i="2" s="1"/>
  <c r="H590" i="2"/>
  <c r="E590" i="2"/>
  <c r="D590" i="2"/>
  <c r="C590" i="2"/>
  <c r="A590" i="2"/>
  <c r="J589" i="2"/>
  <c r="I589" i="2"/>
  <c r="H589" i="2"/>
  <c r="E589" i="2"/>
  <c r="D589" i="2"/>
  <c r="C589" i="2"/>
  <c r="A589" i="2"/>
  <c r="I588" i="2"/>
  <c r="J588" i="2" s="1"/>
  <c r="H588" i="2"/>
  <c r="E588" i="2"/>
  <c r="D588" i="2"/>
  <c r="C588" i="2"/>
  <c r="A588" i="2"/>
  <c r="I587" i="2"/>
  <c r="J587" i="2" s="1"/>
  <c r="H587" i="2"/>
  <c r="E587" i="2"/>
  <c r="D587" i="2"/>
  <c r="C587" i="2"/>
  <c r="A587" i="2"/>
  <c r="I586" i="2"/>
  <c r="J586" i="2" s="1"/>
  <c r="H586" i="2"/>
  <c r="E586" i="2"/>
  <c r="D586" i="2"/>
  <c r="C586" i="2"/>
  <c r="A586" i="2"/>
  <c r="I585" i="2"/>
  <c r="J585" i="2" s="1"/>
  <c r="H585" i="2"/>
  <c r="D585" i="2"/>
  <c r="E585" i="2" s="1"/>
  <c r="C585" i="2"/>
  <c r="A585" i="2"/>
  <c r="I584" i="2"/>
  <c r="J584" i="2" s="1"/>
  <c r="H584" i="2"/>
  <c r="E584" i="2"/>
  <c r="D584" i="2"/>
  <c r="C584" i="2"/>
  <c r="A584" i="2"/>
  <c r="J583" i="2"/>
  <c r="I583" i="2"/>
  <c r="H583" i="2"/>
  <c r="E583" i="2"/>
  <c r="D583" i="2"/>
  <c r="C583" i="2"/>
  <c r="A583" i="2"/>
  <c r="I582" i="2"/>
  <c r="J582" i="2" s="1"/>
  <c r="H582" i="2"/>
  <c r="D582" i="2"/>
  <c r="E582" i="2" s="1"/>
  <c r="C582" i="2"/>
  <c r="A582" i="2"/>
  <c r="I581" i="2"/>
  <c r="J581" i="2" s="1"/>
  <c r="H581" i="2"/>
  <c r="E581" i="2"/>
  <c r="D581" i="2"/>
  <c r="C581" i="2"/>
  <c r="A581" i="2"/>
  <c r="I580" i="2"/>
  <c r="J580" i="2" s="1"/>
  <c r="H580" i="2"/>
  <c r="E580" i="2"/>
  <c r="D580" i="2"/>
  <c r="C580" i="2"/>
  <c r="A580" i="2"/>
  <c r="I579" i="2"/>
  <c r="J579" i="2" s="1"/>
  <c r="H579" i="2"/>
  <c r="D579" i="2"/>
  <c r="E579" i="2" s="1"/>
  <c r="C579" i="2"/>
  <c r="A579" i="2"/>
  <c r="I578" i="2"/>
  <c r="J578" i="2" s="1"/>
  <c r="H578" i="2"/>
  <c r="E578" i="2"/>
  <c r="D578" i="2"/>
  <c r="C578" i="2"/>
  <c r="A578" i="2"/>
  <c r="J577" i="2"/>
  <c r="I577" i="2"/>
  <c r="H577" i="2"/>
  <c r="E577" i="2"/>
  <c r="D577" i="2"/>
  <c r="C577" i="2"/>
  <c r="A577" i="2"/>
  <c r="I576" i="2"/>
  <c r="J576" i="2" s="1"/>
  <c r="H576" i="2"/>
  <c r="E576" i="2"/>
  <c r="D576" i="2"/>
  <c r="C576" i="2"/>
  <c r="A576" i="2"/>
  <c r="I575" i="2"/>
  <c r="J575" i="2" s="1"/>
  <c r="H575" i="2"/>
  <c r="E575" i="2"/>
  <c r="D575" i="2"/>
  <c r="C575" i="2"/>
  <c r="A575" i="2"/>
  <c r="I574" i="2"/>
  <c r="J574" i="2" s="1"/>
  <c r="H574" i="2"/>
  <c r="E574" i="2"/>
  <c r="D574" i="2"/>
  <c r="C574" i="2"/>
  <c r="A574" i="2"/>
  <c r="I573" i="2"/>
  <c r="J573" i="2" s="1"/>
  <c r="H573" i="2"/>
  <c r="D573" i="2"/>
  <c r="E573" i="2" s="1"/>
  <c r="C573" i="2"/>
  <c r="A573" i="2"/>
  <c r="I572" i="2"/>
  <c r="J572" i="2" s="1"/>
  <c r="H572" i="2"/>
  <c r="E572" i="2"/>
  <c r="D572" i="2"/>
  <c r="C572" i="2"/>
  <c r="A572" i="2"/>
  <c r="J571" i="2"/>
  <c r="I571" i="2"/>
  <c r="H571" i="2"/>
  <c r="E571" i="2"/>
  <c r="D571" i="2"/>
  <c r="C571" i="2"/>
  <c r="A571" i="2"/>
  <c r="I570" i="2"/>
  <c r="J570" i="2" s="1"/>
  <c r="H570" i="2"/>
  <c r="D570" i="2"/>
  <c r="E570" i="2" s="1"/>
  <c r="C570" i="2"/>
  <c r="A570" i="2"/>
  <c r="I569" i="2"/>
  <c r="J569" i="2" s="1"/>
  <c r="H569" i="2"/>
  <c r="E569" i="2"/>
  <c r="D569" i="2"/>
  <c r="C569" i="2"/>
  <c r="A569" i="2"/>
  <c r="I568" i="2"/>
  <c r="J568" i="2" s="1"/>
  <c r="H568" i="2"/>
  <c r="E568" i="2"/>
  <c r="D568" i="2"/>
  <c r="C568" i="2"/>
  <c r="A568" i="2"/>
  <c r="I567" i="2"/>
  <c r="J567" i="2" s="1"/>
  <c r="H567" i="2"/>
  <c r="D567" i="2"/>
  <c r="E567" i="2" s="1"/>
  <c r="C567" i="2"/>
  <c r="A567" i="2"/>
  <c r="I566" i="2"/>
  <c r="J566" i="2" s="1"/>
  <c r="H566" i="2"/>
  <c r="E566" i="2"/>
  <c r="D566" i="2"/>
  <c r="C566" i="2"/>
  <c r="A566" i="2"/>
  <c r="J565" i="2"/>
  <c r="I565" i="2"/>
  <c r="H565" i="2"/>
  <c r="E565" i="2"/>
  <c r="D565" i="2"/>
  <c r="C565" i="2"/>
  <c r="A565" i="2"/>
  <c r="I564" i="2"/>
  <c r="J564" i="2" s="1"/>
  <c r="H564" i="2"/>
  <c r="E564" i="2"/>
  <c r="D564" i="2"/>
  <c r="C564" i="2"/>
  <c r="A564" i="2"/>
  <c r="I563" i="2"/>
  <c r="J563" i="2" s="1"/>
  <c r="H563" i="2"/>
  <c r="E563" i="2"/>
  <c r="D563" i="2"/>
  <c r="C563" i="2"/>
  <c r="A563" i="2"/>
  <c r="I562" i="2"/>
  <c r="J562" i="2" s="1"/>
  <c r="H562" i="2"/>
  <c r="E562" i="2"/>
  <c r="D562" i="2"/>
  <c r="C562" i="2"/>
  <c r="A562" i="2"/>
  <c r="I561" i="2"/>
  <c r="J561" i="2" s="1"/>
  <c r="H561" i="2"/>
  <c r="D561" i="2"/>
  <c r="E561" i="2" s="1"/>
  <c r="C561" i="2"/>
  <c r="A561" i="2"/>
  <c r="I560" i="2"/>
  <c r="J560" i="2" s="1"/>
  <c r="H560" i="2"/>
  <c r="E560" i="2"/>
  <c r="D560" i="2"/>
  <c r="C560" i="2"/>
  <c r="A560" i="2"/>
  <c r="J559" i="2"/>
  <c r="I559" i="2"/>
  <c r="H559" i="2"/>
  <c r="E559" i="2"/>
  <c r="D559" i="2"/>
  <c r="C559" i="2"/>
  <c r="A559" i="2"/>
  <c r="I558" i="2"/>
  <c r="J558" i="2" s="1"/>
  <c r="H558" i="2"/>
  <c r="D558" i="2"/>
  <c r="E558" i="2" s="1"/>
  <c r="C558" i="2"/>
  <c r="A558" i="2"/>
  <c r="I557" i="2"/>
  <c r="J557" i="2" s="1"/>
  <c r="H557" i="2"/>
  <c r="E557" i="2"/>
  <c r="D557" i="2"/>
  <c r="C557" i="2"/>
  <c r="A557" i="2"/>
  <c r="I556" i="2"/>
  <c r="J556" i="2" s="1"/>
  <c r="H556" i="2"/>
  <c r="E556" i="2"/>
  <c r="D556" i="2"/>
  <c r="C556" i="2"/>
  <c r="A556" i="2"/>
  <c r="I555" i="2"/>
  <c r="J555" i="2" s="1"/>
  <c r="H555" i="2"/>
  <c r="D555" i="2"/>
  <c r="E555" i="2" s="1"/>
  <c r="C555" i="2"/>
  <c r="A555" i="2"/>
  <c r="I554" i="2"/>
  <c r="J554" i="2" s="1"/>
  <c r="H554" i="2"/>
  <c r="E554" i="2"/>
  <c r="D554" i="2"/>
  <c r="C554" i="2"/>
  <c r="A554" i="2"/>
  <c r="J553" i="2"/>
  <c r="I553" i="2"/>
  <c r="H553" i="2"/>
  <c r="E553" i="2"/>
  <c r="D553" i="2"/>
  <c r="C553" i="2"/>
  <c r="A553" i="2"/>
  <c r="I552" i="2"/>
  <c r="J552" i="2" s="1"/>
  <c r="H552" i="2"/>
  <c r="E552" i="2"/>
  <c r="D552" i="2"/>
  <c r="C552" i="2"/>
  <c r="A552" i="2"/>
  <c r="I551" i="2"/>
  <c r="J551" i="2" s="1"/>
  <c r="H551" i="2"/>
  <c r="E551" i="2"/>
  <c r="D551" i="2"/>
  <c r="C551" i="2"/>
  <c r="A551" i="2"/>
  <c r="I550" i="2"/>
  <c r="J550" i="2" s="1"/>
  <c r="H550" i="2"/>
  <c r="E550" i="2"/>
  <c r="D550" i="2"/>
  <c r="C550" i="2"/>
  <c r="A550" i="2"/>
  <c r="I549" i="2"/>
  <c r="J549" i="2" s="1"/>
  <c r="H549" i="2"/>
  <c r="D549" i="2"/>
  <c r="E549" i="2" s="1"/>
  <c r="C549" i="2"/>
  <c r="A549" i="2"/>
  <c r="I548" i="2"/>
  <c r="J548" i="2" s="1"/>
  <c r="H548" i="2"/>
  <c r="E548" i="2"/>
  <c r="D548" i="2"/>
  <c r="C548" i="2"/>
  <c r="A548" i="2"/>
  <c r="J547" i="2"/>
  <c r="I547" i="2"/>
  <c r="H547" i="2"/>
  <c r="E547" i="2"/>
  <c r="D547" i="2"/>
  <c r="C547" i="2"/>
  <c r="A547" i="2"/>
  <c r="I546" i="2"/>
  <c r="J546" i="2" s="1"/>
  <c r="H546" i="2"/>
  <c r="D546" i="2"/>
  <c r="E546" i="2" s="1"/>
  <c r="C546" i="2"/>
  <c r="A546" i="2"/>
  <c r="I545" i="2"/>
  <c r="J545" i="2" s="1"/>
  <c r="H545" i="2"/>
  <c r="E545" i="2"/>
  <c r="D545" i="2"/>
  <c r="C545" i="2"/>
  <c r="A545" i="2"/>
  <c r="I544" i="2"/>
  <c r="J544" i="2" s="1"/>
  <c r="H544" i="2"/>
  <c r="E544" i="2"/>
  <c r="D544" i="2"/>
  <c r="C544" i="2"/>
  <c r="A544" i="2"/>
  <c r="I543" i="2"/>
  <c r="J543" i="2" s="1"/>
  <c r="H543" i="2"/>
  <c r="D543" i="2"/>
  <c r="E543" i="2" s="1"/>
  <c r="C543" i="2"/>
  <c r="A543" i="2"/>
  <c r="I542" i="2"/>
  <c r="J542" i="2" s="1"/>
  <c r="H542" i="2"/>
  <c r="E542" i="2"/>
  <c r="D542" i="2"/>
  <c r="C542" i="2"/>
  <c r="A542" i="2"/>
  <c r="J541" i="2"/>
  <c r="I541" i="2"/>
  <c r="H541" i="2"/>
  <c r="E541" i="2"/>
  <c r="D541" i="2"/>
  <c r="C541" i="2"/>
  <c r="A541" i="2"/>
  <c r="I540" i="2"/>
  <c r="J540" i="2" s="1"/>
  <c r="H540" i="2"/>
  <c r="E540" i="2"/>
  <c r="D540" i="2"/>
  <c r="C540" i="2"/>
  <c r="A540" i="2"/>
  <c r="I539" i="2"/>
  <c r="J539" i="2" s="1"/>
  <c r="H539" i="2"/>
  <c r="E539" i="2"/>
  <c r="D539" i="2"/>
  <c r="C539" i="2"/>
  <c r="A539" i="2"/>
  <c r="I538" i="2"/>
  <c r="J538" i="2" s="1"/>
  <c r="H538" i="2"/>
  <c r="E538" i="2"/>
  <c r="D538" i="2"/>
  <c r="C538" i="2"/>
  <c r="A538" i="2"/>
  <c r="I537" i="2"/>
  <c r="J537" i="2" s="1"/>
  <c r="H537" i="2"/>
  <c r="D537" i="2"/>
  <c r="E537" i="2" s="1"/>
  <c r="C537" i="2"/>
  <c r="A537" i="2"/>
  <c r="I536" i="2"/>
  <c r="J536" i="2" s="1"/>
  <c r="H536" i="2"/>
  <c r="E536" i="2"/>
  <c r="D536" i="2"/>
  <c r="C536" i="2"/>
  <c r="A536" i="2"/>
  <c r="J535" i="2"/>
  <c r="I535" i="2"/>
  <c r="H535" i="2"/>
  <c r="E535" i="2"/>
  <c r="D535" i="2"/>
  <c r="C535" i="2"/>
  <c r="A535" i="2"/>
  <c r="I534" i="2"/>
  <c r="J534" i="2" s="1"/>
  <c r="H534" i="2"/>
  <c r="D534" i="2"/>
  <c r="E534" i="2" s="1"/>
  <c r="C534" i="2"/>
  <c r="A534" i="2"/>
  <c r="I533" i="2"/>
  <c r="J533" i="2" s="1"/>
  <c r="H533" i="2"/>
  <c r="E533" i="2"/>
  <c r="D533" i="2"/>
  <c r="C533" i="2"/>
  <c r="A533" i="2"/>
  <c r="I532" i="2"/>
  <c r="J532" i="2" s="1"/>
  <c r="H532" i="2"/>
  <c r="E532" i="2"/>
  <c r="D532" i="2"/>
  <c r="C532" i="2"/>
  <c r="A532" i="2"/>
  <c r="I531" i="2"/>
  <c r="J531" i="2" s="1"/>
  <c r="H531" i="2"/>
  <c r="D531" i="2"/>
  <c r="E531" i="2" s="1"/>
  <c r="C531" i="2"/>
  <c r="A531" i="2"/>
  <c r="I530" i="2"/>
  <c r="J530" i="2" s="1"/>
  <c r="H530" i="2"/>
  <c r="E530" i="2"/>
  <c r="D530" i="2"/>
  <c r="C530" i="2"/>
  <c r="A530" i="2"/>
  <c r="J529" i="2"/>
  <c r="I529" i="2"/>
  <c r="H529" i="2"/>
  <c r="E529" i="2"/>
  <c r="D529" i="2"/>
  <c r="C529" i="2"/>
  <c r="A529" i="2"/>
  <c r="I528" i="2"/>
  <c r="J528" i="2" s="1"/>
  <c r="H528" i="2"/>
  <c r="E528" i="2"/>
  <c r="D528" i="2"/>
  <c r="C528" i="2"/>
  <c r="A528" i="2"/>
  <c r="I527" i="2"/>
  <c r="J527" i="2" s="1"/>
  <c r="H527" i="2"/>
  <c r="E527" i="2"/>
  <c r="D527" i="2"/>
  <c r="C527" i="2"/>
  <c r="A527" i="2"/>
  <c r="I526" i="2"/>
  <c r="J526" i="2" s="1"/>
  <c r="H526" i="2"/>
  <c r="E526" i="2"/>
  <c r="D526" i="2"/>
  <c r="C526" i="2"/>
  <c r="A526" i="2"/>
  <c r="I525" i="2"/>
  <c r="J525" i="2" s="1"/>
  <c r="H525" i="2"/>
  <c r="D525" i="2"/>
  <c r="E525" i="2" s="1"/>
  <c r="C525" i="2"/>
  <c r="A525" i="2"/>
  <c r="I524" i="2"/>
  <c r="J524" i="2" s="1"/>
  <c r="H524" i="2"/>
  <c r="E524" i="2"/>
  <c r="D524" i="2"/>
  <c r="C524" i="2"/>
  <c r="A524" i="2"/>
  <c r="J523" i="2"/>
  <c r="I523" i="2"/>
  <c r="H523" i="2"/>
  <c r="E523" i="2"/>
  <c r="D523" i="2"/>
  <c r="C523" i="2"/>
  <c r="A523" i="2"/>
  <c r="I522" i="2"/>
  <c r="J522" i="2" s="1"/>
  <c r="H522" i="2"/>
  <c r="D522" i="2"/>
  <c r="E522" i="2" s="1"/>
  <c r="C522" i="2"/>
  <c r="A522" i="2"/>
  <c r="I521" i="2"/>
  <c r="J521" i="2" s="1"/>
  <c r="H521" i="2"/>
  <c r="E521" i="2"/>
  <c r="D521" i="2"/>
  <c r="C521" i="2"/>
  <c r="A521" i="2"/>
  <c r="I520" i="2"/>
  <c r="J520" i="2" s="1"/>
  <c r="H520" i="2"/>
  <c r="E520" i="2"/>
  <c r="D520" i="2"/>
  <c r="C520" i="2"/>
  <c r="A520" i="2"/>
  <c r="I519" i="2"/>
  <c r="J519" i="2" s="1"/>
  <c r="H519" i="2"/>
  <c r="D519" i="2"/>
  <c r="E519" i="2" s="1"/>
  <c r="C519" i="2"/>
  <c r="A519" i="2"/>
  <c r="I518" i="2"/>
  <c r="J518" i="2" s="1"/>
  <c r="H518" i="2"/>
  <c r="E518" i="2"/>
  <c r="D518" i="2"/>
  <c r="C518" i="2"/>
  <c r="A518" i="2"/>
  <c r="J517" i="2"/>
  <c r="I517" i="2"/>
  <c r="H517" i="2"/>
  <c r="E517" i="2"/>
  <c r="D517" i="2"/>
  <c r="C517" i="2"/>
  <c r="A517" i="2"/>
  <c r="I516" i="2"/>
  <c r="J516" i="2" s="1"/>
  <c r="H516" i="2"/>
  <c r="E516" i="2"/>
  <c r="D516" i="2"/>
  <c r="C516" i="2"/>
  <c r="A516" i="2"/>
  <c r="I515" i="2"/>
  <c r="J515" i="2" s="1"/>
  <c r="H515" i="2"/>
  <c r="E515" i="2"/>
  <c r="D515" i="2"/>
  <c r="C515" i="2"/>
  <c r="A515" i="2"/>
  <c r="I514" i="2"/>
  <c r="J514" i="2" s="1"/>
  <c r="H514" i="2"/>
  <c r="E514" i="2"/>
  <c r="D514" i="2"/>
  <c r="C514" i="2"/>
  <c r="A514" i="2"/>
  <c r="I513" i="2"/>
  <c r="J513" i="2" s="1"/>
  <c r="H513" i="2"/>
  <c r="D513" i="2"/>
  <c r="E513" i="2" s="1"/>
  <c r="C513" i="2"/>
  <c r="A513" i="2"/>
  <c r="I512" i="2"/>
  <c r="J512" i="2" s="1"/>
  <c r="H512" i="2"/>
  <c r="E512" i="2"/>
  <c r="D512" i="2"/>
  <c r="C512" i="2"/>
  <c r="A512" i="2"/>
  <c r="J511" i="2"/>
  <c r="I511" i="2"/>
  <c r="H511" i="2"/>
  <c r="E511" i="2"/>
  <c r="D511" i="2"/>
  <c r="C511" i="2"/>
  <c r="A511" i="2"/>
  <c r="I510" i="2"/>
  <c r="J510" i="2" s="1"/>
  <c r="H510" i="2"/>
  <c r="D510" i="2"/>
  <c r="E510" i="2" s="1"/>
  <c r="C510" i="2"/>
  <c r="A510" i="2"/>
  <c r="I509" i="2"/>
  <c r="J509" i="2" s="1"/>
  <c r="H509" i="2"/>
  <c r="E509" i="2"/>
  <c r="D509" i="2"/>
  <c r="C509" i="2"/>
  <c r="A509" i="2"/>
  <c r="I508" i="2"/>
  <c r="J508" i="2" s="1"/>
  <c r="H508" i="2"/>
  <c r="E508" i="2"/>
  <c r="D508" i="2"/>
  <c r="C508" i="2"/>
  <c r="A508" i="2"/>
  <c r="I507" i="2"/>
  <c r="J507" i="2" s="1"/>
  <c r="H507" i="2"/>
  <c r="D507" i="2"/>
  <c r="E507" i="2" s="1"/>
  <c r="C507" i="2"/>
  <c r="A507" i="2"/>
  <c r="I506" i="2"/>
  <c r="J506" i="2" s="1"/>
  <c r="H506" i="2"/>
  <c r="E506" i="2"/>
  <c r="D506" i="2"/>
  <c r="C506" i="2"/>
  <c r="A506" i="2"/>
  <c r="J505" i="2"/>
  <c r="I505" i="2"/>
  <c r="H505" i="2"/>
  <c r="E505" i="2"/>
  <c r="D505" i="2"/>
  <c r="C505" i="2"/>
  <c r="A505" i="2"/>
  <c r="I504" i="2"/>
  <c r="J504" i="2" s="1"/>
  <c r="H504" i="2"/>
  <c r="E504" i="2"/>
  <c r="D504" i="2"/>
  <c r="C504" i="2"/>
  <c r="A504" i="2"/>
  <c r="I503" i="2"/>
  <c r="J503" i="2" s="1"/>
  <c r="H503" i="2"/>
  <c r="E503" i="2"/>
  <c r="D503" i="2"/>
  <c r="C503" i="2"/>
  <c r="A503" i="2"/>
  <c r="I502" i="2"/>
  <c r="J502" i="2" s="1"/>
  <c r="H502" i="2"/>
  <c r="E502" i="2"/>
  <c r="D502" i="2"/>
  <c r="C502" i="2"/>
  <c r="A502" i="2"/>
  <c r="I501" i="2"/>
  <c r="J501" i="2" s="1"/>
  <c r="H501" i="2"/>
  <c r="D501" i="2"/>
  <c r="E501" i="2" s="1"/>
  <c r="C501" i="2"/>
  <c r="A501" i="2"/>
  <c r="I500" i="2"/>
  <c r="J500" i="2" s="1"/>
  <c r="H500" i="2"/>
  <c r="E500" i="2"/>
  <c r="D500" i="2"/>
  <c r="C500" i="2"/>
  <c r="A500" i="2"/>
  <c r="J499" i="2"/>
  <c r="I499" i="2"/>
  <c r="H499" i="2"/>
  <c r="E499" i="2"/>
  <c r="D499" i="2"/>
  <c r="C499" i="2"/>
  <c r="A499" i="2"/>
  <c r="I498" i="2"/>
  <c r="J498" i="2" s="1"/>
  <c r="H498" i="2"/>
  <c r="D498" i="2"/>
  <c r="E498" i="2" s="1"/>
  <c r="C498" i="2"/>
  <c r="A498" i="2"/>
  <c r="I497" i="2"/>
  <c r="J497" i="2" s="1"/>
  <c r="H497" i="2"/>
  <c r="E497" i="2"/>
  <c r="D497" i="2"/>
  <c r="C497" i="2"/>
  <c r="A497" i="2"/>
  <c r="I496" i="2"/>
  <c r="J496" i="2" s="1"/>
  <c r="H496" i="2"/>
  <c r="E496" i="2"/>
  <c r="D496" i="2"/>
  <c r="C496" i="2"/>
  <c r="A496" i="2"/>
  <c r="I495" i="2"/>
  <c r="J495" i="2" s="1"/>
  <c r="H495" i="2"/>
  <c r="D495" i="2"/>
  <c r="E495" i="2" s="1"/>
  <c r="C495" i="2"/>
  <c r="A495" i="2"/>
  <c r="I494" i="2"/>
  <c r="J494" i="2" s="1"/>
  <c r="H494" i="2"/>
  <c r="E494" i="2"/>
  <c r="D494" i="2"/>
  <c r="C494" i="2"/>
  <c r="A494" i="2"/>
  <c r="J493" i="2"/>
  <c r="I493" i="2"/>
  <c r="H493" i="2"/>
  <c r="E493" i="2"/>
  <c r="D493" i="2"/>
  <c r="C493" i="2"/>
  <c r="A493" i="2"/>
  <c r="I492" i="2"/>
  <c r="J492" i="2" s="1"/>
  <c r="H492" i="2"/>
  <c r="E492" i="2"/>
  <c r="D492" i="2"/>
  <c r="C492" i="2"/>
  <c r="A492" i="2"/>
  <c r="I491" i="2"/>
  <c r="J491" i="2" s="1"/>
  <c r="H491" i="2"/>
  <c r="E491" i="2"/>
  <c r="D491" i="2"/>
  <c r="C491" i="2"/>
  <c r="A491" i="2"/>
  <c r="I490" i="2"/>
  <c r="J490" i="2" s="1"/>
  <c r="H490" i="2"/>
  <c r="E490" i="2"/>
  <c r="D490" i="2"/>
  <c r="C490" i="2"/>
  <c r="A490" i="2"/>
  <c r="I489" i="2"/>
  <c r="J489" i="2" s="1"/>
  <c r="H489" i="2"/>
  <c r="D489" i="2"/>
  <c r="E489" i="2" s="1"/>
  <c r="C489" i="2"/>
  <c r="A489" i="2"/>
  <c r="I488" i="2"/>
  <c r="J488" i="2" s="1"/>
  <c r="H488" i="2"/>
  <c r="E488" i="2"/>
  <c r="D488" i="2"/>
  <c r="C488" i="2"/>
  <c r="A488" i="2"/>
  <c r="J487" i="2"/>
  <c r="I487" i="2"/>
  <c r="H487" i="2"/>
  <c r="E487" i="2"/>
  <c r="D487" i="2"/>
  <c r="C487" i="2"/>
  <c r="A487" i="2"/>
  <c r="I486" i="2"/>
  <c r="J486" i="2" s="1"/>
  <c r="H486" i="2"/>
  <c r="D486" i="2"/>
  <c r="E486" i="2" s="1"/>
  <c r="C486" i="2"/>
  <c r="A486" i="2"/>
  <c r="I485" i="2"/>
  <c r="J485" i="2" s="1"/>
  <c r="H485" i="2"/>
  <c r="E485" i="2"/>
  <c r="D485" i="2"/>
  <c r="C485" i="2"/>
  <c r="A485" i="2"/>
  <c r="I484" i="2"/>
  <c r="J484" i="2" s="1"/>
  <c r="H484" i="2"/>
  <c r="E484" i="2"/>
  <c r="D484" i="2"/>
  <c r="C484" i="2"/>
  <c r="A484" i="2"/>
  <c r="I483" i="2"/>
  <c r="J483" i="2" s="1"/>
  <c r="H483" i="2"/>
  <c r="D483" i="2"/>
  <c r="E483" i="2" s="1"/>
  <c r="C483" i="2"/>
  <c r="A483" i="2"/>
  <c r="I482" i="2"/>
  <c r="J482" i="2" s="1"/>
  <c r="H482" i="2"/>
  <c r="E482" i="2"/>
  <c r="D482" i="2"/>
  <c r="C482" i="2"/>
  <c r="A482" i="2"/>
  <c r="J481" i="2"/>
  <c r="I481" i="2"/>
  <c r="H481" i="2"/>
  <c r="E481" i="2"/>
  <c r="D481" i="2"/>
  <c r="C481" i="2"/>
  <c r="A481" i="2"/>
  <c r="I480" i="2"/>
  <c r="J480" i="2" s="1"/>
  <c r="H480" i="2"/>
  <c r="E480" i="2"/>
  <c r="D480" i="2"/>
  <c r="C480" i="2"/>
  <c r="A480" i="2"/>
  <c r="I479" i="2"/>
  <c r="J479" i="2" s="1"/>
  <c r="H479" i="2"/>
  <c r="E479" i="2"/>
  <c r="D479" i="2"/>
  <c r="C479" i="2"/>
  <c r="A479" i="2"/>
  <c r="I478" i="2"/>
  <c r="J478" i="2" s="1"/>
  <c r="H478" i="2"/>
  <c r="E478" i="2"/>
  <c r="D478" i="2"/>
  <c r="C478" i="2"/>
  <c r="A478" i="2"/>
  <c r="I477" i="2"/>
  <c r="J477" i="2" s="1"/>
  <c r="H477" i="2"/>
  <c r="D477" i="2"/>
  <c r="E477" i="2" s="1"/>
  <c r="C477" i="2"/>
  <c r="A477" i="2"/>
  <c r="I476" i="2"/>
  <c r="J476" i="2" s="1"/>
  <c r="H476" i="2"/>
  <c r="E476" i="2"/>
  <c r="D476" i="2"/>
  <c r="C476" i="2"/>
  <c r="A476" i="2"/>
  <c r="J475" i="2"/>
  <c r="I475" i="2"/>
  <c r="H475" i="2"/>
  <c r="E475" i="2"/>
  <c r="D475" i="2"/>
  <c r="C475" i="2"/>
  <c r="A475" i="2"/>
  <c r="I474" i="2"/>
  <c r="J474" i="2" s="1"/>
  <c r="H474" i="2"/>
  <c r="D474" i="2"/>
  <c r="E474" i="2" s="1"/>
  <c r="C474" i="2"/>
  <c r="A474" i="2"/>
  <c r="I473" i="2"/>
  <c r="J473" i="2" s="1"/>
  <c r="H473" i="2"/>
  <c r="E473" i="2"/>
  <c r="D473" i="2"/>
  <c r="C473" i="2"/>
  <c r="A473" i="2"/>
  <c r="I472" i="2"/>
  <c r="J472" i="2" s="1"/>
  <c r="H472" i="2"/>
  <c r="E472" i="2"/>
  <c r="D472" i="2"/>
  <c r="C472" i="2"/>
  <c r="A472" i="2"/>
  <c r="I471" i="2"/>
  <c r="J471" i="2" s="1"/>
  <c r="H471" i="2"/>
  <c r="D471" i="2"/>
  <c r="E471" i="2" s="1"/>
  <c r="C471" i="2"/>
  <c r="A471" i="2"/>
  <c r="I470" i="2"/>
  <c r="J470" i="2" s="1"/>
  <c r="H470" i="2"/>
  <c r="E470" i="2"/>
  <c r="D470" i="2"/>
  <c r="C470" i="2"/>
  <c r="A470" i="2"/>
  <c r="J469" i="2"/>
  <c r="I469" i="2"/>
  <c r="H469" i="2"/>
  <c r="E469" i="2"/>
  <c r="D469" i="2"/>
  <c r="C469" i="2"/>
  <c r="A469" i="2"/>
  <c r="I468" i="2"/>
  <c r="J468" i="2" s="1"/>
  <c r="H468" i="2"/>
  <c r="E468" i="2"/>
  <c r="D468" i="2"/>
  <c r="C468" i="2"/>
  <c r="A468" i="2"/>
  <c r="I467" i="2"/>
  <c r="J467" i="2" s="1"/>
  <c r="H467" i="2"/>
  <c r="E467" i="2"/>
  <c r="D467" i="2"/>
  <c r="C467" i="2"/>
  <c r="A467" i="2"/>
  <c r="I466" i="2"/>
  <c r="J466" i="2" s="1"/>
  <c r="H466" i="2"/>
  <c r="E466" i="2"/>
  <c r="D466" i="2"/>
  <c r="C466" i="2"/>
  <c r="A466" i="2"/>
  <c r="I465" i="2"/>
  <c r="J465" i="2" s="1"/>
  <c r="H465" i="2"/>
  <c r="D465" i="2"/>
  <c r="E465" i="2" s="1"/>
  <c r="C465" i="2"/>
  <c r="A465" i="2"/>
  <c r="I464" i="2"/>
  <c r="J464" i="2" s="1"/>
  <c r="H464" i="2"/>
  <c r="E464" i="2"/>
  <c r="D464" i="2"/>
  <c r="C464" i="2"/>
  <c r="A464" i="2"/>
  <c r="J463" i="2"/>
  <c r="I463" i="2"/>
  <c r="H463" i="2"/>
  <c r="E463" i="2"/>
  <c r="D463" i="2"/>
  <c r="C463" i="2"/>
  <c r="A463" i="2"/>
  <c r="I462" i="2"/>
  <c r="J462" i="2" s="1"/>
  <c r="H462" i="2"/>
  <c r="D462" i="2"/>
  <c r="E462" i="2" s="1"/>
  <c r="C462" i="2"/>
  <c r="A462" i="2"/>
  <c r="I461" i="2"/>
  <c r="J461" i="2" s="1"/>
  <c r="H461" i="2"/>
  <c r="E461" i="2"/>
  <c r="D461" i="2"/>
  <c r="C461" i="2"/>
  <c r="A461" i="2"/>
  <c r="I460" i="2"/>
  <c r="J460" i="2" s="1"/>
  <c r="H460" i="2"/>
  <c r="E460" i="2"/>
  <c r="D460" i="2"/>
  <c r="C460" i="2"/>
  <c r="A460" i="2"/>
  <c r="I459" i="2"/>
  <c r="J459" i="2" s="1"/>
  <c r="H459" i="2"/>
  <c r="D459" i="2"/>
  <c r="E459" i="2" s="1"/>
  <c r="C459" i="2"/>
  <c r="A459" i="2"/>
  <c r="I458" i="2"/>
  <c r="J458" i="2" s="1"/>
  <c r="H458" i="2"/>
  <c r="E458" i="2"/>
  <c r="D458" i="2"/>
  <c r="C458" i="2"/>
  <c r="A458" i="2"/>
  <c r="J457" i="2"/>
  <c r="I457" i="2"/>
  <c r="H457" i="2"/>
  <c r="E457" i="2"/>
  <c r="D457" i="2"/>
  <c r="C457" i="2"/>
  <c r="A457" i="2"/>
  <c r="I456" i="2"/>
  <c r="J456" i="2" s="1"/>
  <c r="H456" i="2"/>
  <c r="E456" i="2"/>
  <c r="D456" i="2"/>
  <c r="C456" i="2"/>
  <c r="A456" i="2"/>
  <c r="I455" i="2"/>
  <c r="J455" i="2" s="1"/>
  <c r="H455" i="2"/>
  <c r="E455" i="2"/>
  <c r="D455" i="2"/>
  <c r="C455" i="2"/>
  <c r="A455" i="2"/>
  <c r="I454" i="2"/>
  <c r="J454" i="2" s="1"/>
  <c r="H454" i="2"/>
  <c r="E454" i="2"/>
  <c r="D454" i="2"/>
  <c r="C454" i="2"/>
  <c r="A454" i="2"/>
  <c r="I453" i="2"/>
  <c r="J453" i="2" s="1"/>
  <c r="H453" i="2"/>
  <c r="D453" i="2"/>
  <c r="E453" i="2" s="1"/>
  <c r="C453" i="2"/>
  <c r="A453" i="2"/>
  <c r="I452" i="2"/>
  <c r="J452" i="2" s="1"/>
  <c r="H452" i="2"/>
  <c r="E452" i="2"/>
  <c r="D452" i="2"/>
  <c r="C452" i="2"/>
  <c r="A452" i="2"/>
  <c r="J451" i="2"/>
  <c r="I451" i="2"/>
  <c r="H451" i="2"/>
  <c r="E451" i="2"/>
  <c r="D451" i="2"/>
  <c r="C451" i="2"/>
  <c r="A451" i="2"/>
  <c r="I450" i="2"/>
  <c r="J450" i="2" s="1"/>
  <c r="H450" i="2"/>
  <c r="D450" i="2"/>
  <c r="E450" i="2" s="1"/>
  <c r="C450" i="2"/>
  <c r="A450" i="2"/>
  <c r="I449" i="2"/>
  <c r="J449" i="2" s="1"/>
  <c r="H449" i="2"/>
  <c r="E449" i="2"/>
  <c r="D449" i="2"/>
  <c r="C449" i="2"/>
  <c r="A449" i="2"/>
  <c r="I448" i="2"/>
  <c r="J448" i="2" s="1"/>
  <c r="H448" i="2"/>
  <c r="E448" i="2"/>
  <c r="D448" i="2"/>
  <c r="C448" i="2"/>
  <c r="A448" i="2"/>
  <c r="I447" i="2"/>
  <c r="J447" i="2" s="1"/>
  <c r="H447" i="2"/>
  <c r="D447" i="2"/>
  <c r="E447" i="2" s="1"/>
  <c r="C447" i="2"/>
  <c r="A447" i="2"/>
  <c r="I446" i="2"/>
  <c r="J446" i="2" s="1"/>
  <c r="H446" i="2"/>
  <c r="E446" i="2"/>
  <c r="D446" i="2"/>
  <c r="C446" i="2"/>
  <c r="A446" i="2"/>
  <c r="J445" i="2"/>
  <c r="I445" i="2"/>
  <c r="H445" i="2"/>
  <c r="E445" i="2"/>
  <c r="D445" i="2"/>
  <c r="C445" i="2"/>
  <c r="A445" i="2"/>
  <c r="I444" i="2"/>
  <c r="J444" i="2" s="1"/>
  <c r="H444" i="2"/>
  <c r="E444" i="2"/>
  <c r="D444" i="2"/>
  <c r="C444" i="2"/>
  <c r="A444" i="2"/>
  <c r="I443" i="2"/>
  <c r="J443" i="2" s="1"/>
  <c r="H443" i="2"/>
  <c r="E443" i="2"/>
  <c r="D443" i="2"/>
  <c r="C443" i="2"/>
  <c r="A443" i="2"/>
  <c r="I442" i="2"/>
  <c r="J442" i="2" s="1"/>
  <c r="H442" i="2"/>
  <c r="E442" i="2"/>
  <c r="D442" i="2"/>
  <c r="C442" i="2"/>
  <c r="A442" i="2"/>
  <c r="I441" i="2"/>
  <c r="J441" i="2" s="1"/>
  <c r="H441" i="2"/>
  <c r="D441" i="2"/>
  <c r="E441" i="2" s="1"/>
  <c r="C441" i="2"/>
  <c r="A441" i="2"/>
  <c r="I440" i="2"/>
  <c r="J440" i="2" s="1"/>
  <c r="H440" i="2"/>
  <c r="E440" i="2"/>
  <c r="D440" i="2"/>
  <c r="C440" i="2"/>
  <c r="A440" i="2"/>
  <c r="J439" i="2"/>
  <c r="I439" i="2"/>
  <c r="H439" i="2"/>
  <c r="E439" i="2"/>
  <c r="D439" i="2"/>
  <c r="C439" i="2"/>
  <c r="A439" i="2"/>
  <c r="I438" i="2"/>
  <c r="J438" i="2" s="1"/>
  <c r="H438" i="2"/>
  <c r="D438" i="2"/>
  <c r="E438" i="2" s="1"/>
  <c r="C438" i="2"/>
  <c r="A438" i="2"/>
  <c r="I437" i="2"/>
  <c r="J437" i="2" s="1"/>
  <c r="H437" i="2"/>
  <c r="E437" i="2"/>
  <c r="D437" i="2"/>
  <c r="C437" i="2"/>
  <c r="A437" i="2"/>
  <c r="I436" i="2"/>
  <c r="J436" i="2" s="1"/>
  <c r="H436" i="2"/>
  <c r="E436" i="2"/>
  <c r="D436" i="2"/>
  <c r="C436" i="2"/>
  <c r="A436" i="2"/>
  <c r="I435" i="2"/>
  <c r="J435" i="2" s="1"/>
  <c r="H435" i="2"/>
  <c r="D435" i="2"/>
  <c r="E435" i="2" s="1"/>
  <c r="C435" i="2"/>
  <c r="A435" i="2"/>
  <c r="I434" i="2"/>
  <c r="J434" i="2" s="1"/>
  <c r="H434" i="2"/>
  <c r="E434" i="2"/>
  <c r="D434" i="2"/>
  <c r="C434" i="2"/>
  <c r="A434" i="2"/>
  <c r="J433" i="2"/>
  <c r="I433" i="2"/>
  <c r="H433" i="2"/>
  <c r="E433" i="2"/>
  <c r="D433" i="2"/>
  <c r="C433" i="2"/>
  <c r="A433" i="2"/>
  <c r="I432" i="2"/>
  <c r="J432" i="2" s="1"/>
  <c r="H432" i="2"/>
  <c r="E432" i="2"/>
  <c r="D432" i="2"/>
  <c r="C432" i="2"/>
  <c r="A432" i="2"/>
  <c r="I431" i="2"/>
  <c r="J431" i="2" s="1"/>
  <c r="H431" i="2"/>
  <c r="E431" i="2"/>
  <c r="D431" i="2"/>
  <c r="C431" i="2"/>
  <c r="A431" i="2"/>
  <c r="I430" i="2"/>
  <c r="J430" i="2" s="1"/>
  <c r="H430" i="2"/>
  <c r="E430" i="2"/>
  <c r="D430" i="2"/>
  <c r="C430" i="2"/>
  <c r="A430" i="2"/>
  <c r="I429" i="2"/>
  <c r="J429" i="2" s="1"/>
  <c r="H429" i="2"/>
  <c r="D429" i="2"/>
  <c r="E429" i="2" s="1"/>
  <c r="C429" i="2"/>
  <c r="A429" i="2"/>
  <c r="I428" i="2"/>
  <c r="J428" i="2" s="1"/>
  <c r="H428" i="2"/>
  <c r="E428" i="2"/>
  <c r="D428" i="2"/>
  <c r="C428" i="2"/>
  <c r="A428" i="2"/>
  <c r="J427" i="2"/>
  <c r="I427" i="2"/>
  <c r="H427" i="2"/>
  <c r="E427" i="2"/>
  <c r="D427" i="2"/>
  <c r="C427" i="2"/>
  <c r="A427" i="2"/>
  <c r="I426" i="2"/>
  <c r="J426" i="2" s="1"/>
  <c r="H426" i="2"/>
  <c r="D426" i="2"/>
  <c r="E426" i="2" s="1"/>
  <c r="C426" i="2"/>
  <c r="A426" i="2"/>
  <c r="I425" i="2"/>
  <c r="J425" i="2" s="1"/>
  <c r="H425" i="2"/>
  <c r="E425" i="2"/>
  <c r="D425" i="2"/>
  <c r="C425" i="2"/>
  <c r="A425" i="2"/>
  <c r="I424" i="2"/>
  <c r="J424" i="2" s="1"/>
  <c r="H424" i="2"/>
  <c r="E424" i="2"/>
  <c r="D424" i="2"/>
  <c r="C424" i="2"/>
  <c r="A424" i="2"/>
  <c r="I423" i="2"/>
  <c r="J423" i="2" s="1"/>
  <c r="H423" i="2"/>
  <c r="D423" i="2"/>
  <c r="E423" i="2" s="1"/>
  <c r="C423" i="2"/>
  <c r="A423" i="2"/>
  <c r="I422" i="2"/>
  <c r="J422" i="2" s="1"/>
  <c r="H422" i="2"/>
  <c r="E422" i="2"/>
  <c r="D422" i="2"/>
  <c r="C422" i="2"/>
  <c r="A422" i="2"/>
  <c r="J421" i="2"/>
  <c r="I421" i="2"/>
  <c r="H421" i="2"/>
  <c r="E421" i="2"/>
  <c r="D421" i="2"/>
  <c r="C421" i="2"/>
  <c r="A421" i="2"/>
  <c r="I420" i="2"/>
  <c r="J420" i="2" s="1"/>
  <c r="H420" i="2"/>
  <c r="E420" i="2"/>
  <c r="D420" i="2"/>
  <c r="C420" i="2"/>
  <c r="A420" i="2"/>
  <c r="I419" i="2"/>
  <c r="J419" i="2" s="1"/>
  <c r="H419" i="2"/>
  <c r="E419" i="2"/>
  <c r="D419" i="2"/>
  <c r="C419" i="2"/>
  <c r="A419" i="2"/>
  <c r="I418" i="2"/>
  <c r="J418" i="2" s="1"/>
  <c r="H418" i="2"/>
  <c r="E418" i="2"/>
  <c r="D418" i="2"/>
  <c r="C418" i="2"/>
  <c r="A418" i="2"/>
  <c r="I417" i="2"/>
  <c r="J417" i="2" s="1"/>
  <c r="H417" i="2"/>
  <c r="D417" i="2"/>
  <c r="E417" i="2" s="1"/>
  <c r="C417" i="2"/>
  <c r="A417" i="2"/>
  <c r="I416" i="2"/>
  <c r="J416" i="2" s="1"/>
  <c r="H416" i="2"/>
  <c r="E416" i="2"/>
  <c r="D416" i="2"/>
  <c r="C416" i="2"/>
  <c r="A416" i="2"/>
  <c r="J415" i="2"/>
  <c r="I415" i="2"/>
  <c r="H415" i="2"/>
  <c r="E415" i="2"/>
  <c r="D415" i="2"/>
  <c r="C415" i="2"/>
  <c r="A415" i="2"/>
  <c r="I414" i="2"/>
  <c r="J414" i="2" s="1"/>
  <c r="H414" i="2"/>
  <c r="D414" i="2"/>
  <c r="E414" i="2" s="1"/>
  <c r="C414" i="2"/>
  <c r="A414" i="2"/>
  <c r="I413" i="2"/>
  <c r="J413" i="2" s="1"/>
  <c r="H413" i="2"/>
  <c r="E413" i="2"/>
  <c r="D413" i="2"/>
  <c r="C413" i="2"/>
  <c r="A413" i="2"/>
  <c r="I412" i="2"/>
  <c r="J412" i="2" s="1"/>
  <c r="H412" i="2"/>
  <c r="E412" i="2"/>
  <c r="D412" i="2"/>
  <c r="C412" i="2"/>
  <c r="A412" i="2"/>
  <c r="I411" i="2"/>
  <c r="J411" i="2" s="1"/>
  <c r="H411" i="2"/>
  <c r="D411" i="2"/>
  <c r="E411" i="2" s="1"/>
  <c r="C411" i="2"/>
  <c r="A411" i="2"/>
  <c r="I410" i="2"/>
  <c r="J410" i="2" s="1"/>
  <c r="H410" i="2"/>
  <c r="E410" i="2"/>
  <c r="D410" i="2"/>
  <c r="C410" i="2"/>
  <c r="A410" i="2"/>
  <c r="J409" i="2"/>
  <c r="I409" i="2"/>
  <c r="H409" i="2"/>
  <c r="E409" i="2"/>
  <c r="D409" i="2"/>
  <c r="C409" i="2"/>
  <c r="A409" i="2"/>
  <c r="I408" i="2"/>
  <c r="J408" i="2" s="1"/>
  <c r="H408" i="2"/>
  <c r="E408" i="2"/>
  <c r="D408" i="2"/>
  <c r="C408" i="2"/>
  <c r="A408" i="2"/>
  <c r="I407" i="2"/>
  <c r="J407" i="2" s="1"/>
  <c r="H407" i="2"/>
  <c r="E407" i="2"/>
  <c r="D407" i="2"/>
  <c r="C407" i="2"/>
  <c r="A407" i="2"/>
  <c r="I406" i="2"/>
  <c r="J406" i="2" s="1"/>
  <c r="H406" i="2"/>
  <c r="E406" i="2"/>
  <c r="D406" i="2"/>
  <c r="C406" i="2"/>
  <c r="A406" i="2"/>
  <c r="I405" i="2"/>
  <c r="J405" i="2" s="1"/>
  <c r="H405" i="2"/>
  <c r="D405" i="2"/>
  <c r="E405" i="2" s="1"/>
  <c r="C405" i="2"/>
  <c r="A405" i="2"/>
  <c r="I404" i="2"/>
  <c r="J404" i="2" s="1"/>
  <c r="H404" i="2"/>
  <c r="E404" i="2"/>
  <c r="D404" i="2"/>
  <c r="C404" i="2"/>
  <c r="A404" i="2"/>
  <c r="J403" i="2"/>
  <c r="I403" i="2"/>
  <c r="H403" i="2"/>
  <c r="E403" i="2"/>
  <c r="D403" i="2"/>
  <c r="C403" i="2"/>
  <c r="A403" i="2"/>
  <c r="I402" i="2"/>
  <c r="J402" i="2" s="1"/>
  <c r="H402" i="2"/>
  <c r="D402" i="2"/>
  <c r="E402" i="2" s="1"/>
  <c r="C402" i="2"/>
  <c r="A402" i="2"/>
  <c r="I401" i="2"/>
  <c r="J401" i="2" s="1"/>
  <c r="H401" i="2"/>
  <c r="E401" i="2"/>
  <c r="D401" i="2"/>
  <c r="C401" i="2"/>
  <c r="A401" i="2"/>
  <c r="I400" i="2"/>
  <c r="J400" i="2" s="1"/>
  <c r="H400" i="2"/>
  <c r="E400" i="2"/>
  <c r="D400" i="2"/>
  <c r="C400" i="2"/>
  <c r="A400" i="2"/>
  <c r="I399" i="2"/>
  <c r="J399" i="2" s="1"/>
  <c r="H399" i="2"/>
  <c r="D399" i="2"/>
  <c r="E399" i="2" s="1"/>
  <c r="C399" i="2"/>
  <c r="A399" i="2"/>
  <c r="I398" i="2"/>
  <c r="J398" i="2" s="1"/>
  <c r="H398" i="2"/>
  <c r="E398" i="2"/>
  <c r="D398" i="2"/>
  <c r="C398" i="2"/>
  <c r="A398" i="2"/>
  <c r="J397" i="2"/>
  <c r="I397" i="2"/>
  <c r="H397" i="2"/>
  <c r="E397" i="2"/>
  <c r="D397" i="2"/>
  <c r="C397" i="2"/>
  <c r="A397" i="2"/>
  <c r="I396" i="2"/>
  <c r="J396" i="2" s="1"/>
  <c r="H396" i="2"/>
  <c r="E396" i="2"/>
  <c r="D396" i="2"/>
  <c r="C396" i="2"/>
  <c r="A396" i="2"/>
  <c r="I395" i="2"/>
  <c r="J395" i="2" s="1"/>
  <c r="H395" i="2"/>
  <c r="E395" i="2"/>
  <c r="D395" i="2"/>
  <c r="C395" i="2"/>
  <c r="A395" i="2"/>
  <c r="I394" i="2"/>
  <c r="J394" i="2" s="1"/>
  <c r="H394" i="2"/>
  <c r="E394" i="2"/>
  <c r="D394" i="2"/>
  <c r="C394" i="2"/>
  <c r="A394" i="2"/>
  <c r="I393" i="2"/>
  <c r="J393" i="2" s="1"/>
  <c r="H393" i="2"/>
  <c r="D393" i="2"/>
  <c r="E393" i="2" s="1"/>
  <c r="C393" i="2"/>
  <c r="A393" i="2"/>
  <c r="I392" i="2"/>
  <c r="J392" i="2" s="1"/>
  <c r="H392" i="2"/>
  <c r="E392" i="2"/>
  <c r="D392" i="2"/>
  <c r="C392" i="2"/>
  <c r="A392" i="2"/>
  <c r="J391" i="2"/>
  <c r="I391" i="2"/>
  <c r="H391" i="2"/>
  <c r="E391" i="2"/>
  <c r="D391" i="2"/>
  <c r="C391" i="2"/>
  <c r="A391" i="2"/>
  <c r="I390" i="2"/>
  <c r="J390" i="2" s="1"/>
  <c r="H390" i="2"/>
  <c r="D390" i="2"/>
  <c r="E390" i="2" s="1"/>
  <c r="C390" i="2"/>
  <c r="A390" i="2"/>
  <c r="I389" i="2"/>
  <c r="J389" i="2" s="1"/>
  <c r="H389" i="2"/>
  <c r="E389" i="2"/>
  <c r="D389" i="2"/>
  <c r="C389" i="2"/>
  <c r="A389" i="2"/>
  <c r="I388" i="2"/>
  <c r="J388" i="2" s="1"/>
  <c r="H388" i="2"/>
  <c r="E388" i="2"/>
  <c r="D388" i="2"/>
  <c r="C388" i="2"/>
  <c r="A388" i="2"/>
  <c r="I387" i="2"/>
  <c r="J387" i="2" s="1"/>
  <c r="H387" i="2"/>
  <c r="D387" i="2"/>
  <c r="E387" i="2" s="1"/>
  <c r="C387" i="2"/>
  <c r="A387" i="2"/>
  <c r="I386" i="2"/>
  <c r="J386" i="2" s="1"/>
  <c r="H386" i="2"/>
  <c r="E386" i="2"/>
  <c r="D386" i="2"/>
  <c r="C386" i="2"/>
  <c r="A386" i="2"/>
  <c r="J385" i="2"/>
  <c r="I385" i="2"/>
  <c r="H385" i="2"/>
  <c r="E385" i="2"/>
  <c r="D385" i="2"/>
  <c r="C385" i="2"/>
  <c r="A385" i="2"/>
  <c r="I384" i="2"/>
  <c r="J384" i="2" s="1"/>
  <c r="H384" i="2"/>
  <c r="E384" i="2"/>
  <c r="D384" i="2"/>
  <c r="C384" i="2"/>
  <c r="A384" i="2"/>
  <c r="I383" i="2"/>
  <c r="J383" i="2" s="1"/>
  <c r="H383" i="2"/>
  <c r="E383" i="2"/>
  <c r="D383" i="2"/>
  <c r="C383" i="2"/>
  <c r="A383" i="2"/>
  <c r="I382" i="2"/>
  <c r="J382" i="2" s="1"/>
  <c r="H382" i="2"/>
  <c r="E382" i="2"/>
  <c r="D382" i="2"/>
  <c r="C382" i="2"/>
  <c r="A382" i="2"/>
  <c r="I381" i="2"/>
  <c r="J381" i="2" s="1"/>
  <c r="H381" i="2"/>
  <c r="D381" i="2"/>
  <c r="E381" i="2" s="1"/>
  <c r="C381" i="2"/>
  <c r="A381" i="2"/>
  <c r="I380" i="2"/>
  <c r="J380" i="2" s="1"/>
  <c r="H380" i="2"/>
  <c r="E380" i="2"/>
  <c r="D380" i="2"/>
  <c r="C380" i="2"/>
  <c r="A380" i="2"/>
  <c r="J379" i="2"/>
  <c r="I379" i="2"/>
  <c r="H379" i="2"/>
  <c r="E379" i="2"/>
  <c r="D379" i="2"/>
  <c r="C379" i="2"/>
  <c r="A379" i="2"/>
  <c r="I378" i="2"/>
  <c r="J378" i="2" s="1"/>
  <c r="H378" i="2"/>
  <c r="D378" i="2"/>
  <c r="E378" i="2" s="1"/>
  <c r="C378" i="2"/>
  <c r="A378" i="2"/>
  <c r="I377" i="2"/>
  <c r="J377" i="2" s="1"/>
  <c r="H377" i="2"/>
  <c r="E377" i="2"/>
  <c r="D377" i="2"/>
  <c r="C377" i="2"/>
  <c r="A377" i="2"/>
  <c r="I376" i="2"/>
  <c r="J376" i="2" s="1"/>
  <c r="H376" i="2"/>
  <c r="E376" i="2"/>
  <c r="D376" i="2"/>
  <c r="C376" i="2"/>
  <c r="A376" i="2"/>
  <c r="I375" i="2"/>
  <c r="J375" i="2" s="1"/>
  <c r="H375" i="2"/>
  <c r="D375" i="2"/>
  <c r="E375" i="2" s="1"/>
  <c r="C375" i="2"/>
  <c r="A375" i="2"/>
  <c r="I374" i="2"/>
  <c r="J374" i="2" s="1"/>
  <c r="H374" i="2"/>
  <c r="E374" i="2"/>
  <c r="D374" i="2"/>
  <c r="C374" i="2"/>
  <c r="A374" i="2"/>
  <c r="J373" i="2"/>
  <c r="I373" i="2"/>
  <c r="H373" i="2"/>
  <c r="E373" i="2"/>
  <c r="D373" i="2"/>
  <c r="C373" i="2"/>
  <c r="A373" i="2"/>
  <c r="I372" i="2"/>
  <c r="J372" i="2" s="1"/>
  <c r="H372" i="2"/>
  <c r="E372" i="2"/>
  <c r="D372" i="2"/>
  <c r="C372" i="2"/>
  <c r="A372" i="2"/>
  <c r="I371" i="2"/>
  <c r="J371" i="2" s="1"/>
  <c r="H371" i="2"/>
  <c r="E371" i="2"/>
  <c r="D371" i="2"/>
  <c r="C371" i="2"/>
  <c r="A371" i="2"/>
  <c r="J370" i="2"/>
  <c r="I370" i="2"/>
  <c r="H370" i="2"/>
  <c r="E370" i="2"/>
  <c r="D370" i="2"/>
  <c r="C370" i="2"/>
  <c r="A370" i="2"/>
  <c r="I369" i="2"/>
  <c r="J369" i="2" s="1"/>
  <c r="H369" i="2"/>
  <c r="D369" i="2"/>
  <c r="E369" i="2" s="1"/>
  <c r="C369" i="2"/>
  <c r="A369" i="2"/>
  <c r="I368" i="2"/>
  <c r="J368" i="2" s="1"/>
  <c r="H368" i="2"/>
  <c r="E368" i="2"/>
  <c r="D368" i="2"/>
  <c r="C368" i="2"/>
  <c r="A368" i="2"/>
  <c r="I367" i="2"/>
  <c r="J367" i="2" s="1"/>
  <c r="H367" i="2"/>
  <c r="E367" i="2"/>
  <c r="D367" i="2"/>
  <c r="C367" i="2"/>
  <c r="A367" i="2"/>
  <c r="I366" i="2"/>
  <c r="J366" i="2" s="1"/>
  <c r="H366" i="2"/>
  <c r="E366" i="2"/>
  <c r="D366" i="2"/>
  <c r="C366" i="2"/>
  <c r="A366" i="2"/>
  <c r="I365" i="2"/>
  <c r="J365" i="2" s="1"/>
  <c r="H365" i="2"/>
  <c r="E365" i="2"/>
  <c r="D365" i="2"/>
  <c r="C365" i="2"/>
  <c r="A365" i="2"/>
  <c r="I364" i="2"/>
  <c r="J364" i="2" s="1"/>
  <c r="H364" i="2"/>
  <c r="E364" i="2"/>
  <c r="D364" i="2"/>
  <c r="C364" i="2"/>
  <c r="A364" i="2"/>
  <c r="I363" i="2"/>
  <c r="J363" i="2" s="1"/>
  <c r="H363" i="2"/>
  <c r="E363" i="2"/>
  <c r="D363" i="2"/>
  <c r="C363" i="2"/>
  <c r="A363" i="2"/>
  <c r="I362" i="2"/>
  <c r="J362" i="2" s="1"/>
  <c r="H362" i="2"/>
  <c r="E362" i="2"/>
  <c r="D362" i="2"/>
  <c r="C362" i="2"/>
  <c r="A362" i="2"/>
  <c r="J361" i="2"/>
  <c r="I361" i="2"/>
  <c r="H361" i="2"/>
  <c r="E361" i="2"/>
  <c r="D361" i="2"/>
  <c r="C361" i="2"/>
  <c r="A361" i="2"/>
  <c r="I360" i="2"/>
  <c r="J360" i="2" s="1"/>
  <c r="H360" i="2"/>
  <c r="D360" i="2"/>
  <c r="E360" i="2" s="1"/>
  <c r="C360" i="2"/>
  <c r="A360" i="2"/>
  <c r="I359" i="2"/>
  <c r="J359" i="2" s="1"/>
  <c r="H359" i="2"/>
  <c r="E359" i="2"/>
  <c r="D359" i="2"/>
  <c r="C359" i="2"/>
  <c r="A359" i="2"/>
  <c r="I358" i="2"/>
  <c r="J358" i="2" s="1"/>
  <c r="H358" i="2"/>
  <c r="E358" i="2"/>
  <c r="D358" i="2"/>
  <c r="C358" i="2"/>
  <c r="A358" i="2"/>
  <c r="I357" i="2"/>
  <c r="J357" i="2" s="1"/>
  <c r="H357" i="2"/>
  <c r="D357" i="2"/>
  <c r="E357" i="2" s="1"/>
  <c r="C357" i="2"/>
  <c r="A357" i="2"/>
  <c r="I356" i="2"/>
  <c r="J356" i="2" s="1"/>
  <c r="H356" i="2"/>
  <c r="E356" i="2"/>
  <c r="D356" i="2"/>
  <c r="C356" i="2"/>
  <c r="A356" i="2"/>
  <c r="I355" i="2"/>
  <c r="J355" i="2" s="1"/>
  <c r="H355" i="2"/>
  <c r="E355" i="2"/>
  <c r="D355" i="2"/>
  <c r="C355" i="2"/>
  <c r="A355" i="2"/>
  <c r="I354" i="2"/>
  <c r="J354" i="2" s="1"/>
  <c r="H354" i="2"/>
  <c r="E354" i="2"/>
  <c r="D354" i="2"/>
  <c r="C354" i="2"/>
  <c r="A354" i="2"/>
  <c r="I353" i="2"/>
  <c r="J353" i="2" s="1"/>
  <c r="H353" i="2"/>
  <c r="E353" i="2"/>
  <c r="D353" i="2"/>
  <c r="C353" i="2"/>
  <c r="A353" i="2"/>
  <c r="J352" i="2"/>
  <c r="I352" i="2"/>
  <c r="H352" i="2"/>
  <c r="E352" i="2"/>
  <c r="D352" i="2"/>
  <c r="C352" i="2"/>
  <c r="A352" i="2"/>
  <c r="I351" i="2"/>
  <c r="J351" i="2" s="1"/>
  <c r="H351" i="2"/>
  <c r="D351" i="2"/>
  <c r="E351" i="2" s="1"/>
  <c r="C351" i="2"/>
  <c r="A351" i="2"/>
  <c r="I350" i="2"/>
  <c r="J350" i="2" s="1"/>
  <c r="H350" i="2"/>
  <c r="E350" i="2"/>
  <c r="D350" i="2"/>
  <c r="C350" i="2"/>
  <c r="A350" i="2"/>
  <c r="I349" i="2"/>
  <c r="J349" i="2" s="1"/>
  <c r="H349" i="2"/>
  <c r="E349" i="2"/>
  <c r="D349" i="2"/>
  <c r="C349" i="2"/>
  <c r="A349" i="2"/>
  <c r="I348" i="2"/>
  <c r="J348" i="2" s="1"/>
  <c r="H348" i="2"/>
  <c r="D348" i="2"/>
  <c r="E348" i="2" s="1"/>
  <c r="C348" i="2"/>
  <c r="A348" i="2"/>
  <c r="I347" i="2"/>
  <c r="J347" i="2" s="1"/>
  <c r="H347" i="2"/>
  <c r="E347" i="2"/>
  <c r="D347" i="2"/>
  <c r="C347" i="2"/>
  <c r="A347" i="2"/>
  <c r="I346" i="2"/>
  <c r="J346" i="2" s="1"/>
  <c r="H346" i="2"/>
  <c r="E346" i="2"/>
  <c r="D346" i="2"/>
  <c r="C346" i="2"/>
  <c r="A346" i="2"/>
  <c r="I345" i="2"/>
  <c r="J345" i="2" s="1"/>
  <c r="H345" i="2"/>
  <c r="D345" i="2"/>
  <c r="E345" i="2" s="1"/>
  <c r="C345" i="2"/>
  <c r="A345" i="2"/>
  <c r="J344" i="2"/>
  <c r="I344" i="2"/>
  <c r="H344" i="2"/>
  <c r="E344" i="2"/>
  <c r="D344" i="2"/>
  <c r="C344" i="2"/>
  <c r="A344" i="2"/>
  <c r="I343" i="2"/>
  <c r="J343" i="2" s="1"/>
  <c r="H343" i="2"/>
  <c r="D343" i="2"/>
  <c r="E343" i="2" s="1"/>
  <c r="C343" i="2"/>
  <c r="A343" i="2"/>
  <c r="I342" i="2"/>
  <c r="J342" i="2" s="1"/>
  <c r="H342" i="2"/>
  <c r="E342" i="2"/>
  <c r="D342" i="2"/>
  <c r="C342" i="2"/>
  <c r="A342" i="2"/>
  <c r="I341" i="2"/>
  <c r="J341" i="2" s="1"/>
  <c r="H341" i="2"/>
  <c r="E341" i="2"/>
  <c r="D341" i="2"/>
  <c r="C341" i="2"/>
  <c r="A341" i="2"/>
  <c r="I340" i="2"/>
  <c r="J340" i="2" s="1"/>
  <c r="H340" i="2"/>
  <c r="D340" i="2"/>
  <c r="E340" i="2" s="1"/>
  <c r="C340" i="2"/>
  <c r="A340" i="2"/>
  <c r="I339" i="2"/>
  <c r="J339" i="2" s="1"/>
  <c r="H339" i="2"/>
  <c r="E339" i="2"/>
  <c r="D339" i="2"/>
  <c r="C339" i="2"/>
  <c r="A339" i="2"/>
  <c r="I338" i="2"/>
  <c r="J338" i="2" s="1"/>
  <c r="H338" i="2"/>
  <c r="D338" i="2"/>
  <c r="E338" i="2" s="1"/>
  <c r="C338" i="2"/>
  <c r="A338" i="2"/>
  <c r="J337" i="2"/>
  <c r="I337" i="2"/>
  <c r="H337" i="2"/>
  <c r="D337" i="2"/>
  <c r="E337" i="2" s="1"/>
  <c r="C337" i="2"/>
  <c r="A337" i="2"/>
  <c r="I336" i="2"/>
  <c r="J336" i="2" s="1"/>
  <c r="H336" i="2"/>
  <c r="D336" i="2"/>
  <c r="E336" i="2" s="1"/>
  <c r="C336" i="2"/>
  <c r="A336" i="2"/>
  <c r="I335" i="2"/>
  <c r="J335" i="2" s="1"/>
  <c r="H335" i="2"/>
  <c r="D335" i="2"/>
  <c r="E335" i="2" s="1"/>
  <c r="C335" i="2"/>
  <c r="A335" i="2"/>
  <c r="J334" i="2"/>
  <c r="I334" i="2"/>
  <c r="H334" i="2"/>
  <c r="D334" i="2"/>
  <c r="E334" i="2" s="1"/>
  <c r="C334" i="2"/>
  <c r="A334" i="2"/>
  <c r="I333" i="2"/>
  <c r="J333" i="2" s="1"/>
  <c r="H333" i="2"/>
  <c r="D333" i="2"/>
  <c r="E333" i="2" s="1"/>
  <c r="C333" i="2"/>
  <c r="A333" i="2"/>
  <c r="I332" i="2"/>
  <c r="J332" i="2" s="1"/>
  <c r="H332" i="2"/>
  <c r="D332" i="2"/>
  <c r="E332" i="2" s="1"/>
  <c r="C332" i="2"/>
  <c r="A332" i="2"/>
  <c r="J331" i="2"/>
  <c r="I331" i="2"/>
  <c r="H331" i="2"/>
  <c r="D331" i="2"/>
  <c r="E331" i="2" s="1"/>
  <c r="C331" i="2"/>
  <c r="A331" i="2"/>
  <c r="I330" i="2"/>
  <c r="J330" i="2" s="1"/>
  <c r="H330" i="2"/>
  <c r="E330" i="2"/>
  <c r="D330" i="2"/>
  <c r="C330" i="2"/>
  <c r="A330" i="2"/>
  <c r="I329" i="2"/>
  <c r="J329" i="2" s="1"/>
  <c r="H329" i="2"/>
  <c r="D329" i="2"/>
  <c r="E329" i="2" s="1"/>
  <c r="C329" i="2"/>
  <c r="A329" i="2"/>
  <c r="J328" i="2"/>
  <c r="I328" i="2"/>
  <c r="H328" i="2"/>
  <c r="D328" i="2"/>
  <c r="E328" i="2" s="1"/>
  <c r="C328" i="2"/>
  <c r="A328" i="2"/>
  <c r="I327" i="2"/>
  <c r="J327" i="2" s="1"/>
  <c r="H327" i="2"/>
  <c r="D327" i="2"/>
  <c r="E327" i="2" s="1"/>
  <c r="C327" i="2"/>
  <c r="A327" i="2"/>
  <c r="I326" i="2"/>
  <c r="J326" i="2" s="1"/>
  <c r="H326" i="2"/>
  <c r="D326" i="2"/>
  <c r="E326" i="2" s="1"/>
  <c r="C326" i="2"/>
  <c r="A326" i="2"/>
  <c r="J325" i="2"/>
  <c r="I325" i="2"/>
  <c r="H325" i="2"/>
  <c r="D325" i="2"/>
  <c r="E325" i="2" s="1"/>
  <c r="C325" i="2"/>
  <c r="A325" i="2"/>
  <c r="I324" i="2"/>
  <c r="J324" i="2" s="1"/>
  <c r="H324" i="2"/>
  <c r="D324" i="2"/>
  <c r="E324" i="2" s="1"/>
  <c r="C324" i="2"/>
  <c r="A324" i="2"/>
  <c r="I323" i="2"/>
  <c r="J323" i="2" s="1"/>
  <c r="H323" i="2"/>
  <c r="D323" i="2"/>
  <c r="E323" i="2" s="1"/>
  <c r="C323" i="2"/>
  <c r="A323" i="2"/>
  <c r="J322" i="2"/>
  <c r="I322" i="2"/>
  <c r="H322" i="2"/>
  <c r="D322" i="2"/>
  <c r="E322" i="2" s="1"/>
  <c r="C322" i="2"/>
  <c r="A322" i="2"/>
  <c r="I321" i="2"/>
  <c r="J321" i="2" s="1"/>
  <c r="H321" i="2"/>
  <c r="E321" i="2"/>
  <c r="D321" i="2"/>
  <c r="C321" i="2"/>
  <c r="A321" i="2"/>
  <c r="I320" i="2"/>
  <c r="J320" i="2" s="1"/>
  <c r="H320" i="2"/>
  <c r="D320" i="2"/>
  <c r="E320" i="2" s="1"/>
  <c r="C320" i="2"/>
  <c r="A320" i="2"/>
  <c r="J319" i="2"/>
  <c r="I319" i="2"/>
  <c r="H319" i="2"/>
  <c r="D319" i="2"/>
  <c r="E319" i="2" s="1"/>
  <c r="C319" i="2"/>
  <c r="A319" i="2"/>
  <c r="I318" i="2"/>
  <c r="J318" i="2" s="1"/>
  <c r="H318" i="2"/>
  <c r="D318" i="2"/>
  <c r="E318" i="2" s="1"/>
  <c r="C318" i="2"/>
  <c r="A318" i="2"/>
  <c r="I317" i="2"/>
  <c r="J317" i="2" s="1"/>
  <c r="H317" i="2"/>
  <c r="D317" i="2"/>
  <c r="E317" i="2" s="1"/>
  <c r="C317" i="2"/>
  <c r="A317" i="2"/>
  <c r="J316" i="2"/>
  <c r="I316" i="2"/>
  <c r="H316" i="2"/>
  <c r="D316" i="2"/>
  <c r="E316" i="2" s="1"/>
  <c r="C316" i="2"/>
  <c r="A316" i="2"/>
  <c r="I315" i="2"/>
  <c r="J315" i="2" s="1"/>
  <c r="H315" i="2"/>
  <c r="D315" i="2"/>
  <c r="E315" i="2" s="1"/>
  <c r="C315" i="2"/>
  <c r="A315" i="2"/>
  <c r="I314" i="2"/>
  <c r="J314" i="2" s="1"/>
  <c r="H314" i="2"/>
  <c r="D314" i="2"/>
  <c r="E314" i="2" s="1"/>
  <c r="C314" i="2"/>
  <c r="A314" i="2"/>
  <c r="J313" i="2"/>
  <c r="I313" i="2"/>
  <c r="H313" i="2"/>
  <c r="D313" i="2"/>
  <c r="E313" i="2" s="1"/>
  <c r="C313" i="2"/>
  <c r="A313" i="2"/>
  <c r="I312" i="2"/>
  <c r="J312" i="2" s="1"/>
  <c r="H312" i="2"/>
  <c r="E312" i="2"/>
  <c r="D312" i="2"/>
  <c r="C312" i="2"/>
  <c r="A312" i="2"/>
  <c r="I311" i="2"/>
  <c r="J311" i="2" s="1"/>
  <c r="H311" i="2"/>
  <c r="D311" i="2"/>
  <c r="E311" i="2" s="1"/>
  <c r="C311" i="2"/>
  <c r="A311" i="2"/>
  <c r="J310" i="2"/>
  <c r="I310" i="2"/>
  <c r="H310" i="2"/>
  <c r="D310" i="2"/>
  <c r="E310" i="2" s="1"/>
  <c r="C310" i="2"/>
  <c r="A310" i="2"/>
  <c r="I309" i="2"/>
  <c r="J309" i="2" s="1"/>
  <c r="H309" i="2"/>
  <c r="D309" i="2"/>
  <c r="E309" i="2" s="1"/>
  <c r="C309" i="2"/>
  <c r="A309" i="2"/>
  <c r="I308" i="2"/>
  <c r="J308" i="2" s="1"/>
  <c r="H308" i="2"/>
  <c r="D308" i="2"/>
  <c r="E308" i="2" s="1"/>
  <c r="C308" i="2"/>
  <c r="A308" i="2"/>
  <c r="J307" i="2"/>
  <c r="I307" i="2"/>
  <c r="H307" i="2"/>
  <c r="D307" i="2"/>
  <c r="E307" i="2" s="1"/>
  <c r="C307" i="2"/>
  <c r="A307" i="2"/>
  <c r="I306" i="2"/>
  <c r="J306" i="2" s="1"/>
  <c r="H306" i="2"/>
  <c r="D306" i="2"/>
  <c r="E306" i="2" s="1"/>
  <c r="C306" i="2"/>
  <c r="A306" i="2"/>
  <c r="I305" i="2"/>
  <c r="J305" i="2" s="1"/>
  <c r="H305" i="2"/>
  <c r="D305" i="2"/>
  <c r="E305" i="2" s="1"/>
  <c r="C305" i="2"/>
  <c r="A305" i="2"/>
  <c r="J304" i="2"/>
  <c r="I304" i="2"/>
  <c r="H304" i="2"/>
  <c r="D304" i="2"/>
  <c r="E304" i="2" s="1"/>
  <c r="C304" i="2"/>
  <c r="A304" i="2"/>
  <c r="I303" i="2"/>
  <c r="J303" i="2" s="1"/>
  <c r="H303" i="2"/>
  <c r="E303" i="2"/>
  <c r="D303" i="2"/>
  <c r="C303" i="2"/>
  <c r="A303" i="2"/>
  <c r="I302" i="2"/>
  <c r="J302" i="2" s="1"/>
  <c r="H302" i="2"/>
  <c r="D302" i="2"/>
  <c r="E302" i="2" s="1"/>
  <c r="C302" i="2"/>
  <c r="A302" i="2"/>
  <c r="J301" i="2"/>
  <c r="I301" i="2"/>
  <c r="H301" i="2"/>
  <c r="D301" i="2"/>
  <c r="E301" i="2" s="1"/>
  <c r="C301" i="2"/>
  <c r="A301" i="2"/>
  <c r="I300" i="2"/>
  <c r="J300" i="2" s="1"/>
  <c r="H300" i="2"/>
  <c r="D300" i="2"/>
  <c r="E300" i="2" s="1"/>
  <c r="C300" i="2"/>
  <c r="A300" i="2"/>
  <c r="I299" i="2"/>
  <c r="J299" i="2" s="1"/>
  <c r="H299" i="2"/>
  <c r="D299" i="2"/>
  <c r="E299" i="2" s="1"/>
  <c r="C299" i="2"/>
  <c r="A299" i="2"/>
  <c r="J298" i="2"/>
  <c r="I298" i="2"/>
  <c r="H298" i="2"/>
  <c r="D298" i="2"/>
  <c r="E298" i="2" s="1"/>
  <c r="C298" i="2"/>
  <c r="A298" i="2"/>
  <c r="I297" i="2"/>
  <c r="J297" i="2" s="1"/>
  <c r="H297" i="2"/>
  <c r="D297" i="2"/>
  <c r="E297" i="2" s="1"/>
  <c r="C297" i="2"/>
  <c r="A297" i="2"/>
  <c r="I296" i="2"/>
  <c r="J296" i="2" s="1"/>
  <c r="H296" i="2"/>
  <c r="D296" i="2"/>
  <c r="E296" i="2" s="1"/>
  <c r="C296" i="2"/>
  <c r="A296" i="2"/>
  <c r="J295" i="2"/>
  <c r="I295" i="2"/>
  <c r="H295" i="2"/>
  <c r="D295" i="2"/>
  <c r="E295" i="2" s="1"/>
  <c r="C295" i="2"/>
  <c r="A295" i="2"/>
  <c r="I294" i="2"/>
  <c r="J294" i="2" s="1"/>
  <c r="H294" i="2"/>
  <c r="E294" i="2"/>
  <c r="D294" i="2"/>
  <c r="C294" i="2"/>
  <c r="A294" i="2"/>
  <c r="I293" i="2"/>
  <c r="J293" i="2" s="1"/>
  <c r="H293" i="2"/>
  <c r="D293" i="2"/>
  <c r="E293" i="2" s="1"/>
  <c r="C293" i="2"/>
  <c r="A293" i="2"/>
  <c r="J292" i="2"/>
  <c r="I292" i="2"/>
  <c r="H292" i="2"/>
  <c r="D292" i="2"/>
  <c r="E292" i="2" s="1"/>
  <c r="C292" i="2"/>
  <c r="A292" i="2"/>
  <c r="I291" i="2"/>
  <c r="J291" i="2" s="1"/>
  <c r="H291" i="2"/>
  <c r="D291" i="2"/>
  <c r="E291" i="2" s="1"/>
  <c r="C291" i="2"/>
  <c r="A291" i="2"/>
  <c r="I290" i="2"/>
  <c r="J290" i="2" s="1"/>
  <c r="H290" i="2"/>
  <c r="D290" i="2"/>
  <c r="E290" i="2" s="1"/>
  <c r="C290" i="2"/>
  <c r="A290" i="2"/>
  <c r="J289" i="2"/>
  <c r="I289" i="2"/>
  <c r="H289" i="2"/>
  <c r="D289" i="2"/>
  <c r="E289" i="2" s="1"/>
  <c r="C289" i="2"/>
  <c r="A289" i="2"/>
  <c r="I288" i="2"/>
  <c r="J288" i="2" s="1"/>
  <c r="H288" i="2"/>
  <c r="D288" i="2"/>
  <c r="E288" i="2" s="1"/>
  <c r="C288" i="2"/>
  <c r="A288" i="2"/>
  <c r="I287" i="2"/>
  <c r="J287" i="2" s="1"/>
  <c r="H287" i="2"/>
  <c r="D287" i="2"/>
  <c r="E287" i="2" s="1"/>
  <c r="C287" i="2"/>
  <c r="A287" i="2"/>
  <c r="J286" i="2"/>
  <c r="I286" i="2"/>
  <c r="H286" i="2"/>
  <c r="D286" i="2"/>
  <c r="E286" i="2" s="1"/>
  <c r="C286" i="2"/>
  <c r="A286" i="2"/>
  <c r="I285" i="2"/>
  <c r="J285" i="2" s="1"/>
  <c r="H285" i="2"/>
  <c r="E285" i="2"/>
  <c r="D285" i="2"/>
  <c r="C285" i="2"/>
  <c r="A285" i="2"/>
  <c r="I284" i="2"/>
  <c r="J284" i="2" s="1"/>
  <c r="H284" i="2"/>
  <c r="D284" i="2"/>
  <c r="E284" i="2" s="1"/>
  <c r="C284" i="2"/>
  <c r="A284" i="2"/>
  <c r="J283" i="2"/>
  <c r="I283" i="2"/>
  <c r="H283" i="2"/>
  <c r="D283" i="2"/>
  <c r="E283" i="2" s="1"/>
  <c r="C283" i="2"/>
  <c r="A283" i="2"/>
  <c r="I282" i="2"/>
  <c r="J282" i="2" s="1"/>
  <c r="H282" i="2"/>
  <c r="D282" i="2"/>
  <c r="E282" i="2" s="1"/>
  <c r="C282" i="2"/>
  <c r="A282" i="2"/>
  <c r="I281" i="2"/>
  <c r="J281" i="2" s="1"/>
  <c r="H281" i="2"/>
  <c r="D281" i="2"/>
  <c r="E281" i="2" s="1"/>
  <c r="C281" i="2"/>
  <c r="A281" i="2"/>
  <c r="J280" i="2"/>
  <c r="I280" i="2"/>
  <c r="H280" i="2"/>
  <c r="D280" i="2"/>
  <c r="E280" i="2" s="1"/>
  <c r="C280" i="2"/>
  <c r="A280" i="2"/>
  <c r="I279" i="2"/>
  <c r="J279" i="2" s="1"/>
  <c r="H279" i="2"/>
  <c r="D279" i="2"/>
  <c r="E279" i="2" s="1"/>
  <c r="C279" i="2"/>
  <c r="A279" i="2"/>
  <c r="I278" i="2"/>
  <c r="J278" i="2" s="1"/>
  <c r="H278" i="2"/>
  <c r="D278" i="2"/>
  <c r="E278" i="2" s="1"/>
  <c r="C278" i="2"/>
  <c r="A278" i="2"/>
  <c r="J277" i="2"/>
  <c r="I277" i="2"/>
  <c r="H277" i="2"/>
  <c r="D277" i="2"/>
  <c r="E277" i="2" s="1"/>
  <c r="C277" i="2"/>
  <c r="A277" i="2"/>
  <c r="I276" i="2"/>
  <c r="J276" i="2" s="1"/>
  <c r="H276" i="2"/>
  <c r="E276" i="2"/>
  <c r="D276" i="2"/>
  <c r="C276" i="2"/>
  <c r="A276" i="2"/>
  <c r="I275" i="2"/>
  <c r="J275" i="2" s="1"/>
  <c r="H275" i="2"/>
  <c r="D275" i="2"/>
  <c r="E275" i="2" s="1"/>
  <c r="C275" i="2"/>
  <c r="A275" i="2"/>
  <c r="J274" i="2"/>
  <c r="I274" i="2"/>
  <c r="H274" i="2"/>
  <c r="D274" i="2"/>
  <c r="E274" i="2" s="1"/>
  <c r="C274" i="2"/>
  <c r="A274" i="2"/>
  <c r="I273" i="2"/>
  <c r="J273" i="2" s="1"/>
  <c r="H273" i="2"/>
  <c r="D273" i="2"/>
  <c r="E273" i="2" s="1"/>
  <c r="C273" i="2"/>
  <c r="A273" i="2"/>
  <c r="I272" i="2"/>
  <c r="J272" i="2" s="1"/>
  <c r="H272" i="2"/>
  <c r="D272" i="2"/>
  <c r="E272" i="2" s="1"/>
  <c r="C272" i="2"/>
  <c r="A272" i="2"/>
  <c r="J271" i="2"/>
  <c r="I271" i="2"/>
  <c r="H271" i="2"/>
  <c r="D271" i="2"/>
  <c r="E271" i="2" s="1"/>
  <c r="C271" i="2"/>
  <c r="A271" i="2"/>
  <c r="I270" i="2"/>
  <c r="J270" i="2" s="1"/>
  <c r="H270" i="2"/>
  <c r="D270" i="2"/>
  <c r="E270" i="2" s="1"/>
  <c r="C270" i="2"/>
  <c r="A270" i="2"/>
  <c r="I269" i="2"/>
  <c r="J269" i="2" s="1"/>
  <c r="H269" i="2"/>
  <c r="D269" i="2"/>
  <c r="E269" i="2" s="1"/>
  <c r="C269" i="2"/>
  <c r="A269" i="2"/>
  <c r="J268" i="2"/>
  <c r="I268" i="2"/>
  <c r="H268" i="2"/>
  <c r="D268" i="2"/>
  <c r="E268" i="2" s="1"/>
  <c r="C268" i="2"/>
  <c r="A268" i="2"/>
  <c r="I267" i="2"/>
  <c r="J267" i="2" s="1"/>
  <c r="H267" i="2"/>
  <c r="E267" i="2"/>
  <c r="D267" i="2"/>
  <c r="C267" i="2"/>
  <c r="A267" i="2"/>
  <c r="I266" i="2"/>
  <c r="J266" i="2" s="1"/>
  <c r="H266" i="2"/>
  <c r="D266" i="2"/>
  <c r="E266" i="2" s="1"/>
  <c r="C266" i="2"/>
  <c r="A266" i="2"/>
  <c r="J265" i="2"/>
  <c r="I265" i="2"/>
  <c r="H265" i="2"/>
  <c r="D265" i="2"/>
  <c r="E265" i="2" s="1"/>
  <c r="C265" i="2"/>
  <c r="A265" i="2"/>
  <c r="I264" i="2"/>
  <c r="J264" i="2" s="1"/>
  <c r="H264" i="2"/>
  <c r="D264" i="2"/>
  <c r="E264" i="2" s="1"/>
  <c r="C264" i="2"/>
  <c r="A264" i="2"/>
  <c r="I263" i="2"/>
  <c r="J263" i="2" s="1"/>
  <c r="H263" i="2"/>
  <c r="D263" i="2"/>
  <c r="E263" i="2" s="1"/>
  <c r="C263" i="2"/>
  <c r="A263" i="2"/>
  <c r="J262" i="2"/>
  <c r="I262" i="2"/>
  <c r="H262" i="2"/>
  <c r="D262" i="2"/>
  <c r="E262" i="2" s="1"/>
  <c r="C262" i="2"/>
  <c r="A262" i="2"/>
  <c r="I261" i="2"/>
  <c r="J261" i="2" s="1"/>
  <c r="H261" i="2"/>
  <c r="D261" i="2"/>
  <c r="E261" i="2" s="1"/>
  <c r="C261" i="2"/>
  <c r="A261" i="2"/>
  <c r="I260" i="2"/>
  <c r="J260" i="2" s="1"/>
  <c r="H260" i="2"/>
  <c r="D260" i="2"/>
  <c r="E260" i="2" s="1"/>
  <c r="C260" i="2"/>
  <c r="A260" i="2"/>
  <c r="J259" i="2"/>
  <c r="I259" i="2"/>
  <c r="H259" i="2"/>
  <c r="D259" i="2"/>
  <c r="E259" i="2" s="1"/>
  <c r="C259" i="2"/>
  <c r="A259" i="2"/>
  <c r="I258" i="2"/>
  <c r="J258" i="2" s="1"/>
  <c r="H258" i="2"/>
  <c r="E258" i="2"/>
  <c r="D258" i="2"/>
  <c r="C258" i="2"/>
  <c r="A258" i="2"/>
  <c r="I257" i="2"/>
  <c r="J257" i="2" s="1"/>
  <c r="H257" i="2"/>
  <c r="D257" i="2"/>
  <c r="E257" i="2" s="1"/>
  <c r="C257" i="2"/>
  <c r="A257" i="2"/>
  <c r="I256" i="2"/>
  <c r="J256" i="2" s="1"/>
  <c r="H256" i="2"/>
  <c r="D256" i="2"/>
  <c r="E256" i="2" s="1"/>
  <c r="C256" i="2"/>
  <c r="A256" i="2"/>
  <c r="I255" i="2"/>
  <c r="J255" i="2" s="1"/>
  <c r="H255" i="2"/>
  <c r="E255" i="2"/>
  <c r="D255" i="2"/>
  <c r="C255" i="2"/>
  <c r="A255" i="2"/>
  <c r="I254" i="2"/>
  <c r="J254" i="2" s="1"/>
  <c r="H254" i="2"/>
  <c r="D254" i="2"/>
  <c r="E254" i="2" s="1"/>
  <c r="C254" i="2"/>
  <c r="A254" i="2"/>
  <c r="I253" i="2"/>
  <c r="J253" i="2" s="1"/>
  <c r="H253" i="2"/>
  <c r="D253" i="2"/>
  <c r="E253" i="2" s="1"/>
  <c r="C253" i="2"/>
  <c r="A253" i="2"/>
  <c r="I252" i="2"/>
  <c r="J252" i="2" s="1"/>
  <c r="H252" i="2"/>
  <c r="E252" i="2"/>
  <c r="D252" i="2"/>
  <c r="C252" i="2"/>
  <c r="A252" i="2"/>
  <c r="I251" i="2"/>
  <c r="J251" i="2" s="1"/>
  <c r="H251" i="2"/>
  <c r="D251" i="2"/>
  <c r="E251" i="2" s="1"/>
  <c r="C251" i="2"/>
  <c r="A251" i="2"/>
  <c r="I250" i="2"/>
  <c r="J250" i="2" s="1"/>
  <c r="H250" i="2"/>
  <c r="D250" i="2"/>
  <c r="E250" i="2" s="1"/>
  <c r="C250" i="2"/>
  <c r="A250" i="2"/>
  <c r="I249" i="2"/>
  <c r="J249" i="2" s="1"/>
  <c r="H249" i="2"/>
  <c r="E249" i="2"/>
  <c r="D249" i="2"/>
  <c r="C249" i="2"/>
  <c r="A249" i="2"/>
  <c r="I248" i="2"/>
  <c r="J248" i="2" s="1"/>
  <c r="H248" i="2"/>
  <c r="D248" i="2"/>
  <c r="E248" i="2" s="1"/>
  <c r="C248" i="2"/>
  <c r="A248" i="2"/>
  <c r="I247" i="2"/>
  <c r="J247" i="2" s="1"/>
  <c r="H247" i="2"/>
  <c r="D247" i="2"/>
  <c r="E247" i="2" s="1"/>
  <c r="C247" i="2"/>
  <c r="A247" i="2"/>
  <c r="I246" i="2"/>
  <c r="J246" i="2" s="1"/>
  <c r="H246" i="2"/>
  <c r="E246" i="2"/>
  <c r="D246" i="2"/>
  <c r="C246" i="2"/>
  <c r="A246" i="2"/>
  <c r="I245" i="2"/>
  <c r="J245" i="2" s="1"/>
  <c r="H245" i="2"/>
  <c r="D245" i="2"/>
  <c r="E245" i="2" s="1"/>
  <c r="C245" i="2"/>
  <c r="A245" i="2"/>
  <c r="I244" i="2"/>
  <c r="J244" i="2" s="1"/>
  <c r="H244" i="2"/>
  <c r="D244" i="2"/>
  <c r="E244" i="2" s="1"/>
  <c r="C244" i="2"/>
  <c r="A244" i="2"/>
  <c r="I243" i="2"/>
  <c r="J243" i="2" s="1"/>
  <c r="H243" i="2"/>
  <c r="E243" i="2"/>
  <c r="D243" i="2"/>
  <c r="C243" i="2"/>
  <c r="A243" i="2"/>
  <c r="I242" i="2"/>
  <c r="J242" i="2" s="1"/>
  <c r="H242" i="2"/>
  <c r="D242" i="2"/>
  <c r="E242" i="2" s="1"/>
  <c r="C242" i="2"/>
  <c r="A242" i="2"/>
  <c r="I241" i="2"/>
  <c r="J241" i="2" s="1"/>
  <c r="H241" i="2"/>
  <c r="D241" i="2"/>
  <c r="E241" i="2" s="1"/>
  <c r="C241" i="2"/>
  <c r="A241" i="2"/>
  <c r="I240" i="2"/>
  <c r="J240" i="2" s="1"/>
  <c r="H240" i="2"/>
  <c r="E240" i="2"/>
  <c r="D240" i="2"/>
  <c r="C240" i="2"/>
  <c r="A240" i="2"/>
  <c r="I239" i="2"/>
  <c r="J239" i="2" s="1"/>
  <c r="H239" i="2"/>
  <c r="D239" i="2"/>
  <c r="E239" i="2" s="1"/>
  <c r="C239" i="2"/>
  <c r="A239" i="2"/>
  <c r="I238" i="2"/>
  <c r="J238" i="2" s="1"/>
  <c r="H238" i="2"/>
  <c r="D238" i="2"/>
  <c r="E238" i="2" s="1"/>
  <c r="C238" i="2"/>
  <c r="A238" i="2"/>
  <c r="I237" i="2"/>
  <c r="J237" i="2" s="1"/>
  <c r="H237" i="2"/>
  <c r="E237" i="2"/>
  <c r="D237" i="2"/>
  <c r="C237" i="2"/>
  <c r="A237" i="2"/>
  <c r="I236" i="2"/>
  <c r="J236" i="2" s="1"/>
  <c r="H236" i="2"/>
  <c r="D236" i="2"/>
  <c r="E236" i="2" s="1"/>
  <c r="C236" i="2"/>
  <c r="A236" i="2"/>
  <c r="I235" i="2"/>
  <c r="J235" i="2" s="1"/>
  <c r="H235" i="2"/>
  <c r="D235" i="2"/>
  <c r="E235" i="2" s="1"/>
  <c r="C235" i="2"/>
  <c r="A235" i="2"/>
  <c r="I234" i="2"/>
  <c r="J234" i="2" s="1"/>
  <c r="H234" i="2"/>
  <c r="E234" i="2"/>
  <c r="D234" i="2"/>
  <c r="C234" i="2"/>
  <c r="A234" i="2"/>
  <c r="I233" i="2"/>
  <c r="J233" i="2" s="1"/>
  <c r="H233" i="2"/>
  <c r="D233" i="2"/>
  <c r="E233" i="2" s="1"/>
  <c r="C233" i="2"/>
  <c r="A233" i="2"/>
  <c r="I232" i="2"/>
  <c r="J232" i="2" s="1"/>
  <c r="H232" i="2"/>
  <c r="D232" i="2"/>
  <c r="E232" i="2" s="1"/>
  <c r="C232" i="2"/>
  <c r="A232" i="2"/>
  <c r="I231" i="2"/>
  <c r="J231" i="2" s="1"/>
  <c r="H231" i="2"/>
  <c r="E231" i="2"/>
  <c r="D231" i="2"/>
  <c r="C231" i="2"/>
  <c r="A231" i="2"/>
  <c r="I230" i="2"/>
  <c r="J230" i="2" s="1"/>
  <c r="H230" i="2"/>
  <c r="D230" i="2"/>
  <c r="E230" i="2" s="1"/>
  <c r="C230" i="2"/>
  <c r="A230" i="2"/>
  <c r="I229" i="2"/>
  <c r="J229" i="2" s="1"/>
  <c r="H229" i="2"/>
  <c r="D229" i="2"/>
  <c r="E229" i="2" s="1"/>
  <c r="C229" i="2"/>
  <c r="A229" i="2"/>
  <c r="I228" i="2"/>
  <c r="J228" i="2" s="1"/>
  <c r="H228" i="2"/>
  <c r="E228" i="2"/>
  <c r="D228" i="2"/>
  <c r="C228" i="2"/>
  <c r="A228" i="2"/>
  <c r="I227" i="2"/>
  <c r="J227" i="2" s="1"/>
  <c r="H227" i="2"/>
  <c r="D227" i="2"/>
  <c r="E227" i="2" s="1"/>
  <c r="C227" i="2"/>
  <c r="A227" i="2"/>
  <c r="I226" i="2"/>
  <c r="J226" i="2" s="1"/>
  <c r="H226" i="2"/>
  <c r="D226" i="2"/>
  <c r="E226" i="2" s="1"/>
  <c r="C226" i="2"/>
  <c r="A226" i="2"/>
  <c r="I225" i="2"/>
  <c r="J225" i="2" s="1"/>
  <c r="H225" i="2"/>
  <c r="E225" i="2"/>
  <c r="D225" i="2"/>
  <c r="C225" i="2"/>
  <c r="A225" i="2"/>
  <c r="I224" i="2"/>
  <c r="J224" i="2" s="1"/>
  <c r="H224" i="2"/>
  <c r="D224" i="2"/>
  <c r="E224" i="2" s="1"/>
  <c r="C224" i="2"/>
  <c r="A224" i="2"/>
  <c r="I223" i="2"/>
  <c r="J223" i="2" s="1"/>
  <c r="H223" i="2"/>
  <c r="D223" i="2"/>
  <c r="E223" i="2" s="1"/>
  <c r="C223" i="2"/>
  <c r="A223" i="2"/>
  <c r="I222" i="2"/>
  <c r="J222" i="2" s="1"/>
  <c r="H222" i="2"/>
  <c r="E222" i="2"/>
  <c r="D222" i="2"/>
  <c r="C222" i="2"/>
  <c r="A222" i="2"/>
  <c r="I221" i="2"/>
  <c r="J221" i="2" s="1"/>
  <c r="H221" i="2"/>
  <c r="D221" i="2"/>
  <c r="E221" i="2" s="1"/>
  <c r="C221" i="2"/>
  <c r="A221" i="2"/>
  <c r="I220" i="2"/>
  <c r="J220" i="2" s="1"/>
  <c r="H220" i="2"/>
  <c r="D220" i="2"/>
  <c r="E220" i="2" s="1"/>
  <c r="C220" i="2"/>
  <c r="A220" i="2"/>
  <c r="I219" i="2"/>
  <c r="J219" i="2" s="1"/>
  <c r="H219" i="2"/>
  <c r="E219" i="2"/>
  <c r="D219" i="2"/>
  <c r="C219" i="2"/>
  <c r="A219" i="2"/>
  <c r="I218" i="2"/>
  <c r="J218" i="2" s="1"/>
  <c r="H218" i="2"/>
  <c r="D218" i="2"/>
  <c r="E218" i="2" s="1"/>
  <c r="C218" i="2"/>
  <c r="A218" i="2"/>
  <c r="I217" i="2"/>
  <c r="J217" i="2" s="1"/>
  <c r="H217" i="2"/>
  <c r="D217" i="2"/>
  <c r="E217" i="2" s="1"/>
  <c r="C217" i="2"/>
  <c r="A217" i="2"/>
  <c r="I216" i="2"/>
  <c r="J216" i="2" s="1"/>
  <c r="H216" i="2"/>
  <c r="E216" i="2"/>
  <c r="D216" i="2"/>
  <c r="C216" i="2"/>
  <c r="A216" i="2"/>
  <c r="I215" i="2"/>
  <c r="J215" i="2" s="1"/>
  <c r="H215" i="2"/>
  <c r="D215" i="2"/>
  <c r="E215" i="2" s="1"/>
  <c r="C215" i="2"/>
  <c r="A215" i="2"/>
  <c r="I214" i="2"/>
  <c r="J214" i="2" s="1"/>
  <c r="H214" i="2"/>
  <c r="D214" i="2"/>
  <c r="E214" i="2" s="1"/>
  <c r="C214" i="2"/>
  <c r="A214" i="2"/>
  <c r="I213" i="2"/>
  <c r="J213" i="2" s="1"/>
  <c r="H213" i="2"/>
  <c r="E213" i="2"/>
  <c r="D213" i="2"/>
  <c r="C213" i="2"/>
  <c r="A213" i="2"/>
  <c r="I212" i="2"/>
  <c r="J212" i="2" s="1"/>
  <c r="H212" i="2"/>
  <c r="D212" i="2"/>
  <c r="E212" i="2" s="1"/>
  <c r="C212" i="2"/>
  <c r="A212" i="2"/>
  <c r="I211" i="2"/>
  <c r="J211" i="2" s="1"/>
  <c r="H211" i="2"/>
  <c r="D211" i="2"/>
  <c r="E211" i="2" s="1"/>
  <c r="C211" i="2"/>
  <c r="A211" i="2"/>
  <c r="I210" i="2"/>
  <c r="J210" i="2" s="1"/>
  <c r="H210" i="2"/>
  <c r="E210" i="2"/>
  <c r="D210" i="2"/>
  <c r="C210" i="2"/>
  <c r="A210" i="2"/>
  <c r="I209" i="2"/>
  <c r="J209" i="2" s="1"/>
  <c r="H209" i="2"/>
  <c r="D209" i="2"/>
  <c r="E209" i="2" s="1"/>
  <c r="C209" i="2"/>
  <c r="A209" i="2"/>
  <c r="I208" i="2"/>
  <c r="J208" i="2" s="1"/>
  <c r="H208" i="2"/>
  <c r="D208" i="2"/>
  <c r="E208" i="2" s="1"/>
  <c r="C208" i="2"/>
  <c r="A208" i="2"/>
  <c r="I207" i="2"/>
  <c r="J207" i="2" s="1"/>
  <c r="H207" i="2"/>
  <c r="E207" i="2"/>
  <c r="D207" i="2"/>
  <c r="C207" i="2"/>
  <c r="A207" i="2"/>
  <c r="I206" i="2"/>
  <c r="J206" i="2" s="1"/>
  <c r="H206" i="2"/>
  <c r="D206" i="2"/>
  <c r="E206" i="2" s="1"/>
  <c r="C206" i="2"/>
  <c r="A206" i="2"/>
  <c r="I205" i="2"/>
  <c r="J205" i="2" s="1"/>
  <c r="H205" i="2"/>
  <c r="D205" i="2"/>
  <c r="E205" i="2" s="1"/>
  <c r="C205" i="2"/>
  <c r="A205" i="2"/>
  <c r="I204" i="2"/>
  <c r="J204" i="2" s="1"/>
  <c r="H204" i="2"/>
  <c r="E204" i="2"/>
  <c r="D204" i="2"/>
  <c r="C204" i="2"/>
  <c r="A204" i="2"/>
  <c r="I203" i="2"/>
  <c r="J203" i="2" s="1"/>
  <c r="H203" i="2"/>
  <c r="D203" i="2"/>
  <c r="E203" i="2" s="1"/>
  <c r="C203" i="2"/>
  <c r="A203" i="2"/>
  <c r="I202" i="2"/>
  <c r="J202" i="2" s="1"/>
  <c r="H202" i="2"/>
  <c r="D202" i="2"/>
  <c r="E202" i="2" s="1"/>
  <c r="C202" i="2"/>
  <c r="A202" i="2"/>
  <c r="I201" i="2"/>
  <c r="J201" i="2" s="1"/>
  <c r="H201" i="2"/>
  <c r="E201" i="2"/>
  <c r="D201" i="2"/>
  <c r="C201" i="2"/>
  <c r="A201" i="2"/>
  <c r="I200" i="2"/>
  <c r="J200" i="2" s="1"/>
  <c r="H200" i="2"/>
  <c r="D200" i="2"/>
  <c r="E200" i="2" s="1"/>
  <c r="C200" i="2"/>
  <c r="A200" i="2"/>
  <c r="I199" i="2"/>
  <c r="J199" i="2" s="1"/>
  <c r="H199" i="2"/>
  <c r="D199" i="2"/>
  <c r="E199" i="2" s="1"/>
  <c r="C199" i="2"/>
  <c r="A199" i="2"/>
  <c r="I198" i="2"/>
  <c r="J198" i="2" s="1"/>
  <c r="H198" i="2"/>
  <c r="E198" i="2"/>
  <c r="D198" i="2"/>
  <c r="C198" i="2"/>
  <c r="A198" i="2"/>
  <c r="I197" i="2"/>
  <c r="J197" i="2" s="1"/>
  <c r="H197" i="2"/>
  <c r="D197" i="2"/>
  <c r="E197" i="2" s="1"/>
  <c r="C197" i="2"/>
  <c r="A197" i="2"/>
  <c r="I196" i="2"/>
  <c r="J196" i="2" s="1"/>
  <c r="H196" i="2"/>
  <c r="D196" i="2"/>
  <c r="E196" i="2" s="1"/>
  <c r="C196" i="2"/>
  <c r="A196" i="2"/>
  <c r="I195" i="2"/>
  <c r="J195" i="2" s="1"/>
  <c r="H195" i="2"/>
  <c r="E195" i="2"/>
  <c r="D195" i="2"/>
  <c r="C195" i="2"/>
  <c r="A195" i="2"/>
  <c r="I194" i="2"/>
  <c r="J194" i="2" s="1"/>
  <c r="H194" i="2"/>
  <c r="D194" i="2"/>
  <c r="E194" i="2" s="1"/>
  <c r="C194" i="2"/>
  <c r="A194" i="2"/>
  <c r="I193" i="2"/>
  <c r="J193" i="2" s="1"/>
  <c r="H193" i="2"/>
  <c r="D193" i="2"/>
  <c r="E193" i="2" s="1"/>
  <c r="C193" i="2"/>
  <c r="A193" i="2"/>
  <c r="I192" i="2"/>
  <c r="J192" i="2" s="1"/>
  <c r="H192" i="2"/>
  <c r="E192" i="2"/>
  <c r="D192" i="2"/>
  <c r="C192" i="2"/>
  <c r="A192" i="2"/>
  <c r="I191" i="2"/>
  <c r="J191" i="2" s="1"/>
  <c r="H191" i="2"/>
  <c r="D191" i="2"/>
  <c r="E191" i="2" s="1"/>
  <c r="C191" i="2"/>
  <c r="A191" i="2"/>
  <c r="I190" i="2"/>
  <c r="J190" i="2" s="1"/>
  <c r="H190" i="2"/>
  <c r="D190" i="2"/>
  <c r="E190" i="2" s="1"/>
  <c r="C190" i="2"/>
  <c r="A190" i="2"/>
  <c r="I189" i="2"/>
  <c r="J189" i="2" s="1"/>
  <c r="H189" i="2"/>
  <c r="E189" i="2"/>
  <c r="D189" i="2"/>
  <c r="C189" i="2"/>
  <c r="A189" i="2"/>
  <c r="I188" i="2"/>
  <c r="J188" i="2" s="1"/>
  <c r="H188" i="2"/>
  <c r="D188" i="2"/>
  <c r="E188" i="2" s="1"/>
  <c r="C188" i="2"/>
  <c r="A188" i="2"/>
  <c r="I187" i="2"/>
  <c r="J187" i="2" s="1"/>
  <c r="H187" i="2"/>
  <c r="D187" i="2"/>
  <c r="E187" i="2" s="1"/>
  <c r="C187" i="2"/>
  <c r="A187" i="2"/>
  <c r="I186" i="2"/>
  <c r="J186" i="2" s="1"/>
  <c r="H186" i="2"/>
  <c r="E186" i="2"/>
  <c r="D186" i="2"/>
  <c r="C186" i="2"/>
  <c r="A186" i="2"/>
  <c r="I185" i="2"/>
  <c r="J185" i="2" s="1"/>
  <c r="H185" i="2"/>
  <c r="D185" i="2"/>
  <c r="E185" i="2" s="1"/>
  <c r="C185" i="2"/>
  <c r="A185" i="2"/>
  <c r="I184" i="2"/>
  <c r="J184" i="2" s="1"/>
  <c r="H184" i="2"/>
  <c r="D184" i="2"/>
  <c r="E184" i="2" s="1"/>
  <c r="C184" i="2"/>
  <c r="A184" i="2"/>
  <c r="I183" i="2"/>
  <c r="J183" i="2" s="1"/>
  <c r="H183" i="2"/>
  <c r="E183" i="2"/>
  <c r="D183" i="2"/>
  <c r="C183" i="2"/>
  <c r="A183" i="2"/>
  <c r="I182" i="2"/>
  <c r="J182" i="2" s="1"/>
  <c r="H182" i="2"/>
  <c r="D182" i="2"/>
  <c r="E182" i="2" s="1"/>
  <c r="C182" i="2"/>
  <c r="A182" i="2"/>
  <c r="I181" i="2"/>
  <c r="J181" i="2" s="1"/>
  <c r="H181" i="2"/>
  <c r="D181" i="2"/>
  <c r="E181" i="2" s="1"/>
  <c r="C181" i="2"/>
  <c r="A181" i="2"/>
  <c r="I180" i="2"/>
  <c r="J180" i="2" s="1"/>
  <c r="H180" i="2"/>
  <c r="E180" i="2"/>
  <c r="D180" i="2"/>
  <c r="C180" i="2"/>
  <c r="A180" i="2"/>
  <c r="I179" i="2"/>
  <c r="J179" i="2" s="1"/>
  <c r="H179" i="2"/>
  <c r="D179" i="2"/>
  <c r="E179" i="2" s="1"/>
  <c r="C179" i="2"/>
  <c r="A179" i="2"/>
  <c r="I178" i="2"/>
  <c r="J178" i="2" s="1"/>
  <c r="H178" i="2"/>
  <c r="D178" i="2"/>
  <c r="E178" i="2" s="1"/>
  <c r="C178" i="2"/>
  <c r="A178" i="2"/>
  <c r="I177" i="2"/>
  <c r="J177" i="2" s="1"/>
  <c r="H177" i="2"/>
  <c r="E177" i="2"/>
  <c r="D177" i="2"/>
  <c r="C177" i="2"/>
  <c r="A177" i="2"/>
  <c r="I176" i="2"/>
  <c r="J176" i="2" s="1"/>
  <c r="H176" i="2"/>
  <c r="D176" i="2"/>
  <c r="E176" i="2" s="1"/>
  <c r="C176" i="2"/>
  <c r="A176" i="2"/>
  <c r="I175" i="2"/>
  <c r="J175" i="2" s="1"/>
  <c r="H175" i="2"/>
  <c r="D175" i="2"/>
  <c r="E175" i="2" s="1"/>
  <c r="C175" i="2"/>
  <c r="A175" i="2"/>
  <c r="I174" i="2"/>
  <c r="J174" i="2" s="1"/>
  <c r="H174" i="2"/>
  <c r="E174" i="2"/>
  <c r="D174" i="2"/>
  <c r="C174" i="2"/>
  <c r="A174" i="2"/>
  <c r="I173" i="2"/>
  <c r="J173" i="2" s="1"/>
  <c r="H173" i="2"/>
  <c r="D173" i="2"/>
  <c r="E173" i="2" s="1"/>
  <c r="C173" i="2"/>
  <c r="A173" i="2"/>
  <c r="I172" i="2"/>
  <c r="J172" i="2" s="1"/>
  <c r="H172" i="2"/>
  <c r="D172" i="2"/>
  <c r="E172" i="2" s="1"/>
  <c r="C172" i="2"/>
  <c r="A172" i="2"/>
  <c r="I171" i="2"/>
  <c r="J171" i="2" s="1"/>
  <c r="H171" i="2"/>
  <c r="E171" i="2"/>
  <c r="D171" i="2"/>
  <c r="C171" i="2"/>
  <c r="A171" i="2"/>
  <c r="I170" i="2"/>
  <c r="J170" i="2" s="1"/>
  <c r="H170" i="2"/>
  <c r="D170" i="2"/>
  <c r="E170" i="2" s="1"/>
  <c r="C170" i="2"/>
  <c r="A170" i="2"/>
  <c r="I169" i="2"/>
  <c r="J169" i="2" s="1"/>
  <c r="H169" i="2"/>
  <c r="D169" i="2"/>
  <c r="E169" i="2" s="1"/>
  <c r="C169" i="2"/>
  <c r="A169" i="2"/>
  <c r="I168" i="2"/>
  <c r="J168" i="2" s="1"/>
  <c r="H168" i="2"/>
  <c r="E168" i="2"/>
  <c r="D168" i="2"/>
  <c r="C168" i="2"/>
  <c r="A168" i="2"/>
  <c r="I167" i="2"/>
  <c r="J167" i="2" s="1"/>
  <c r="H167" i="2"/>
  <c r="D167" i="2"/>
  <c r="E167" i="2" s="1"/>
  <c r="C167" i="2"/>
  <c r="A167" i="2"/>
  <c r="I166" i="2"/>
  <c r="J166" i="2" s="1"/>
  <c r="H166" i="2"/>
  <c r="D166" i="2"/>
  <c r="E166" i="2" s="1"/>
  <c r="C166" i="2"/>
  <c r="A166" i="2"/>
  <c r="I165" i="2"/>
  <c r="J165" i="2" s="1"/>
  <c r="H165" i="2"/>
  <c r="E165" i="2"/>
  <c r="D165" i="2"/>
  <c r="C165" i="2"/>
  <c r="A165" i="2"/>
  <c r="I164" i="2"/>
  <c r="J164" i="2" s="1"/>
  <c r="H164" i="2"/>
  <c r="D164" i="2"/>
  <c r="E164" i="2" s="1"/>
  <c r="C164" i="2"/>
  <c r="A164" i="2"/>
  <c r="I163" i="2"/>
  <c r="J163" i="2" s="1"/>
  <c r="H163" i="2"/>
  <c r="D163" i="2"/>
  <c r="E163" i="2" s="1"/>
  <c r="C163" i="2"/>
  <c r="A163" i="2"/>
  <c r="I162" i="2"/>
  <c r="J162" i="2" s="1"/>
  <c r="H162" i="2"/>
  <c r="E162" i="2"/>
  <c r="D162" i="2"/>
  <c r="C162" i="2"/>
  <c r="A162" i="2"/>
  <c r="I161" i="2"/>
  <c r="J161" i="2" s="1"/>
  <c r="H161" i="2"/>
  <c r="D161" i="2"/>
  <c r="E161" i="2" s="1"/>
  <c r="C161" i="2"/>
  <c r="A161" i="2"/>
  <c r="I160" i="2"/>
  <c r="J160" i="2" s="1"/>
  <c r="H160" i="2"/>
  <c r="D160" i="2"/>
  <c r="E160" i="2" s="1"/>
  <c r="C160" i="2"/>
  <c r="A160" i="2"/>
  <c r="I159" i="2"/>
  <c r="J159" i="2" s="1"/>
  <c r="H159" i="2"/>
  <c r="E159" i="2"/>
  <c r="D159" i="2"/>
  <c r="C159" i="2"/>
  <c r="A159" i="2"/>
  <c r="I158" i="2"/>
  <c r="J158" i="2" s="1"/>
  <c r="H158" i="2"/>
  <c r="D158" i="2"/>
  <c r="E158" i="2" s="1"/>
  <c r="C158" i="2"/>
  <c r="A158" i="2"/>
  <c r="I157" i="2"/>
  <c r="J157" i="2" s="1"/>
  <c r="H157" i="2"/>
  <c r="D157" i="2"/>
  <c r="E157" i="2" s="1"/>
  <c r="C157" i="2"/>
  <c r="A157" i="2"/>
  <c r="I156" i="2"/>
  <c r="J156" i="2" s="1"/>
  <c r="H156" i="2"/>
  <c r="E156" i="2"/>
  <c r="D156" i="2"/>
  <c r="C156" i="2"/>
  <c r="A156" i="2"/>
  <c r="I155" i="2"/>
  <c r="J155" i="2" s="1"/>
  <c r="H155" i="2"/>
  <c r="D155" i="2"/>
  <c r="E155" i="2" s="1"/>
  <c r="C155" i="2"/>
  <c r="A155" i="2"/>
  <c r="I154" i="2"/>
  <c r="J154" i="2" s="1"/>
  <c r="H154" i="2"/>
  <c r="D154" i="2"/>
  <c r="E154" i="2" s="1"/>
  <c r="C154" i="2"/>
  <c r="A154" i="2"/>
  <c r="I153" i="2"/>
  <c r="J153" i="2" s="1"/>
  <c r="H153" i="2"/>
  <c r="E153" i="2"/>
  <c r="D153" i="2"/>
  <c r="C153" i="2"/>
  <c r="A153" i="2"/>
  <c r="I152" i="2"/>
  <c r="J152" i="2" s="1"/>
  <c r="H152" i="2"/>
  <c r="D152" i="2"/>
  <c r="E152" i="2" s="1"/>
  <c r="C152" i="2"/>
  <c r="A152" i="2"/>
  <c r="I151" i="2"/>
  <c r="J151" i="2" s="1"/>
  <c r="H151" i="2"/>
  <c r="D151" i="2"/>
  <c r="E151" i="2" s="1"/>
  <c r="C151" i="2"/>
  <c r="A151" i="2"/>
  <c r="I150" i="2"/>
  <c r="J150" i="2" s="1"/>
  <c r="H150" i="2"/>
  <c r="E150" i="2"/>
  <c r="D150" i="2"/>
  <c r="C150" i="2"/>
  <c r="A150" i="2"/>
  <c r="I149" i="2"/>
  <c r="J149" i="2" s="1"/>
  <c r="H149" i="2"/>
  <c r="D149" i="2"/>
  <c r="E149" i="2" s="1"/>
  <c r="C149" i="2"/>
  <c r="A149" i="2"/>
  <c r="I148" i="2"/>
  <c r="J148" i="2" s="1"/>
  <c r="H148" i="2"/>
  <c r="D148" i="2"/>
  <c r="E148" i="2" s="1"/>
  <c r="C148" i="2"/>
  <c r="A148" i="2"/>
  <c r="I147" i="2"/>
  <c r="J147" i="2" s="1"/>
  <c r="H147" i="2"/>
  <c r="E147" i="2"/>
  <c r="D147" i="2"/>
  <c r="C147" i="2"/>
  <c r="A147" i="2"/>
  <c r="I146" i="2"/>
  <c r="J146" i="2" s="1"/>
  <c r="H146" i="2"/>
  <c r="D146" i="2"/>
  <c r="E146" i="2" s="1"/>
  <c r="C146" i="2"/>
  <c r="A146" i="2"/>
  <c r="I145" i="2"/>
  <c r="J145" i="2" s="1"/>
  <c r="H145" i="2"/>
  <c r="D145" i="2"/>
  <c r="E145" i="2" s="1"/>
  <c r="C145" i="2"/>
  <c r="A145" i="2"/>
  <c r="I144" i="2"/>
  <c r="J144" i="2" s="1"/>
  <c r="H144" i="2"/>
  <c r="E144" i="2"/>
  <c r="D144" i="2"/>
  <c r="C144" i="2"/>
  <c r="A144" i="2"/>
  <c r="I143" i="2"/>
  <c r="J143" i="2" s="1"/>
  <c r="H143" i="2"/>
  <c r="D143" i="2"/>
  <c r="E143" i="2" s="1"/>
  <c r="C143" i="2"/>
  <c r="A143" i="2"/>
  <c r="I142" i="2"/>
  <c r="J142" i="2" s="1"/>
  <c r="H142" i="2"/>
  <c r="D142" i="2"/>
  <c r="E142" i="2" s="1"/>
  <c r="C142" i="2"/>
  <c r="A142" i="2"/>
  <c r="I141" i="2"/>
  <c r="J141" i="2" s="1"/>
  <c r="H141" i="2"/>
  <c r="E141" i="2"/>
  <c r="D141" i="2"/>
  <c r="C141" i="2"/>
  <c r="A141" i="2"/>
  <c r="I140" i="2"/>
  <c r="J140" i="2" s="1"/>
  <c r="H140" i="2"/>
  <c r="D140" i="2"/>
  <c r="E140" i="2" s="1"/>
  <c r="C140" i="2"/>
  <c r="A140" i="2"/>
  <c r="I139" i="2"/>
  <c r="J139" i="2" s="1"/>
  <c r="H139" i="2"/>
  <c r="D139" i="2"/>
  <c r="E139" i="2" s="1"/>
  <c r="C139" i="2"/>
  <c r="A139" i="2"/>
  <c r="I138" i="2"/>
  <c r="J138" i="2" s="1"/>
  <c r="H138" i="2"/>
  <c r="E138" i="2"/>
  <c r="D138" i="2"/>
  <c r="C138" i="2"/>
  <c r="A138" i="2"/>
  <c r="I137" i="2"/>
  <c r="J137" i="2" s="1"/>
  <c r="H137" i="2"/>
  <c r="D137" i="2"/>
  <c r="E137" i="2" s="1"/>
  <c r="C137" i="2"/>
  <c r="A137" i="2"/>
  <c r="I136" i="2"/>
  <c r="J136" i="2" s="1"/>
  <c r="H136" i="2"/>
  <c r="D136" i="2"/>
  <c r="E136" i="2" s="1"/>
  <c r="C136" i="2"/>
  <c r="A136" i="2"/>
  <c r="I135" i="2"/>
  <c r="J135" i="2" s="1"/>
  <c r="H135" i="2"/>
  <c r="E135" i="2"/>
  <c r="D135" i="2"/>
  <c r="C135" i="2"/>
  <c r="A135" i="2"/>
  <c r="I134" i="2"/>
  <c r="J134" i="2" s="1"/>
  <c r="H134" i="2"/>
  <c r="D134" i="2"/>
  <c r="E134" i="2" s="1"/>
  <c r="C134" i="2"/>
  <c r="A134" i="2"/>
  <c r="I133" i="2"/>
  <c r="J133" i="2" s="1"/>
  <c r="H133" i="2"/>
  <c r="D133" i="2"/>
  <c r="E133" i="2" s="1"/>
  <c r="C133" i="2"/>
  <c r="A133" i="2"/>
  <c r="I132" i="2"/>
  <c r="J132" i="2" s="1"/>
  <c r="H132" i="2"/>
  <c r="E132" i="2"/>
  <c r="D132" i="2"/>
  <c r="C132" i="2"/>
  <c r="A132" i="2"/>
  <c r="I131" i="2"/>
  <c r="J131" i="2" s="1"/>
  <c r="H131" i="2"/>
  <c r="D131" i="2"/>
  <c r="E131" i="2" s="1"/>
  <c r="C131" i="2"/>
  <c r="A131" i="2"/>
  <c r="I130" i="2"/>
  <c r="J130" i="2" s="1"/>
  <c r="H130" i="2"/>
  <c r="D130" i="2"/>
  <c r="E130" i="2" s="1"/>
  <c r="C130" i="2"/>
  <c r="A130" i="2"/>
  <c r="I129" i="2"/>
  <c r="J129" i="2" s="1"/>
  <c r="H129" i="2"/>
  <c r="E129" i="2"/>
  <c r="D129" i="2"/>
  <c r="C129" i="2"/>
  <c r="A129" i="2"/>
  <c r="I128" i="2"/>
  <c r="J128" i="2" s="1"/>
  <c r="H128" i="2"/>
  <c r="D128" i="2"/>
  <c r="E128" i="2" s="1"/>
  <c r="C128" i="2"/>
  <c r="A128" i="2"/>
  <c r="I127" i="2"/>
  <c r="J127" i="2" s="1"/>
  <c r="H127" i="2"/>
  <c r="D127" i="2"/>
  <c r="E127" i="2" s="1"/>
  <c r="C127" i="2"/>
  <c r="A127" i="2"/>
  <c r="I126" i="2"/>
  <c r="J126" i="2" s="1"/>
  <c r="H126" i="2"/>
  <c r="E126" i="2"/>
  <c r="D126" i="2"/>
  <c r="C126" i="2"/>
  <c r="A126" i="2"/>
  <c r="I125" i="2"/>
  <c r="J125" i="2" s="1"/>
  <c r="H125" i="2"/>
  <c r="D125" i="2"/>
  <c r="E125" i="2" s="1"/>
  <c r="C125" i="2"/>
  <c r="A125" i="2"/>
  <c r="I124" i="2"/>
  <c r="J124" i="2" s="1"/>
  <c r="H124" i="2"/>
  <c r="D124" i="2"/>
  <c r="E124" i="2" s="1"/>
  <c r="C124" i="2"/>
  <c r="A124" i="2"/>
  <c r="I123" i="2"/>
  <c r="J123" i="2" s="1"/>
  <c r="H123" i="2"/>
  <c r="E123" i="2"/>
  <c r="D123" i="2"/>
  <c r="C123" i="2"/>
  <c r="A123" i="2"/>
  <c r="I122" i="2"/>
  <c r="J122" i="2" s="1"/>
  <c r="H122" i="2"/>
  <c r="D122" i="2"/>
  <c r="E122" i="2" s="1"/>
  <c r="C122" i="2"/>
  <c r="A122" i="2"/>
  <c r="I121" i="2"/>
  <c r="J121" i="2" s="1"/>
  <c r="H121" i="2"/>
  <c r="D121" i="2"/>
  <c r="E121" i="2" s="1"/>
  <c r="C121" i="2"/>
  <c r="A121" i="2"/>
  <c r="I120" i="2"/>
  <c r="J120" i="2" s="1"/>
  <c r="H120" i="2"/>
  <c r="E120" i="2"/>
  <c r="D120" i="2"/>
  <c r="C120" i="2"/>
  <c r="A120" i="2"/>
  <c r="I119" i="2"/>
  <c r="J119" i="2" s="1"/>
  <c r="H119" i="2"/>
  <c r="D119" i="2"/>
  <c r="E119" i="2" s="1"/>
  <c r="C119" i="2"/>
  <c r="A119" i="2"/>
  <c r="I118" i="2"/>
  <c r="J118" i="2" s="1"/>
  <c r="H118" i="2"/>
  <c r="D118" i="2"/>
  <c r="E118" i="2" s="1"/>
  <c r="C118" i="2"/>
  <c r="A118" i="2"/>
  <c r="I117" i="2"/>
  <c r="J117" i="2" s="1"/>
  <c r="H117" i="2"/>
  <c r="E117" i="2"/>
  <c r="D117" i="2"/>
  <c r="C117" i="2"/>
  <c r="A117" i="2"/>
  <c r="I116" i="2"/>
  <c r="J116" i="2" s="1"/>
  <c r="H116" i="2"/>
  <c r="D116" i="2"/>
  <c r="E116" i="2" s="1"/>
  <c r="C116" i="2"/>
  <c r="A116" i="2"/>
  <c r="I115" i="2"/>
  <c r="J115" i="2" s="1"/>
  <c r="H115" i="2"/>
  <c r="D115" i="2"/>
  <c r="E115" i="2" s="1"/>
  <c r="C115" i="2"/>
  <c r="A115" i="2"/>
  <c r="I114" i="2"/>
  <c r="J114" i="2" s="1"/>
  <c r="H114" i="2"/>
  <c r="E114" i="2"/>
  <c r="D114" i="2"/>
  <c r="C114" i="2"/>
  <c r="A114" i="2"/>
  <c r="I113" i="2"/>
  <c r="J113" i="2" s="1"/>
  <c r="H113" i="2"/>
  <c r="D113" i="2"/>
  <c r="E113" i="2" s="1"/>
  <c r="C113" i="2"/>
  <c r="A113" i="2"/>
  <c r="I112" i="2"/>
  <c r="J112" i="2" s="1"/>
  <c r="H112" i="2"/>
  <c r="D112" i="2"/>
  <c r="E112" i="2" s="1"/>
  <c r="C112" i="2"/>
  <c r="A112" i="2"/>
  <c r="I111" i="2"/>
  <c r="J111" i="2" s="1"/>
  <c r="H111" i="2"/>
  <c r="E111" i="2"/>
  <c r="D111" i="2"/>
  <c r="C111" i="2"/>
  <c r="A111" i="2"/>
  <c r="I110" i="2"/>
  <c r="J110" i="2" s="1"/>
  <c r="H110" i="2"/>
  <c r="D110" i="2"/>
  <c r="E110" i="2" s="1"/>
  <c r="C110" i="2"/>
  <c r="A110" i="2"/>
  <c r="I109" i="2"/>
  <c r="J109" i="2" s="1"/>
  <c r="H109" i="2"/>
  <c r="D109" i="2"/>
  <c r="E109" i="2" s="1"/>
  <c r="C109" i="2"/>
  <c r="A109" i="2"/>
  <c r="I108" i="2"/>
  <c r="J108" i="2" s="1"/>
  <c r="H108" i="2"/>
  <c r="E108" i="2"/>
  <c r="D108" i="2"/>
  <c r="C108" i="2"/>
  <c r="A108" i="2"/>
  <c r="I107" i="2"/>
  <c r="J107" i="2" s="1"/>
  <c r="H107" i="2"/>
  <c r="D107" i="2"/>
  <c r="E107" i="2" s="1"/>
  <c r="C107" i="2"/>
  <c r="A107" i="2"/>
  <c r="I106" i="2"/>
  <c r="J106" i="2" s="1"/>
  <c r="H106" i="2"/>
  <c r="D106" i="2"/>
  <c r="E106" i="2" s="1"/>
  <c r="C106" i="2"/>
  <c r="A106" i="2"/>
  <c r="I105" i="2"/>
  <c r="J105" i="2" s="1"/>
  <c r="H105" i="2"/>
  <c r="E105" i="2"/>
  <c r="D105" i="2"/>
  <c r="C105" i="2"/>
  <c r="A105" i="2"/>
  <c r="I104" i="2"/>
  <c r="J104" i="2" s="1"/>
  <c r="H104" i="2"/>
  <c r="D104" i="2"/>
  <c r="E104" i="2" s="1"/>
  <c r="C104" i="2"/>
  <c r="A104" i="2"/>
  <c r="I103" i="2"/>
  <c r="J103" i="2" s="1"/>
  <c r="H103" i="2"/>
  <c r="D103" i="2"/>
  <c r="E103" i="2" s="1"/>
  <c r="C103" i="2"/>
  <c r="A103" i="2"/>
  <c r="I102" i="2"/>
  <c r="J102" i="2" s="1"/>
  <c r="H102" i="2"/>
  <c r="E102" i="2"/>
  <c r="D102" i="2"/>
  <c r="C102" i="2"/>
  <c r="A102" i="2"/>
  <c r="I101" i="2"/>
  <c r="J101" i="2" s="1"/>
  <c r="H101" i="2"/>
  <c r="D101" i="2"/>
  <c r="E101" i="2" s="1"/>
  <c r="C101" i="2"/>
  <c r="A101" i="2"/>
  <c r="I100" i="2"/>
  <c r="J100" i="2" s="1"/>
  <c r="H100" i="2"/>
  <c r="D100" i="2"/>
  <c r="E100" i="2" s="1"/>
  <c r="C100" i="2"/>
  <c r="A100" i="2"/>
  <c r="I99" i="2"/>
  <c r="J99" i="2" s="1"/>
  <c r="H99" i="2"/>
  <c r="E99" i="2"/>
  <c r="D99" i="2"/>
  <c r="C99" i="2"/>
  <c r="A99" i="2"/>
  <c r="I98" i="2"/>
  <c r="J98" i="2" s="1"/>
  <c r="H98" i="2"/>
  <c r="D98" i="2"/>
  <c r="E98" i="2" s="1"/>
  <c r="C98" i="2"/>
  <c r="A98" i="2"/>
  <c r="I97" i="2"/>
  <c r="J97" i="2" s="1"/>
  <c r="H97" i="2"/>
  <c r="D97" i="2"/>
  <c r="E97" i="2" s="1"/>
  <c r="C97" i="2"/>
  <c r="A97" i="2"/>
  <c r="I96" i="2"/>
  <c r="J96" i="2" s="1"/>
  <c r="H96" i="2"/>
  <c r="E96" i="2"/>
  <c r="D96" i="2"/>
  <c r="C96" i="2"/>
  <c r="A96" i="2"/>
  <c r="I95" i="2"/>
  <c r="J95" i="2" s="1"/>
  <c r="H95" i="2"/>
  <c r="D95" i="2"/>
  <c r="E95" i="2" s="1"/>
  <c r="C95" i="2"/>
  <c r="A95" i="2"/>
  <c r="I94" i="2"/>
  <c r="J94" i="2" s="1"/>
  <c r="H94" i="2"/>
  <c r="D94" i="2"/>
  <c r="E94" i="2" s="1"/>
  <c r="C94" i="2"/>
  <c r="A94" i="2"/>
  <c r="I93" i="2"/>
  <c r="J93" i="2" s="1"/>
  <c r="H93" i="2"/>
  <c r="E93" i="2"/>
  <c r="D93" i="2"/>
  <c r="C93" i="2"/>
  <c r="A93" i="2"/>
  <c r="I92" i="2"/>
  <c r="J92" i="2" s="1"/>
  <c r="H92" i="2"/>
  <c r="D92" i="2"/>
  <c r="E92" i="2" s="1"/>
  <c r="C92" i="2"/>
  <c r="A92" i="2"/>
  <c r="I91" i="2"/>
  <c r="J91" i="2" s="1"/>
  <c r="H91" i="2"/>
  <c r="D91" i="2"/>
  <c r="E91" i="2" s="1"/>
  <c r="C91" i="2"/>
  <c r="A91" i="2"/>
  <c r="I90" i="2"/>
  <c r="J90" i="2" s="1"/>
  <c r="H90" i="2"/>
  <c r="E90" i="2"/>
  <c r="D90" i="2"/>
  <c r="C90" i="2"/>
  <c r="A90" i="2"/>
  <c r="I89" i="2"/>
  <c r="J89" i="2" s="1"/>
  <c r="H89" i="2"/>
  <c r="D89" i="2"/>
  <c r="E89" i="2" s="1"/>
  <c r="C89" i="2"/>
  <c r="A89" i="2"/>
  <c r="I88" i="2"/>
  <c r="J88" i="2" s="1"/>
  <c r="H88" i="2"/>
  <c r="D88" i="2"/>
  <c r="E88" i="2" s="1"/>
  <c r="C88" i="2"/>
  <c r="A88" i="2"/>
  <c r="I87" i="2"/>
  <c r="J87" i="2" s="1"/>
  <c r="H87" i="2"/>
  <c r="E87" i="2"/>
  <c r="D87" i="2"/>
  <c r="C87" i="2"/>
  <c r="A87" i="2"/>
  <c r="I86" i="2"/>
  <c r="J86" i="2" s="1"/>
  <c r="H86" i="2"/>
  <c r="D86" i="2"/>
  <c r="E86" i="2" s="1"/>
  <c r="C86" i="2"/>
  <c r="A86" i="2"/>
  <c r="I85" i="2"/>
  <c r="J85" i="2" s="1"/>
  <c r="H85" i="2"/>
  <c r="D85" i="2"/>
  <c r="E85" i="2" s="1"/>
  <c r="C85" i="2"/>
  <c r="A85" i="2"/>
  <c r="I84" i="2"/>
  <c r="J84" i="2" s="1"/>
  <c r="H84" i="2"/>
  <c r="E84" i="2"/>
  <c r="D84" i="2"/>
  <c r="C84" i="2"/>
  <c r="A84" i="2"/>
  <c r="I83" i="2"/>
  <c r="J83" i="2" s="1"/>
  <c r="H83" i="2"/>
  <c r="D83" i="2"/>
  <c r="E83" i="2" s="1"/>
  <c r="C83" i="2"/>
  <c r="A83" i="2"/>
  <c r="I82" i="2"/>
  <c r="J82" i="2" s="1"/>
  <c r="H82" i="2"/>
  <c r="D82" i="2"/>
  <c r="E82" i="2" s="1"/>
  <c r="C82" i="2"/>
  <c r="A82" i="2"/>
  <c r="I81" i="2"/>
  <c r="J81" i="2" s="1"/>
  <c r="H81" i="2"/>
  <c r="E81" i="2"/>
  <c r="D81" i="2"/>
  <c r="C81" i="2"/>
  <c r="A81" i="2"/>
  <c r="I80" i="2"/>
  <c r="J80" i="2" s="1"/>
  <c r="H80" i="2"/>
  <c r="D80" i="2"/>
  <c r="E80" i="2" s="1"/>
  <c r="C80" i="2"/>
  <c r="A80" i="2"/>
  <c r="I79" i="2"/>
  <c r="J79" i="2" s="1"/>
  <c r="H79" i="2"/>
  <c r="D79" i="2"/>
  <c r="E79" i="2" s="1"/>
  <c r="C79" i="2"/>
  <c r="A79" i="2"/>
  <c r="I78" i="2"/>
  <c r="J78" i="2" s="1"/>
  <c r="H78" i="2"/>
  <c r="E78" i="2"/>
  <c r="D78" i="2"/>
  <c r="C78" i="2"/>
  <c r="A78" i="2"/>
  <c r="I77" i="2"/>
  <c r="J77" i="2" s="1"/>
  <c r="H77" i="2"/>
  <c r="D77" i="2"/>
  <c r="E77" i="2" s="1"/>
  <c r="C77" i="2"/>
  <c r="A77" i="2"/>
  <c r="I76" i="2"/>
  <c r="J76" i="2" s="1"/>
  <c r="H76" i="2"/>
  <c r="D76" i="2"/>
  <c r="E76" i="2" s="1"/>
  <c r="C76" i="2"/>
  <c r="A76" i="2"/>
  <c r="I75" i="2"/>
  <c r="J75" i="2" s="1"/>
  <c r="H75" i="2"/>
  <c r="E75" i="2"/>
  <c r="D75" i="2"/>
  <c r="C75" i="2"/>
  <c r="A75" i="2"/>
  <c r="I74" i="2"/>
  <c r="J74" i="2" s="1"/>
  <c r="H74" i="2"/>
  <c r="D74" i="2"/>
  <c r="E74" i="2" s="1"/>
  <c r="C74" i="2"/>
  <c r="A74" i="2"/>
  <c r="I73" i="2"/>
  <c r="J73" i="2" s="1"/>
  <c r="H73" i="2"/>
  <c r="D73" i="2"/>
  <c r="E73" i="2" s="1"/>
  <c r="C73" i="2"/>
  <c r="A73" i="2"/>
  <c r="I72" i="2"/>
  <c r="J72" i="2" s="1"/>
  <c r="H72" i="2"/>
  <c r="E72" i="2"/>
  <c r="D72" i="2"/>
  <c r="C72" i="2"/>
  <c r="A72" i="2"/>
  <c r="I71" i="2"/>
  <c r="J71" i="2" s="1"/>
  <c r="H71" i="2"/>
  <c r="D71" i="2"/>
  <c r="E71" i="2" s="1"/>
  <c r="C71" i="2"/>
  <c r="A71" i="2"/>
  <c r="I70" i="2"/>
  <c r="J70" i="2" s="1"/>
  <c r="H70" i="2"/>
  <c r="E70" i="2"/>
  <c r="D70" i="2"/>
  <c r="C70" i="2"/>
  <c r="A70" i="2"/>
  <c r="I69" i="2"/>
  <c r="J69" i="2" s="1"/>
  <c r="H69" i="2"/>
  <c r="E69" i="2"/>
  <c r="D69" i="2"/>
  <c r="C69" i="2"/>
  <c r="A69" i="2"/>
  <c r="I68" i="2"/>
  <c r="J68" i="2" s="1"/>
  <c r="H68" i="2"/>
  <c r="D68" i="2"/>
  <c r="E68" i="2" s="1"/>
  <c r="C68" i="2"/>
  <c r="A68" i="2"/>
  <c r="I67" i="2"/>
  <c r="J67" i="2" s="1"/>
  <c r="H67" i="2"/>
  <c r="D67" i="2"/>
  <c r="E67" i="2" s="1"/>
  <c r="C67" i="2"/>
  <c r="A67" i="2"/>
  <c r="I66" i="2"/>
  <c r="J66" i="2" s="1"/>
  <c r="H66" i="2"/>
  <c r="E66" i="2"/>
  <c r="D66" i="2"/>
  <c r="C66" i="2"/>
  <c r="A66" i="2"/>
  <c r="I65" i="2"/>
  <c r="J65" i="2" s="1"/>
  <c r="H65" i="2"/>
  <c r="D65" i="2"/>
  <c r="E65" i="2" s="1"/>
  <c r="C65" i="2"/>
  <c r="A65" i="2"/>
  <c r="I64" i="2"/>
  <c r="J64" i="2" s="1"/>
  <c r="H64" i="2"/>
  <c r="E64" i="2"/>
  <c r="D64" i="2"/>
  <c r="C64" i="2"/>
  <c r="A64" i="2"/>
  <c r="I63" i="2"/>
  <c r="J63" i="2" s="1"/>
  <c r="H63" i="2"/>
  <c r="E63" i="2"/>
  <c r="D63" i="2"/>
  <c r="C63" i="2"/>
  <c r="A63" i="2"/>
  <c r="I62" i="2"/>
  <c r="J62" i="2" s="1"/>
  <c r="H62" i="2"/>
  <c r="D62" i="2"/>
  <c r="E62" i="2" s="1"/>
  <c r="C62" i="2"/>
  <c r="A62" i="2"/>
  <c r="I61" i="2"/>
  <c r="J61" i="2" s="1"/>
  <c r="H61" i="2"/>
  <c r="E61" i="2"/>
  <c r="D61" i="2"/>
  <c r="C61" i="2"/>
  <c r="A61" i="2"/>
  <c r="I60" i="2"/>
  <c r="J60" i="2" s="1"/>
  <c r="H60" i="2"/>
  <c r="E60" i="2"/>
  <c r="D60" i="2"/>
  <c r="C60" i="2"/>
  <c r="A60" i="2"/>
  <c r="I59" i="2"/>
  <c r="J59" i="2" s="1"/>
  <c r="H59" i="2"/>
  <c r="D59" i="2"/>
  <c r="E59" i="2" s="1"/>
  <c r="C59" i="2"/>
  <c r="A59" i="2"/>
  <c r="I58" i="2"/>
  <c r="J58" i="2" s="1"/>
  <c r="H58" i="2"/>
  <c r="D58" i="2"/>
  <c r="E58" i="2" s="1"/>
  <c r="C58" i="2"/>
  <c r="A58" i="2"/>
  <c r="I57" i="2"/>
  <c r="J57" i="2" s="1"/>
  <c r="H57" i="2"/>
  <c r="E57" i="2"/>
  <c r="D57" i="2"/>
  <c r="C57" i="2"/>
  <c r="A57" i="2"/>
  <c r="I56" i="2"/>
  <c r="J56" i="2" s="1"/>
  <c r="H56" i="2"/>
  <c r="D56" i="2"/>
  <c r="E56" i="2" s="1"/>
  <c r="C56" i="2"/>
  <c r="A56" i="2"/>
  <c r="I55" i="2"/>
  <c r="J55" i="2" s="1"/>
  <c r="H55" i="2"/>
  <c r="E55" i="2"/>
  <c r="D55" i="2"/>
  <c r="C55" i="2"/>
  <c r="A55" i="2"/>
  <c r="I54" i="2"/>
  <c r="J54" i="2" s="1"/>
  <c r="H54" i="2"/>
  <c r="E54" i="2"/>
  <c r="D54" i="2"/>
  <c r="C54" i="2"/>
  <c r="A54" i="2"/>
  <c r="I53" i="2"/>
  <c r="J53" i="2" s="1"/>
  <c r="H53" i="2"/>
  <c r="D53" i="2"/>
  <c r="E53" i="2" s="1"/>
  <c r="C53" i="2"/>
  <c r="A53" i="2"/>
  <c r="I52" i="2"/>
  <c r="J52" i="2" s="1"/>
  <c r="H52" i="2"/>
  <c r="E52" i="2"/>
  <c r="D52" i="2"/>
  <c r="C52" i="2"/>
  <c r="A52" i="2"/>
  <c r="I51" i="2"/>
  <c r="J51" i="2" s="1"/>
  <c r="H51" i="2"/>
  <c r="E51" i="2"/>
  <c r="D51" i="2"/>
  <c r="C51" i="2"/>
  <c r="A51" i="2"/>
  <c r="I50" i="2"/>
  <c r="J50" i="2" s="1"/>
  <c r="H50" i="2"/>
  <c r="D50" i="2"/>
  <c r="E50" i="2" s="1"/>
  <c r="C50" i="2"/>
  <c r="A50" i="2"/>
  <c r="I49" i="2"/>
  <c r="J49" i="2" s="1"/>
  <c r="H49" i="2"/>
  <c r="D49" i="2"/>
  <c r="E49" i="2" s="1"/>
  <c r="C49" i="2"/>
  <c r="A49" i="2"/>
  <c r="I48" i="2"/>
  <c r="J48" i="2" s="1"/>
  <c r="H48" i="2"/>
  <c r="E48" i="2"/>
  <c r="D48" i="2"/>
  <c r="C48" i="2"/>
  <c r="A48" i="2"/>
  <c r="I47" i="2"/>
  <c r="J47" i="2" s="1"/>
  <c r="H47" i="2"/>
  <c r="D47" i="2"/>
  <c r="E47" i="2" s="1"/>
  <c r="C47" i="2"/>
  <c r="A47" i="2"/>
  <c r="I46" i="2"/>
  <c r="J46" i="2" s="1"/>
  <c r="H46" i="2"/>
  <c r="E46" i="2"/>
  <c r="D46" i="2"/>
  <c r="C46" i="2"/>
  <c r="A46" i="2"/>
  <c r="I45" i="2"/>
  <c r="J45" i="2" s="1"/>
  <c r="H45" i="2"/>
  <c r="E45" i="2"/>
  <c r="D45" i="2"/>
  <c r="C45" i="2"/>
  <c r="A45" i="2"/>
  <c r="I44" i="2"/>
  <c r="J44" i="2" s="1"/>
  <c r="H44" i="2"/>
  <c r="D44" i="2"/>
  <c r="E44" i="2" s="1"/>
  <c r="C44" i="2"/>
  <c r="A44" i="2"/>
  <c r="I43" i="2"/>
  <c r="J43" i="2" s="1"/>
  <c r="H43" i="2"/>
  <c r="E43" i="2"/>
  <c r="D43" i="2"/>
  <c r="C43" i="2"/>
  <c r="A43" i="2"/>
  <c r="I42" i="2"/>
  <c r="J42" i="2" s="1"/>
  <c r="H42" i="2"/>
  <c r="E42" i="2"/>
  <c r="D42" i="2"/>
  <c r="C42" i="2"/>
  <c r="A42" i="2"/>
  <c r="I41" i="2"/>
  <c r="J41" i="2" s="1"/>
  <c r="H41" i="2"/>
  <c r="D41" i="2"/>
  <c r="E41" i="2" s="1"/>
  <c r="C41" i="2"/>
  <c r="A41" i="2"/>
  <c r="I40" i="2"/>
  <c r="J40" i="2" s="1"/>
  <c r="H40" i="2"/>
  <c r="D40" i="2"/>
  <c r="E40" i="2" s="1"/>
  <c r="C40" i="2"/>
  <c r="A40" i="2"/>
  <c r="I39" i="2"/>
  <c r="J39" i="2" s="1"/>
  <c r="H39" i="2"/>
  <c r="E39" i="2"/>
  <c r="D39" i="2"/>
  <c r="C39" i="2"/>
  <c r="A39" i="2"/>
  <c r="I38" i="2"/>
  <c r="J38" i="2" s="1"/>
  <c r="H38" i="2"/>
  <c r="D38" i="2"/>
  <c r="E38" i="2" s="1"/>
  <c r="C38" i="2"/>
  <c r="A38" i="2"/>
  <c r="I37" i="2"/>
  <c r="J37" i="2" s="1"/>
  <c r="H37" i="2"/>
  <c r="E37" i="2"/>
  <c r="D37" i="2"/>
  <c r="C37" i="2"/>
  <c r="A37" i="2"/>
  <c r="I36" i="2"/>
  <c r="J36" i="2" s="1"/>
  <c r="H36" i="2"/>
  <c r="E36" i="2"/>
  <c r="D36" i="2"/>
  <c r="C36" i="2"/>
  <c r="A36" i="2"/>
  <c r="I35" i="2"/>
  <c r="J35" i="2" s="1"/>
  <c r="H35" i="2"/>
  <c r="D35" i="2"/>
  <c r="E35" i="2" s="1"/>
  <c r="C35" i="2"/>
  <c r="A35" i="2"/>
  <c r="I34" i="2"/>
  <c r="J34" i="2" s="1"/>
  <c r="H34" i="2"/>
  <c r="E34" i="2"/>
  <c r="D34" i="2"/>
  <c r="C34" i="2"/>
  <c r="A34" i="2"/>
  <c r="I33" i="2"/>
  <c r="J33" i="2" s="1"/>
  <c r="H33" i="2"/>
  <c r="E33" i="2"/>
  <c r="D33" i="2"/>
  <c r="C33" i="2"/>
  <c r="A33" i="2"/>
  <c r="I32" i="2"/>
  <c r="J32" i="2" s="1"/>
  <c r="H32" i="2"/>
  <c r="D32" i="2"/>
  <c r="E32" i="2" s="1"/>
  <c r="C32" i="2"/>
  <c r="A32" i="2"/>
  <c r="I31" i="2"/>
  <c r="J31" i="2" s="1"/>
  <c r="H31" i="2"/>
  <c r="D31" i="2"/>
  <c r="E31" i="2" s="1"/>
  <c r="C31" i="2"/>
  <c r="A31" i="2"/>
  <c r="I30" i="2"/>
  <c r="J30" i="2" s="1"/>
  <c r="H30" i="2"/>
  <c r="E30" i="2"/>
  <c r="D30" i="2"/>
  <c r="C30" i="2"/>
  <c r="A30" i="2"/>
  <c r="I29" i="2"/>
  <c r="J29" i="2" s="1"/>
  <c r="H29" i="2"/>
  <c r="D29" i="2"/>
  <c r="E29" i="2" s="1"/>
  <c r="C29" i="2"/>
  <c r="A29" i="2"/>
  <c r="I28" i="2"/>
  <c r="J28" i="2" s="1"/>
  <c r="H28" i="2"/>
  <c r="E28" i="2"/>
  <c r="D28" i="2"/>
  <c r="C28" i="2"/>
  <c r="A28" i="2"/>
  <c r="I27" i="2"/>
  <c r="J27" i="2" s="1"/>
  <c r="H27" i="2"/>
  <c r="E27" i="2"/>
  <c r="D27" i="2"/>
  <c r="C27" i="2"/>
  <c r="A27" i="2"/>
  <c r="I26" i="2"/>
  <c r="J26" i="2" s="1"/>
  <c r="H26" i="2"/>
  <c r="D26" i="2"/>
  <c r="E26" i="2" s="1"/>
  <c r="C26" i="2"/>
  <c r="A26" i="2"/>
  <c r="I25" i="2"/>
  <c r="J25" i="2" s="1"/>
  <c r="H25" i="2"/>
  <c r="E25" i="2"/>
  <c r="D25" i="2"/>
  <c r="C25" i="2"/>
  <c r="A25" i="2"/>
  <c r="I24" i="2"/>
  <c r="J24" i="2" s="1"/>
  <c r="H24" i="2"/>
  <c r="E24" i="2"/>
  <c r="D24" i="2"/>
  <c r="C24" i="2"/>
  <c r="A24" i="2"/>
  <c r="I23" i="2"/>
  <c r="J23" i="2" s="1"/>
  <c r="H23" i="2"/>
  <c r="D23" i="2"/>
  <c r="E23" i="2" s="1"/>
  <c r="C23" i="2"/>
  <c r="A23" i="2"/>
  <c r="I22" i="2"/>
  <c r="J22" i="2" s="1"/>
  <c r="H22" i="2"/>
  <c r="D22" i="2"/>
  <c r="E22" i="2" s="1"/>
  <c r="C22" i="2"/>
  <c r="A22" i="2"/>
  <c r="I21" i="2"/>
  <c r="J21" i="2" s="1"/>
  <c r="H21" i="2"/>
  <c r="E21" i="2"/>
  <c r="D21" i="2"/>
  <c r="C21" i="2"/>
  <c r="A21" i="2"/>
  <c r="I20" i="2"/>
  <c r="J20" i="2" s="1"/>
  <c r="H20" i="2"/>
  <c r="D20" i="2"/>
  <c r="E20" i="2" s="1"/>
  <c r="C20" i="2"/>
  <c r="A20" i="2"/>
  <c r="I19" i="2"/>
  <c r="J19" i="2" s="1"/>
  <c r="H19" i="2"/>
  <c r="E19" i="2"/>
  <c r="D19" i="2"/>
  <c r="C19" i="2"/>
  <c r="A19" i="2"/>
  <c r="I18" i="2"/>
  <c r="J18" i="2" s="1"/>
  <c r="H18" i="2"/>
  <c r="E18" i="2"/>
  <c r="D18" i="2"/>
  <c r="C18" i="2"/>
  <c r="A18" i="2"/>
  <c r="I17" i="2"/>
  <c r="J17" i="2" s="1"/>
  <c r="H17" i="2"/>
  <c r="D17" i="2"/>
  <c r="E17" i="2" s="1"/>
  <c r="C17" i="2"/>
  <c r="A17" i="2"/>
  <c r="I16" i="2"/>
  <c r="J16" i="2" s="1"/>
  <c r="H16" i="2"/>
  <c r="E16" i="2"/>
  <c r="D16" i="2"/>
  <c r="C16" i="2"/>
  <c r="A16" i="2"/>
  <c r="I15" i="2"/>
  <c r="J15" i="2" s="1"/>
  <c r="H15" i="2"/>
  <c r="E15" i="2"/>
  <c r="D15" i="2"/>
  <c r="C15" i="2"/>
  <c r="A15" i="2"/>
  <c r="I14" i="2"/>
  <c r="J14" i="2" s="1"/>
  <c r="H14" i="2"/>
  <c r="D14" i="2"/>
  <c r="E14" i="2" s="1"/>
  <c r="C14" i="2"/>
  <c r="A14" i="2"/>
  <c r="I13" i="2"/>
  <c r="J13" i="2" s="1"/>
  <c r="H13" i="2"/>
  <c r="D13" i="2"/>
  <c r="E13" i="2" s="1"/>
  <c r="C13" i="2"/>
  <c r="A13" i="2"/>
  <c r="I12" i="2"/>
  <c r="J12" i="2" s="1"/>
  <c r="H12" i="2"/>
  <c r="E12" i="2"/>
  <c r="D12" i="2"/>
  <c r="C12" i="2"/>
  <c r="A12" i="2"/>
  <c r="I11" i="2"/>
  <c r="J11" i="2" s="1"/>
  <c r="H11" i="2"/>
  <c r="D11" i="2"/>
  <c r="E11" i="2" s="1"/>
  <c r="C11" i="2"/>
  <c r="A11" i="2"/>
  <c r="I10" i="2"/>
  <c r="J10" i="2" s="1"/>
  <c r="H10" i="2"/>
  <c r="E10" i="2"/>
  <c r="D10" i="2"/>
  <c r="C10" i="2"/>
  <c r="A10" i="2"/>
  <c r="I9" i="2"/>
  <c r="J9" i="2" s="1"/>
  <c r="H9" i="2"/>
  <c r="E9" i="2"/>
  <c r="D9" i="2"/>
  <c r="C9" i="2"/>
  <c r="A9" i="2"/>
  <c r="I8" i="2"/>
  <c r="J8" i="2" s="1"/>
  <c r="H8" i="2"/>
  <c r="D8" i="2"/>
  <c r="E8" i="2" s="1"/>
  <c r="C8" i="2"/>
  <c r="A8" i="2"/>
  <c r="I7" i="2"/>
  <c r="J7" i="2" s="1"/>
  <c r="H7" i="2"/>
  <c r="E7" i="2"/>
  <c r="D7" i="2"/>
  <c r="C7" i="2"/>
  <c r="A7" i="2"/>
  <c r="I6" i="2"/>
  <c r="J6" i="2" s="1"/>
  <c r="H6" i="2"/>
  <c r="E6" i="2"/>
  <c r="D6" i="2"/>
  <c r="C6" i="2"/>
  <c r="A6" i="2"/>
  <c r="I5" i="2"/>
  <c r="J5" i="2" s="1"/>
  <c r="H5" i="2"/>
  <c r="D5" i="2"/>
  <c r="E5" i="2" s="1"/>
  <c r="C5" i="2"/>
  <c r="A5" i="2"/>
  <c r="I4" i="2"/>
  <c r="J4" i="2" s="1"/>
  <c r="H4" i="2"/>
  <c r="D4" i="2"/>
  <c r="E4" i="2" s="1"/>
  <c r="C4" i="2"/>
  <c r="A4" i="2"/>
  <c r="I3" i="2"/>
  <c r="J3" i="2" s="1"/>
  <c r="H3" i="2"/>
  <c r="E3" i="2"/>
  <c r="D3" i="2"/>
  <c r="C3" i="2"/>
  <c r="A3" i="2"/>
  <c r="I2" i="2"/>
  <c r="J2" i="2" s="1"/>
  <c r="H2" i="2"/>
  <c r="D2" i="2"/>
  <c r="E2" i="2" s="1"/>
  <c r="C2" i="2"/>
  <c r="A2" i="2"/>
  <c r="G18" i="1"/>
  <c r="G3" i="1"/>
</calcChain>
</file>

<file path=xl/sharedStrings.xml><?xml version="1.0" encoding="utf-8"?>
<sst xmlns="http://schemas.openxmlformats.org/spreadsheetml/2006/main" count="134" uniqueCount="85">
  <si>
    <t>Apple Inc. (USD)</t>
  </si>
  <si>
    <t>NASDAQ:AAPL</t>
  </si>
  <si>
    <t>Datos básicos a la fecha</t>
  </si>
  <si>
    <t>Beta (5Y)</t>
  </si>
  <si>
    <t>Volumen operado promedio</t>
  </si>
  <si>
    <t>Capitalización de mercado (En miles)</t>
  </si>
  <si>
    <t>Industria</t>
  </si>
  <si>
    <t>Consumer Electronics</t>
  </si>
  <si>
    <t>Sector</t>
  </si>
  <si>
    <t>Technology</t>
  </si>
  <si>
    <t>Página web</t>
  </si>
  <si>
    <t>https://www.apple.com</t>
  </si>
  <si>
    <t>Prev. De rentabilidad y dividendo</t>
  </si>
  <si>
    <t>Ratios de valuación</t>
  </si>
  <si>
    <t>P/E (TTM)</t>
  </si>
  <si>
    <t>BPA (TTM)</t>
  </si>
  <si>
    <t>Precio a CFO</t>
  </si>
  <si>
    <t>Valor a EBITDA</t>
  </si>
  <si>
    <t>Ratios de liquidéz</t>
  </si>
  <si>
    <t>Current Ratio</t>
  </si>
  <si>
    <t>Quick Ratio</t>
  </si>
  <si>
    <t>Cash Ratio</t>
  </si>
  <si>
    <t>Ciclo Operativo</t>
  </si>
  <si>
    <t>Ratios de rentabilidad</t>
  </si>
  <si>
    <t>Márgen de rentabilidad operativa</t>
  </si>
  <si>
    <t>Márgen de rentabilidad bruta</t>
  </si>
  <si>
    <t>Márgen de rentabilidad neta</t>
  </si>
  <si>
    <t>ROE</t>
  </si>
  <si>
    <t>ROA</t>
  </si>
  <si>
    <t>Ratios de endeudamiento</t>
  </si>
  <si>
    <t>Deuda sobre equity</t>
  </si>
  <si>
    <t>Cobertura de intereses</t>
  </si>
  <si>
    <t>CFO sobre deuda</t>
  </si>
  <si>
    <t>P AAPL</t>
  </si>
  <si>
    <t>r AAPL</t>
  </si>
  <si>
    <t>Max</t>
  </si>
  <si>
    <t>Caída</t>
  </si>
  <si>
    <t>P Benchmark</t>
  </si>
  <si>
    <t>r Benchmark</t>
  </si>
  <si>
    <t>Bmk (Base 100)</t>
  </si>
  <si>
    <t>Flujo de actividad de operación</t>
  </si>
  <si>
    <t>Ingreso neto</t>
  </si>
  <si>
    <t>Depreciación y amortización</t>
  </si>
  <si>
    <t>Impuesto sobre beneficios diferidos</t>
  </si>
  <si>
    <t>Cambio en capital de trabajo</t>
  </si>
  <si>
    <t>...</t>
  </si>
  <si>
    <t>Flujo de actividad de inversión</t>
  </si>
  <si>
    <t>Inversiones en activos fijos</t>
  </si>
  <si>
    <t>Flujo de actividad de financiamiento</t>
  </si>
  <si>
    <t>Pago de deuda</t>
  </si>
  <si>
    <t>Acciones ordinarias emitidas</t>
  </si>
  <si>
    <t>Acciones ordinarias readquiridas</t>
  </si>
  <si>
    <t>Pago de dividendos</t>
  </si>
  <si>
    <t>Otras actividades de financiación</t>
  </si>
  <si>
    <t>Cambio neto de caja</t>
  </si>
  <si>
    <t>Flujo de caja libre</t>
  </si>
  <si>
    <t>Activo</t>
  </si>
  <si>
    <t>Activo corriente</t>
  </si>
  <si>
    <t>Efectivo y activos líquidos</t>
  </si>
  <si>
    <t>Cuentas pendientes netas</t>
  </si>
  <si>
    <t>Inventario</t>
  </si>
  <si>
    <t>Activo no corriente</t>
  </si>
  <si>
    <t>Activos fijos brutos</t>
  </si>
  <si>
    <t>Pasivo</t>
  </si>
  <si>
    <t>Pasivo corriente</t>
  </si>
  <si>
    <t>Deuda corriente</t>
  </si>
  <si>
    <t>Cuentas por pagar</t>
  </si>
  <si>
    <t>Pasivo no corriente</t>
  </si>
  <si>
    <t>Deuda a largo plazo</t>
  </si>
  <si>
    <t>Pasivo por impuestos diferidos</t>
  </si>
  <si>
    <t>Patrimonio neto</t>
  </si>
  <si>
    <t>Acción ordinaria</t>
  </si>
  <si>
    <t>Ganancias acumuladas</t>
  </si>
  <si>
    <t>Otro resultado integral acumulado</t>
  </si>
  <si>
    <t>Resultado bruto</t>
  </si>
  <si>
    <t>Ingresos totales</t>
  </si>
  <si>
    <t>Costo de ingresos</t>
  </si>
  <si>
    <t>Ingreso operativo</t>
  </si>
  <si>
    <t>Gastos operativos</t>
  </si>
  <si>
    <t>EBT</t>
  </si>
  <si>
    <t>Ingreso por intereses</t>
  </si>
  <si>
    <t>Egreso por intereses</t>
  </si>
  <si>
    <t>Resultado neto</t>
  </si>
  <si>
    <t>Impuesto sobre ingresos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</si>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</sst>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name val="Calibri"/>
    </font>
    <font>
      <sz val="18"/>
      <name val="Calibri"/>
    </font>
    <font>
      <b/>
      <sz val="16"/>
      <name val="Calibri"/>
    </font>
    <font>
      <sz val="16"/>
      <name val="Calibri"/>
    </font>
    <font>
      <b/>
      <sz val="14"/>
      <name val="Calibri"/>
    </font>
    <font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>
      <alignment horizontal="center" vertical="center"/>
    </xf>
    <xf numFmtId="0" fontId="2" fillId="2" borderId="2"/>
  </cellStyleXfs>
  <cellXfs count="16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2" borderId="2" xfId="2"/>
    <xf numFmtId="43" fontId="0" fillId="0" borderId="0" xfId="0" applyNumberFormat="1" applyAlignment="1">
      <alignment horizontal="right"/>
    </xf>
    <xf numFmtId="0" fontId="1" fillId="0" borderId="1" xfId="1" applyAlignment="1">
      <alignment horizontal="center" vertical="center"/>
    </xf>
    <xf numFmtId="43" fontId="0" fillId="0" borderId="0" xfId="0" applyNumberFormat="1"/>
    <xf numFmtId="10" fontId="0" fillId="0" borderId="0" xfId="0" applyNumberFormat="1"/>
    <xf numFmtId="14" fontId="1" fillId="0" borderId="1" xfId="1" applyNumberFormat="1" applyAlignment="1">
      <alignment horizontal="center" vertical="center"/>
    </xf>
    <xf numFmtId="0" fontId="4" fillId="0" borderId="0" xfId="0" applyFont="1"/>
    <xf numFmtId="43" fontId="5" fillId="0" borderId="0" xfId="0" applyNumberFormat="1" applyFon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4" fillId="0" borderId="0" xfId="0" applyNumberFormat="1" applyFont="1"/>
    <xf numFmtId="0" fontId="6" fillId="0" borderId="0" xfId="0" applyFont="1"/>
    <xf numFmtId="43" fontId="7" fillId="0" borderId="0" xfId="0" applyNumberFormat="1" applyFont="1"/>
  </cellXfs>
  <cellStyles count="3">
    <cellStyle name="columnTitleStyle" xfId="1" xr:uid="{00000000-0005-0000-0000-000001000000}"/>
    <cellStyle name="Normal" xfId="0" builtinId="0"/>
    <cellStyle name="summarySeparatorStyl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AAPL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Historicos!$B$1</c:f>
              <c:strCache>
                <c:ptCount val="1"/>
                <c:pt idx="0">
                  <c:v>P AAPL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Historicos!$A$2:$A$1261</c:f>
              <c:numCache>
                <c:formatCode>m/d/yyyy</c:formatCode>
                <c:ptCount val="1260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44655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44648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44627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  <c:pt idx="42">
                  <c:v>44614</c:v>
                </c:pt>
                <c:pt idx="43">
                  <c:v>44610</c:v>
                </c:pt>
                <c:pt idx="44">
                  <c:v>44609</c:v>
                </c:pt>
                <c:pt idx="45">
                  <c:v>44608</c:v>
                </c:pt>
                <c:pt idx="46">
                  <c:v>44607</c:v>
                </c:pt>
                <c:pt idx="47">
                  <c:v>44606</c:v>
                </c:pt>
                <c:pt idx="48">
                  <c:v>44603</c:v>
                </c:pt>
                <c:pt idx="49">
                  <c:v>44602</c:v>
                </c:pt>
                <c:pt idx="50">
                  <c:v>44601</c:v>
                </c:pt>
                <c:pt idx="51">
                  <c:v>44600</c:v>
                </c:pt>
                <c:pt idx="52">
                  <c:v>44599</c:v>
                </c:pt>
                <c:pt idx="53">
                  <c:v>44596</c:v>
                </c:pt>
                <c:pt idx="54">
                  <c:v>44595</c:v>
                </c:pt>
                <c:pt idx="55">
                  <c:v>44594</c:v>
                </c:pt>
                <c:pt idx="56">
                  <c:v>44593</c:v>
                </c:pt>
                <c:pt idx="57">
                  <c:v>44592</c:v>
                </c:pt>
                <c:pt idx="58">
                  <c:v>44589</c:v>
                </c:pt>
                <c:pt idx="59">
                  <c:v>44588</c:v>
                </c:pt>
                <c:pt idx="60">
                  <c:v>44587</c:v>
                </c:pt>
                <c:pt idx="61">
                  <c:v>44586</c:v>
                </c:pt>
                <c:pt idx="62">
                  <c:v>44585</c:v>
                </c:pt>
                <c:pt idx="63">
                  <c:v>44582</c:v>
                </c:pt>
                <c:pt idx="64">
                  <c:v>44581</c:v>
                </c:pt>
                <c:pt idx="65">
                  <c:v>44580</c:v>
                </c:pt>
                <c:pt idx="66">
                  <c:v>44579</c:v>
                </c:pt>
                <c:pt idx="67">
                  <c:v>44575</c:v>
                </c:pt>
                <c:pt idx="68">
                  <c:v>44574</c:v>
                </c:pt>
                <c:pt idx="69">
                  <c:v>44573</c:v>
                </c:pt>
                <c:pt idx="70">
                  <c:v>44572</c:v>
                </c:pt>
                <c:pt idx="71">
                  <c:v>44571</c:v>
                </c:pt>
                <c:pt idx="72">
                  <c:v>44568</c:v>
                </c:pt>
                <c:pt idx="73">
                  <c:v>44567</c:v>
                </c:pt>
                <c:pt idx="74">
                  <c:v>44566</c:v>
                </c:pt>
                <c:pt idx="75">
                  <c:v>44565</c:v>
                </c:pt>
                <c:pt idx="76">
                  <c:v>44564</c:v>
                </c:pt>
                <c:pt idx="77">
                  <c:v>44561</c:v>
                </c:pt>
                <c:pt idx="78">
                  <c:v>44560</c:v>
                </c:pt>
                <c:pt idx="79">
                  <c:v>44559</c:v>
                </c:pt>
                <c:pt idx="80">
                  <c:v>44558</c:v>
                </c:pt>
                <c:pt idx="81">
                  <c:v>44557</c:v>
                </c:pt>
                <c:pt idx="82">
                  <c:v>44553</c:v>
                </c:pt>
                <c:pt idx="83">
                  <c:v>44552</c:v>
                </c:pt>
                <c:pt idx="84">
                  <c:v>44551</c:v>
                </c:pt>
                <c:pt idx="85">
                  <c:v>44550</c:v>
                </c:pt>
                <c:pt idx="86">
                  <c:v>44547</c:v>
                </c:pt>
                <c:pt idx="87">
                  <c:v>44546</c:v>
                </c:pt>
                <c:pt idx="88">
                  <c:v>44545</c:v>
                </c:pt>
                <c:pt idx="89">
                  <c:v>44544</c:v>
                </c:pt>
                <c:pt idx="90">
                  <c:v>44543</c:v>
                </c:pt>
                <c:pt idx="91">
                  <c:v>44540</c:v>
                </c:pt>
                <c:pt idx="92">
                  <c:v>44539</c:v>
                </c:pt>
                <c:pt idx="93">
                  <c:v>44538</c:v>
                </c:pt>
                <c:pt idx="94">
                  <c:v>44537</c:v>
                </c:pt>
                <c:pt idx="95">
                  <c:v>44536</c:v>
                </c:pt>
                <c:pt idx="96">
                  <c:v>44533</c:v>
                </c:pt>
                <c:pt idx="97">
                  <c:v>44532</c:v>
                </c:pt>
                <c:pt idx="98">
                  <c:v>44531</c:v>
                </c:pt>
                <c:pt idx="99">
                  <c:v>44530</c:v>
                </c:pt>
                <c:pt idx="100">
                  <c:v>44529</c:v>
                </c:pt>
                <c:pt idx="101">
                  <c:v>44526</c:v>
                </c:pt>
                <c:pt idx="102">
                  <c:v>44524</c:v>
                </c:pt>
                <c:pt idx="103">
                  <c:v>44523</c:v>
                </c:pt>
                <c:pt idx="104">
                  <c:v>44522</c:v>
                </c:pt>
                <c:pt idx="105">
                  <c:v>44519</c:v>
                </c:pt>
                <c:pt idx="106">
                  <c:v>44518</c:v>
                </c:pt>
                <c:pt idx="107">
                  <c:v>44517</c:v>
                </c:pt>
                <c:pt idx="108">
                  <c:v>44516</c:v>
                </c:pt>
                <c:pt idx="109">
                  <c:v>44515</c:v>
                </c:pt>
                <c:pt idx="110">
                  <c:v>44512</c:v>
                </c:pt>
                <c:pt idx="111">
                  <c:v>44511</c:v>
                </c:pt>
                <c:pt idx="112">
                  <c:v>44510</c:v>
                </c:pt>
                <c:pt idx="113">
                  <c:v>44509</c:v>
                </c:pt>
                <c:pt idx="114">
                  <c:v>44508</c:v>
                </c:pt>
                <c:pt idx="115">
                  <c:v>44505</c:v>
                </c:pt>
                <c:pt idx="116">
                  <c:v>44504</c:v>
                </c:pt>
                <c:pt idx="117">
                  <c:v>44503</c:v>
                </c:pt>
                <c:pt idx="118">
                  <c:v>44502</c:v>
                </c:pt>
                <c:pt idx="119">
                  <c:v>44501</c:v>
                </c:pt>
                <c:pt idx="120">
                  <c:v>44498</c:v>
                </c:pt>
                <c:pt idx="121">
                  <c:v>44497</c:v>
                </c:pt>
                <c:pt idx="122">
                  <c:v>44496</c:v>
                </c:pt>
                <c:pt idx="123">
                  <c:v>44495</c:v>
                </c:pt>
                <c:pt idx="124">
                  <c:v>44494</c:v>
                </c:pt>
                <c:pt idx="125">
                  <c:v>44491</c:v>
                </c:pt>
                <c:pt idx="126">
                  <c:v>44490</c:v>
                </c:pt>
                <c:pt idx="127">
                  <c:v>44489</c:v>
                </c:pt>
                <c:pt idx="128">
                  <c:v>44488</c:v>
                </c:pt>
                <c:pt idx="129">
                  <c:v>44487</c:v>
                </c:pt>
                <c:pt idx="130">
                  <c:v>44484</c:v>
                </c:pt>
                <c:pt idx="131">
                  <c:v>44483</c:v>
                </c:pt>
                <c:pt idx="132">
                  <c:v>44482</c:v>
                </c:pt>
                <c:pt idx="133">
                  <c:v>44481</c:v>
                </c:pt>
                <c:pt idx="134">
                  <c:v>44480</c:v>
                </c:pt>
                <c:pt idx="135">
                  <c:v>44477</c:v>
                </c:pt>
                <c:pt idx="136">
                  <c:v>44476</c:v>
                </c:pt>
                <c:pt idx="137">
                  <c:v>44475</c:v>
                </c:pt>
                <c:pt idx="138">
                  <c:v>44474</c:v>
                </c:pt>
                <c:pt idx="139">
                  <c:v>44473</c:v>
                </c:pt>
                <c:pt idx="140">
                  <c:v>44470</c:v>
                </c:pt>
                <c:pt idx="141">
                  <c:v>44469</c:v>
                </c:pt>
                <c:pt idx="142">
                  <c:v>44468</c:v>
                </c:pt>
                <c:pt idx="143">
                  <c:v>44467</c:v>
                </c:pt>
                <c:pt idx="144">
                  <c:v>44466</c:v>
                </c:pt>
                <c:pt idx="145">
                  <c:v>44463</c:v>
                </c:pt>
                <c:pt idx="146">
                  <c:v>44462</c:v>
                </c:pt>
                <c:pt idx="147">
                  <c:v>44461</c:v>
                </c:pt>
                <c:pt idx="148">
                  <c:v>44460</c:v>
                </c:pt>
                <c:pt idx="149">
                  <c:v>44459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44449</c:v>
                </c:pt>
                <c:pt idx="156">
                  <c:v>44448</c:v>
                </c:pt>
                <c:pt idx="157">
                  <c:v>44447</c:v>
                </c:pt>
                <c:pt idx="158">
                  <c:v>44446</c:v>
                </c:pt>
                <c:pt idx="159">
                  <c:v>44442</c:v>
                </c:pt>
                <c:pt idx="160">
                  <c:v>44441</c:v>
                </c:pt>
                <c:pt idx="161">
                  <c:v>44440</c:v>
                </c:pt>
                <c:pt idx="162">
                  <c:v>44439</c:v>
                </c:pt>
                <c:pt idx="163">
                  <c:v>44438</c:v>
                </c:pt>
                <c:pt idx="164">
                  <c:v>44435</c:v>
                </c:pt>
                <c:pt idx="165">
                  <c:v>44434</c:v>
                </c:pt>
                <c:pt idx="166">
                  <c:v>44433</c:v>
                </c:pt>
                <c:pt idx="167">
                  <c:v>44432</c:v>
                </c:pt>
                <c:pt idx="168">
                  <c:v>44431</c:v>
                </c:pt>
                <c:pt idx="169">
                  <c:v>44428</c:v>
                </c:pt>
                <c:pt idx="170">
                  <c:v>44427</c:v>
                </c:pt>
                <c:pt idx="171">
                  <c:v>44426</c:v>
                </c:pt>
                <c:pt idx="172">
                  <c:v>44425</c:v>
                </c:pt>
                <c:pt idx="173">
                  <c:v>44424</c:v>
                </c:pt>
                <c:pt idx="174">
                  <c:v>44421</c:v>
                </c:pt>
                <c:pt idx="175">
                  <c:v>44420</c:v>
                </c:pt>
                <c:pt idx="176">
                  <c:v>44419</c:v>
                </c:pt>
                <c:pt idx="177">
                  <c:v>44418</c:v>
                </c:pt>
                <c:pt idx="178">
                  <c:v>44417</c:v>
                </c:pt>
                <c:pt idx="179">
                  <c:v>44414</c:v>
                </c:pt>
                <c:pt idx="180">
                  <c:v>44413</c:v>
                </c:pt>
                <c:pt idx="181">
                  <c:v>44412</c:v>
                </c:pt>
                <c:pt idx="182">
                  <c:v>44411</c:v>
                </c:pt>
                <c:pt idx="183">
                  <c:v>44410</c:v>
                </c:pt>
                <c:pt idx="184">
                  <c:v>44407</c:v>
                </c:pt>
                <c:pt idx="185">
                  <c:v>44406</c:v>
                </c:pt>
                <c:pt idx="186">
                  <c:v>44405</c:v>
                </c:pt>
                <c:pt idx="187">
                  <c:v>44404</c:v>
                </c:pt>
                <c:pt idx="188">
                  <c:v>44403</c:v>
                </c:pt>
                <c:pt idx="189">
                  <c:v>44400</c:v>
                </c:pt>
                <c:pt idx="190">
                  <c:v>44399</c:v>
                </c:pt>
                <c:pt idx="191">
                  <c:v>44398</c:v>
                </c:pt>
                <c:pt idx="192">
                  <c:v>44397</c:v>
                </c:pt>
                <c:pt idx="193">
                  <c:v>44396</c:v>
                </c:pt>
                <c:pt idx="194">
                  <c:v>44393</c:v>
                </c:pt>
                <c:pt idx="195">
                  <c:v>44392</c:v>
                </c:pt>
                <c:pt idx="196">
                  <c:v>44391</c:v>
                </c:pt>
                <c:pt idx="197">
                  <c:v>44390</c:v>
                </c:pt>
                <c:pt idx="198">
                  <c:v>44389</c:v>
                </c:pt>
                <c:pt idx="199">
                  <c:v>44386</c:v>
                </c:pt>
                <c:pt idx="200">
                  <c:v>44385</c:v>
                </c:pt>
                <c:pt idx="201">
                  <c:v>44384</c:v>
                </c:pt>
                <c:pt idx="202">
                  <c:v>44383</c:v>
                </c:pt>
                <c:pt idx="203">
                  <c:v>44379</c:v>
                </c:pt>
                <c:pt idx="204">
                  <c:v>44378</c:v>
                </c:pt>
                <c:pt idx="205">
                  <c:v>44377</c:v>
                </c:pt>
                <c:pt idx="206">
                  <c:v>44376</c:v>
                </c:pt>
                <c:pt idx="207">
                  <c:v>44375</c:v>
                </c:pt>
                <c:pt idx="208">
                  <c:v>44372</c:v>
                </c:pt>
                <c:pt idx="209">
                  <c:v>44371</c:v>
                </c:pt>
                <c:pt idx="210">
                  <c:v>44370</c:v>
                </c:pt>
                <c:pt idx="211">
                  <c:v>44369</c:v>
                </c:pt>
                <c:pt idx="212">
                  <c:v>44368</c:v>
                </c:pt>
                <c:pt idx="213">
                  <c:v>44365</c:v>
                </c:pt>
                <c:pt idx="214">
                  <c:v>44364</c:v>
                </c:pt>
                <c:pt idx="215">
                  <c:v>44363</c:v>
                </c:pt>
                <c:pt idx="216">
                  <c:v>44362</c:v>
                </c:pt>
                <c:pt idx="217">
                  <c:v>44361</c:v>
                </c:pt>
                <c:pt idx="218">
                  <c:v>44358</c:v>
                </c:pt>
                <c:pt idx="219">
                  <c:v>44357</c:v>
                </c:pt>
                <c:pt idx="220">
                  <c:v>44356</c:v>
                </c:pt>
                <c:pt idx="221">
                  <c:v>44355</c:v>
                </c:pt>
                <c:pt idx="222">
                  <c:v>44354</c:v>
                </c:pt>
                <c:pt idx="223">
                  <c:v>44351</c:v>
                </c:pt>
                <c:pt idx="224">
                  <c:v>44350</c:v>
                </c:pt>
                <c:pt idx="225">
                  <c:v>44349</c:v>
                </c:pt>
                <c:pt idx="226">
                  <c:v>44348</c:v>
                </c:pt>
                <c:pt idx="227">
                  <c:v>44344</c:v>
                </c:pt>
                <c:pt idx="228">
                  <c:v>44343</c:v>
                </c:pt>
                <c:pt idx="229">
                  <c:v>44342</c:v>
                </c:pt>
                <c:pt idx="230">
                  <c:v>44341</c:v>
                </c:pt>
                <c:pt idx="231">
                  <c:v>44340</c:v>
                </c:pt>
                <c:pt idx="232">
                  <c:v>44337</c:v>
                </c:pt>
                <c:pt idx="233">
                  <c:v>44336</c:v>
                </c:pt>
                <c:pt idx="234">
                  <c:v>44335</c:v>
                </c:pt>
                <c:pt idx="235">
                  <c:v>44334</c:v>
                </c:pt>
                <c:pt idx="236">
                  <c:v>44333</c:v>
                </c:pt>
                <c:pt idx="237">
                  <c:v>44330</c:v>
                </c:pt>
                <c:pt idx="238">
                  <c:v>44329</c:v>
                </c:pt>
                <c:pt idx="239">
                  <c:v>44328</c:v>
                </c:pt>
                <c:pt idx="240">
                  <c:v>44327</c:v>
                </c:pt>
                <c:pt idx="241">
                  <c:v>44326</c:v>
                </c:pt>
                <c:pt idx="242">
                  <c:v>44323</c:v>
                </c:pt>
                <c:pt idx="243">
                  <c:v>44322</c:v>
                </c:pt>
                <c:pt idx="244">
                  <c:v>44321</c:v>
                </c:pt>
                <c:pt idx="245">
                  <c:v>44320</c:v>
                </c:pt>
                <c:pt idx="246">
                  <c:v>44319</c:v>
                </c:pt>
                <c:pt idx="247">
                  <c:v>44316</c:v>
                </c:pt>
                <c:pt idx="248">
                  <c:v>44315</c:v>
                </c:pt>
                <c:pt idx="249">
                  <c:v>44314</c:v>
                </c:pt>
                <c:pt idx="250">
                  <c:v>44313</c:v>
                </c:pt>
                <c:pt idx="251">
                  <c:v>44312</c:v>
                </c:pt>
                <c:pt idx="252">
                  <c:v>44309</c:v>
                </c:pt>
                <c:pt idx="253">
                  <c:v>44308</c:v>
                </c:pt>
                <c:pt idx="254">
                  <c:v>44307</c:v>
                </c:pt>
                <c:pt idx="255">
                  <c:v>44306</c:v>
                </c:pt>
                <c:pt idx="256">
                  <c:v>44305</c:v>
                </c:pt>
                <c:pt idx="257">
                  <c:v>44302</c:v>
                </c:pt>
                <c:pt idx="258">
                  <c:v>44301</c:v>
                </c:pt>
                <c:pt idx="259">
                  <c:v>44300</c:v>
                </c:pt>
                <c:pt idx="260">
                  <c:v>44299</c:v>
                </c:pt>
                <c:pt idx="261">
                  <c:v>44298</c:v>
                </c:pt>
                <c:pt idx="262">
                  <c:v>44295</c:v>
                </c:pt>
                <c:pt idx="263">
                  <c:v>44294</c:v>
                </c:pt>
                <c:pt idx="264">
                  <c:v>44293</c:v>
                </c:pt>
                <c:pt idx="265">
                  <c:v>44292</c:v>
                </c:pt>
                <c:pt idx="266">
                  <c:v>44291</c:v>
                </c:pt>
                <c:pt idx="267">
                  <c:v>44287</c:v>
                </c:pt>
                <c:pt idx="268">
                  <c:v>44286</c:v>
                </c:pt>
                <c:pt idx="269">
                  <c:v>44285</c:v>
                </c:pt>
                <c:pt idx="270">
                  <c:v>44284</c:v>
                </c:pt>
                <c:pt idx="271">
                  <c:v>44281</c:v>
                </c:pt>
                <c:pt idx="272">
                  <c:v>44280</c:v>
                </c:pt>
                <c:pt idx="273">
                  <c:v>44279</c:v>
                </c:pt>
                <c:pt idx="274">
                  <c:v>44278</c:v>
                </c:pt>
                <c:pt idx="275">
                  <c:v>44277</c:v>
                </c:pt>
                <c:pt idx="276">
                  <c:v>44274</c:v>
                </c:pt>
                <c:pt idx="277">
                  <c:v>44273</c:v>
                </c:pt>
                <c:pt idx="278">
                  <c:v>44272</c:v>
                </c:pt>
                <c:pt idx="279">
                  <c:v>44271</c:v>
                </c:pt>
                <c:pt idx="280">
                  <c:v>44270</c:v>
                </c:pt>
                <c:pt idx="281">
                  <c:v>44267</c:v>
                </c:pt>
                <c:pt idx="282">
                  <c:v>44266</c:v>
                </c:pt>
                <c:pt idx="283">
                  <c:v>44265</c:v>
                </c:pt>
                <c:pt idx="284">
                  <c:v>44264</c:v>
                </c:pt>
                <c:pt idx="285">
                  <c:v>44263</c:v>
                </c:pt>
                <c:pt idx="286">
                  <c:v>44260</c:v>
                </c:pt>
                <c:pt idx="287">
                  <c:v>44259</c:v>
                </c:pt>
                <c:pt idx="288">
                  <c:v>44258</c:v>
                </c:pt>
                <c:pt idx="289">
                  <c:v>44257</c:v>
                </c:pt>
                <c:pt idx="290">
                  <c:v>44256</c:v>
                </c:pt>
                <c:pt idx="291">
                  <c:v>44253</c:v>
                </c:pt>
                <c:pt idx="292">
                  <c:v>44252</c:v>
                </c:pt>
                <c:pt idx="293">
                  <c:v>44251</c:v>
                </c:pt>
                <c:pt idx="294">
                  <c:v>44250</c:v>
                </c:pt>
                <c:pt idx="295">
                  <c:v>44249</c:v>
                </c:pt>
                <c:pt idx="296">
                  <c:v>44246</c:v>
                </c:pt>
                <c:pt idx="297">
                  <c:v>44245</c:v>
                </c:pt>
                <c:pt idx="298">
                  <c:v>44244</c:v>
                </c:pt>
                <c:pt idx="299">
                  <c:v>44243</c:v>
                </c:pt>
                <c:pt idx="300">
                  <c:v>44239</c:v>
                </c:pt>
                <c:pt idx="301">
                  <c:v>44238</c:v>
                </c:pt>
                <c:pt idx="302">
                  <c:v>44237</c:v>
                </c:pt>
                <c:pt idx="303">
                  <c:v>44236</c:v>
                </c:pt>
                <c:pt idx="304">
                  <c:v>44235</c:v>
                </c:pt>
                <c:pt idx="305">
                  <c:v>44232</c:v>
                </c:pt>
                <c:pt idx="306">
                  <c:v>44231</c:v>
                </c:pt>
                <c:pt idx="307">
                  <c:v>44230</c:v>
                </c:pt>
                <c:pt idx="308">
                  <c:v>44229</c:v>
                </c:pt>
                <c:pt idx="309">
                  <c:v>44228</c:v>
                </c:pt>
                <c:pt idx="310">
                  <c:v>44225</c:v>
                </c:pt>
                <c:pt idx="311">
                  <c:v>44224</c:v>
                </c:pt>
                <c:pt idx="312">
                  <c:v>44223</c:v>
                </c:pt>
                <c:pt idx="313">
                  <c:v>44222</c:v>
                </c:pt>
                <c:pt idx="314">
                  <c:v>44221</c:v>
                </c:pt>
                <c:pt idx="315">
                  <c:v>44218</c:v>
                </c:pt>
                <c:pt idx="316">
                  <c:v>44217</c:v>
                </c:pt>
                <c:pt idx="317">
                  <c:v>44216</c:v>
                </c:pt>
                <c:pt idx="318">
                  <c:v>44215</c:v>
                </c:pt>
                <c:pt idx="319">
                  <c:v>44211</c:v>
                </c:pt>
                <c:pt idx="320">
                  <c:v>44210</c:v>
                </c:pt>
                <c:pt idx="321">
                  <c:v>44209</c:v>
                </c:pt>
                <c:pt idx="322">
                  <c:v>44208</c:v>
                </c:pt>
                <c:pt idx="323">
                  <c:v>44207</c:v>
                </c:pt>
                <c:pt idx="324">
                  <c:v>44204</c:v>
                </c:pt>
                <c:pt idx="325">
                  <c:v>44203</c:v>
                </c:pt>
                <c:pt idx="326">
                  <c:v>44202</c:v>
                </c:pt>
                <c:pt idx="327">
                  <c:v>44201</c:v>
                </c:pt>
                <c:pt idx="328">
                  <c:v>44200</c:v>
                </c:pt>
                <c:pt idx="329">
                  <c:v>44196</c:v>
                </c:pt>
                <c:pt idx="330">
                  <c:v>44195</c:v>
                </c:pt>
                <c:pt idx="331">
                  <c:v>44194</c:v>
                </c:pt>
                <c:pt idx="332">
                  <c:v>44193</c:v>
                </c:pt>
                <c:pt idx="333">
                  <c:v>44189</c:v>
                </c:pt>
                <c:pt idx="334">
                  <c:v>44188</c:v>
                </c:pt>
                <c:pt idx="335">
                  <c:v>44187</c:v>
                </c:pt>
                <c:pt idx="336">
                  <c:v>44186</c:v>
                </c:pt>
                <c:pt idx="337">
                  <c:v>44183</c:v>
                </c:pt>
                <c:pt idx="338">
                  <c:v>44182</c:v>
                </c:pt>
                <c:pt idx="339">
                  <c:v>44181</c:v>
                </c:pt>
                <c:pt idx="340">
                  <c:v>44180</c:v>
                </c:pt>
                <c:pt idx="341">
                  <c:v>44179</c:v>
                </c:pt>
                <c:pt idx="342">
                  <c:v>44176</c:v>
                </c:pt>
                <c:pt idx="343">
                  <c:v>44175</c:v>
                </c:pt>
                <c:pt idx="344">
                  <c:v>44174</c:v>
                </c:pt>
                <c:pt idx="345">
                  <c:v>44173</c:v>
                </c:pt>
                <c:pt idx="346">
                  <c:v>44172</c:v>
                </c:pt>
                <c:pt idx="347">
                  <c:v>44169</c:v>
                </c:pt>
                <c:pt idx="348">
                  <c:v>44168</c:v>
                </c:pt>
                <c:pt idx="349">
                  <c:v>44167</c:v>
                </c:pt>
                <c:pt idx="350">
                  <c:v>44166</c:v>
                </c:pt>
                <c:pt idx="351">
                  <c:v>44165</c:v>
                </c:pt>
                <c:pt idx="352">
                  <c:v>44162</c:v>
                </c:pt>
                <c:pt idx="353">
                  <c:v>44160</c:v>
                </c:pt>
                <c:pt idx="354">
                  <c:v>44159</c:v>
                </c:pt>
                <c:pt idx="355">
                  <c:v>44158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44148</c:v>
                </c:pt>
                <c:pt idx="362">
                  <c:v>44147</c:v>
                </c:pt>
                <c:pt idx="363">
                  <c:v>44146</c:v>
                </c:pt>
                <c:pt idx="364">
                  <c:v>44145</c:v>
                </c:pt>
                <c:pt idx="365">
                  <c:v>44144</c:v>
                </c:pt>
                <c:pt idx="366">
                  <c:v>44141</c:v>
                </c:pt>
                <c:pt idx="367">
                  <c:v>44140</c:v>
                </c:pt>
                <c:pt idx="368">
                  <c:v>44139</c:v>
                </c:pt>
                <c:pt idx="369">
                  <c:v>44138</c:v>
                </c:pt>
                <c:pt idx="370">
                  <c:v>44137</c:v>
                </c:pt>
                <c:pt idx="371">
                  <c:v>44134</c:v>
                </c:pt>
                <c:pt idx="372">
                  <c:v>44133</c:v>
                </c:pt>
                <c:pt idx="373">
                  <c:v>44132</c:v>
                </c:pt>
                <c:pt idx="374">
                  <c:v>44131</c:v>
                </c:pt>
                <c:pt idx="375">
                  <c:v>44130</c:v>
                </c:pt>
                <c:pt idx="376">
                  <c:v>44127</c:v>
                </c:pt>
                <c:pt idx="377">
                  <c:v>44126</c:v>
                </c:pt>
                <c:pt idx="378">
                  <c:v>44125</c:v>
                </c:pt>
                <c:pt idx="379">
                  <c:v>44124</c:v>
                </c:pt>
                <c:pt idx="380">
                  <c:v>44123</c:v>
                </c:pt>
                <c:pt idx="381">
                  <c:v>44120</c:v>
                </c:pt>
                <c:pt idx="382">
                  <c:v>44119</c:v>
                </c:pt>
                <c:pt idx="383">
                  <c:v>44118</c:v>
                </c:pt>
                <c:pt idx="384">
                  <c:v>44117</c:v>
                </c:pt>
                <c:pt idx="385">
                  <c:v>44116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44106</c:v>
                </c:pt>
                <c:pt idx="392">
                  <c:v>44105</c:v>
                </c:pt>
                <c:pt idx="393">
                  <c:v>44104</c:v>
                </c:pt>
                <c:pt idx="394">
                  <c:v>44103</c:v>
                </c:pt>
                <c:pt idx="395">
                  <c:v>44102</c:v>
                </c:pt>
                <c:pt idx="396">
                  <c:v>44099</c:v>
                </c:pt>
                <c:pt idx="397">
                  <c:v>44098</c:v>
                </c:pt>
                <c:pt idx="398">
                  <c:v>44097</c:v>
                </c:pt>
                <c:pt idx="399">
                  <c:v>44096</c:v>
                </c:pt>
                <c:pt idx="400">
                  <c:v>44095</c:v>
                </c:pt>
                <c:pt idx="401">
                  <c:v>44092</c:v>
                </c:pt>
                <c:pt idx="402">
                  <c:v>44091</c:v>
                </c:pt>
                <c:pt idx="403">
                  <c:v>44090</c:v>
                </c:pt>
                <c:pt idx="404">
                  <c:v>44089</c:v>
                </c:pt>
                <c:pt idx="405">
                  <c:v>44088</c:v>
                </c:pt>
                <c:pt idx="406">
                  <c:v>44085</c:v>
                </c:pt>
                <c:pt idx="407">
                  <c:v>44084</c:v>
                </c:pt>
                <c:pt idx="408">
                  <c:v>44083</c:v>
                </c:pt>
                <c:pt idx="409">
                  <c:v>44082</c:v>
                </c:pt>
                <c:pt idx="410">
                  <c:v>44078</c:v>
                </c:pt>
                <c:pt idx="411">
                  <c:v>44077</c:v>
                </c:pt>
                <c:pt idx="412">
                  <c:v>44076</c:v>
                </c:pt>
                <c:pt idx="413">
                  <c:v>44075</c:v>
                </c:pt>
                <c:pt idx="414">
                  <c:v>44074</c:v>
                </c:pt>
                <c:pt idx="415">
                  <c:v>44071</c:v>
                </c:pt>
                <c:pt idx="416">
                  <c:v>44070</c:v>
                </c:pt>
                <c:pt idx="417">
                  <c:v>44069</c:v>
                </c:pt>
                <c:pt idx="418">
                  <c:v>44068</c:v>
                </c:pt>
                <c:pt idx="419">
                  <c:v>44067</c:v>
                </c:pt>
                <c:pt idx="420">
                  <c:v>44064</c:v>
                </c:pt>
                <c:pt idx="421">
                  <c:v>44063</c:v>
                </c:pt>
                <c:pt idx="422">
                  <c:v>44062</c:v>
                </c:pt>
                <c:pt idx="423">
                  <c:v>44061</c:v>
                </c:pt>
                <c:pt idx="424">
                  <c:v>44060</c:v>
                </c:pt>
                <c:pt idx="425">
                  <c:v>44057</c:v>
                </c:pt>
                <c:pt idx="426">
                  <c:v>44056</c:v>
                </c:pt>
                <c:pt idx="427">
                  <c:v>44055</c:v>
                </c:pt>
                <c:pt idx="428">
                  <c:v>44054</c:v>
                </c:pt>
                <c:pt idx="429">
                  <c:v>44053</c:v>
                </c:pt>
                <c:pt idx="430">
                  <c:v>44050</c:v>
                </c:pt>
                <c:pt idx="431">
                  <c:v>44049</c:v>
                </c:pt>
                <c:pt idx="432">
                  <c:v>44048</c:v>
                </c:pt>
                <c:pt idx="433">
                  <c:v>44047</c:v>
                </c:pt>
                <c:pt idx="434">
                  <c:v>44046</c:v>
                </c:pt>
                <c:pt idx="435">
                  <c:v>44043</c:v>
                </c:pt>
                <c:pt idx="436">
                  <c:v>44042</c:v>
                </c:pt>
                <c:pt idx="437">
                  <c:v>44041</c:v>
                </c:pt>
                <c:pt idx="438">
                  <c:v>44040</c:v>
                </c:pt>
                <c:pt idx="439">
                  <c:v>44039</c:v>
                </c:pt>
                <c:pt idx="440">
                  <c:v>44036</c:v>
                </c:pt>
                <c:pt idx="441">
                  <c:v>44035</c:v>
                </c:pt>
                <c:pt idx="442">
                  <c:v>44034</c:v>
                </c:pt>
                <c:pt idx="443">
                  <c:v>44033</c:v>
                </c:pt>
                <c:pt idx="444">
                  <c:v>44032</c:v>
                </c:pt>
                <c:pt idx="445">
                  <c:v>44029</c:v>
                </c:pt>
                <c:pt idx="446">
                  <c:v>44028</c:v>
                </c:pt>
                <c:pt idx="447">
                  <c:v>44027</c:v>
                </c:pt>
                <c:pt idx="448">
                  <c:v>44026</c:v>
                </c:pt>
                <c:pt idx="449">
                  <c:v>44025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44014</c:v>
                </c:pt>
                <c:pt idx="456">
                  <c:v>44013</c:v>
                </c:pt>
                <c:pt idx="457">
                  <c:v>44012</c:v>
                </c:pt>
                <c:pt idx="458">
                  <c:v>44011</c:v>
                </c:pt>
                <c:pt idx="459">
                  <c:v>44008</c:v>
                </c:pt>
                <c:pt idx="460">
                  <c:v>44007</c:v>
                </c:pt>
                <c:pt idx="461">
                  <c:v>44006</c:v>
                </c:pt>
                <c:pt idx="462">
                  <c:v>44005</c:v>
                </c:pt>
                <c:pt idx="463">
                  <c:v>44004</c:v>
                </c:pt>
                <c:pt idx="464">
                  <c:v>44001</c:v>
                </c:pt>
                <c:pt idx="465">
                  <c:v>44000</c:v>
                </c:pt>
                <c:pt idx="466">
                  <c:v>43999</c:v>
                </c:pt>
                <c:pt idx="467">
                  <c:v>43998</c:v>
                </c:pt>
                <c:pt idx="468">
                  <c:v>43997</c:v>
                </c:pt>
                <c:pt idx="469">
                  <c:v>43994</c:v>
                </c:pt>
                <c:pt idx="470">
                  <c:v>43993</c:v>
                </c:pt>
                <c:pt idx="471">
                  <c:v>43992</c:v>
                </c:pt>
                <c:pt idx="472">
                  <c:v>43991</c:v>
                </c:pt>
                <c:pt idx="473">
                  <c:v>43990</c:v>
                </c:pt>
                <c:pt idx="474">
                  <c:v>43987</c:v>
                </c:pt>
                <c:pt idx="475">
                  <c:v>43986</c:v>
                </c:pt>
                <c:pt idx="476">
                  <c:v>43985</c:v>
                </c:pt>
                <c:pt idx="477">
                  <c:v>43984</c:v>
                </c:pt>
                <c:pt idx="478">
                  <c:v>43983</c:v>
                </c:pt>
                <c:pt idx="479">
                  <c:v>43980</c:v>
                </c:pt>
                <c:pt idx="480">
                  <c:v>43979</c:v>
                </c:pt>
                <c:pt idx="481">
                  <c:v>43978</c:v>
                </c:pt>
                <c:pt idx="482">
                  <c:v>43977</c:v>
                </c:pt>
                <c:pt idx="483">
                  <c:v>43973</c:v>
                </c:pt>
                <c:pt idx="484">
                  <c:v>43972</c:v>
                </c:pt>
                <c:pt idx="485">
                  <c:v>43971</c:v>
                </c:pt>
                <c:pt idx="486">
                  <c:v>43970</c:v>
                </c:pt>
                <c:pt idx="487">
                  <c:v>43969</c:v>
                </c:pt>
                <c:pt idx="488">
                  <c:v>43966</c:v>
                </c:pt>
                <c:pt idx="489">
                  <c:v>43965</c:v>
                </c:pt>
                <c:pt idx="490">
                  <c:v>43964</c:v>
                </c:pt>
                <c:pt idx="491">
                  <c:v>43963</c:v>
                </c:pt>
                <c:pt idx="492">
                  <c:v>43962</c:v>
                </c:pt>
                <c:pt idx="493">
                  <c:v>43959</c:v>
                </c:pt>
                <c:pt idx="494">
                  <c:v>43958</c:v>
                </c:pt>
                <c:pt idx="495">
                  <c:v>43957</c:v>
                </c:pt>
                <c:pt idx="496">
                  <c:v>43956</c:v>
                </c:pt>
                <c:pt idx="497">
                  <c:v>43955</c:v>
                </c:pt>
                <c:pt idx="498">
                  <c:v>43952</c:v>
                </c:pt>
                <c:pt idx="499">
                  <c:v>43951</c:v>
                </c:pt>
                <c:pt idx="500">
                  <c:v>43950</c:v>
                </c:pt>
                <c:pt idx="501">
                  <c:v>43949</c:v>
                </c:pt>
                <c:pt idx="502">
                  <c:v>43948</c:v>
                </c:pt>
                <c:pt idx="503">
                  <c:v>43945</c:v>
                </c:pt>
                <c:pt idx="504">
                  <c:v>43944</c:v>
                </c:pt>
                <c:pt idx="505">
                  <c:v>43943</c:v>
                </c:pt>
                <c:pt idx="506">
                  <c:v>43942</c:v>
                </c:pt>
                <c:pt idx="507">
                  <c:v>43941</c:v>
                </c:pt>
                <c:pt idx="508">
                  <c:v>43938</c:v>
                </c:pt>
                <c:pt idx="509">
                  <c:v>43937</c:v>
                </c:pt>
                <c:pt idx="510">
                  <c:v>43936</c:v>
                </c:pt>
                <c:pt idx="511">
                  <c:v>43935</c:v>
                </c:pt>
                <c:pt idx="512">
                  <c:v>43934</c:v>
                </c:pt>
                <c:pt idx="513">
                  <c:v>43930</c:v>
                </c:pt>
                <c:pt idx="514">
                  <c:v>43929</c:v>
                </c:pt>
                <c:pt idx="515">
                  <c:v>43928</c:v>
                </c:pt>
                <c:pt idx="516">
                  <c:v>43927</c:v>
                </c:pt>
                <c:pt idx="517">
                  <c:v>43924</c:v>
                </c:pt>
                <c:pt idx="518">
                  <c:v>43923</c:v>
                </c:pt>
                <c:pt idx="519">
                  <c:v>43922</c:v>
                </c:pt>
                <c:pt idx="520">
                  <c:v>43921</c:v>
                </c:pt>
                <c:pt idx="521">
                  <c:v>43920</c:v>
                </c:pt>
                <c:pt idx="522">
                  <c:v>43917</c:v>
                </c:pt>
                <c:pt idx="523">
                  <c:v>43916</c:v>
                </c:pt>
                <c:pt idx="524">
                  <c:v>43915</c:v>
                </c:pt>
                <c:pt idx="525">
                  <c:v>43914</c:v>
                </c:pt>
                <c:pt idx="526">
                  <c:v>43913</c:v>
                </c:pt>
                <c:pt idx="527">
                  <c:v>43910</c:v>
                </c:pt>
                <c:pt idx="528">
                  <c:v>43909</c:v>
                </c:pt>
                <c:pt idx="529">
                  <c:v>43908</c:v>
                </c:pt>
                <c:pt idx="530">
                  <c:v>43907</c:v>
                </c:pt>
                <c:pt idx="531">
                  <c:v>43906</c:v>
                </c:pt>
                <c:pt idx="532">
                  <c:v>43903</c:v>
                </c:pt>
                <c:pt idx="533">
                  <c:v>43902</c:v>
                </c:pt>
                <c:pt idx="534">
                  <c:v>43901</c:v>
                </c:pt>
                <c:pt idx="535">
                  <c:v>43900</c:v>
                </c:pt>
                <c:pt idx="536">
                  <c:v>43899</c:v>
                </c:pt>
                <c:pt idx="537">
                  <c:v>43896</c:v>
                </c:pt>
                <c:pt idx="538">
                  <c:v>43895</c:v>
                </c:pt>
                <c:pt idx="539">
                  <c:v>43894</c:v>
                </c:pt>
                <c:pt idx="540">
                  <c:v>43893</c:v>
                </c:pt>
                <c:pt idx="541">
                  <c:v>43892</c:v>
                </c:pt>
                <c:pt idx="542">
                  <c:v>43889</c:v>
                </c:pt>
                <c:pt idx="543">
                  <c:v>43888</c:v>
                </c:pt>
                <c:pt idx="544">
                  <c:v>43887</c:v>
                </c:pt>
                <c:pt idx="545">
                  <c:v>43886</c:v>
                </c:pt>
                <c:pt idx="546">
                  <c:v>43885</c:v>
                </c:pt>
                <c:pt idx="547">
                  <c:v>43882</c:v>
                </c:pt>
                <c:pt idx="548">
                  <c:v>43881</c:v>
                </c:pt>
                <c:pt idx="549">
                  <c:v>43880</c:v>
                </c:pt>
                <c:pt idx="550">
                  <c:v>43879</c:v>
                </c:pt>
                <c:pt idx="551">
                  <c:v>43875</c:v>
                </c:pt>
                <c:pt idx="552">
                  <c:v>43874</c:v>
                </c:pt>
                <c:pt idx="553">
                  <c:v>43873</c:v>
                </c:pt>
                <c:pt idx="554">
                  <c:v>43872</c:v>
                </c:pt>
                <c:pt idx="555">
                  <c:v>43871</c:v>
                </c:pt>
                <c:pt idx="556">
                  <c:v>43868</c:v>
                </c:pt>
                <c:pt idx="557">
                  <c:v>43867</c:v>
                </c:pt>
                <c:pt idx="558">
                  <c:v>43866</c:v>
                </c:pt>
                <c:pt idx="559">
                  <c:v>43865</c:v>
                </c:pt>
                <c:pt idx="560">
                  <c:v>43864</c:v>
                </c:pt>
                <c:pt idx="561">
                  <c:v>43861</c:v>
                </c:pt>
                <c:pt idx="562">
                  <c:v>43860</c:v>
                </c:pt>
                <c:pt idx="563">
                  <c:v>43859</c:v>
                </c:pt>
                <c:pt idx="564">
                  <c:v>43858</c:v>
                </c:pt>
                <c:pt idx="565">
                  <c:v>43857</c:v>
                </c:pt>
                <c:pt idx="566">
                  <c:v>43854</c:v>
                </c:pt>
                <c:pt idx="567">
                  <c:v>43853</c:v>
                </c:pt>
                <c:pt idx="568">
                  <c:v>43852</c:v>
                </c:pt>
                <c:pt idx="569">
                  <c:v>43851</c:v>
                </c:pt>
                <c:pt idx="570">
                  <c:v>43847</c:v>
                </c:pt>
                <c:pt idx="571">
                  <c:v>43846</c:v>
                </c:pt>
                <c:pt idx="572">
                  <c:v>43845</c:v>
                </c:pt>
                <c:pt idx="573">
                  <c:v>43844</c:v>
                </c:pt>
                <c:pt idx="574">
                  <c:v>43843</c:v>
                </c:pt>
                <c:pt idx="575">
                  <c:v>43840</c:v>
                </c:pt>
                <c:pt idx="576">
                  <c:v>43839</c:v>
                </c:pt>
                <c:pt idx="577">
                  <c:v>43838</c:v>
                </c:pt>
                <c:pt idx="578">
                  <c:v>43837</c:v>
                </c:pt>
                <c:pt idx="579">
                  <c:v>43836</c:v>
                </c:pt>
                <c:pt idx="580">
                  <c:v>43833</c:v>
                </c:pt>
                <c:pt idx="581">
                  <c:v>43832</c:v>
                </c:pt>
                <c:pt idx="582">
                  <c:v>43830</c:v>
                </c:pt>
                <c:pt idx="583">
                  <c:v>43829</c:v>
                </c:pt>
                <c:pt idx="584">
                  <c:v>43826</c:v>
                </c:pt>
                <c:pt idx="585">
                  <c:v>43825</c:v>
                </c:pt>
                <c:pt idx="586">
                  <c:v>43823</c:v>
                </c:pt>
                <c:pt idx="587">
                  <c:v>43822</c:v>
                </c:pt>
                <c:pt idx="588">
                  <c:v>43819</c:v>
                </c:pt>
                <c:pt idx="589">
                  <c:v>43818</c:v>
                </c:pt>
                <c:pt idx="590">
                  <c:v>43817</c:v>
                </c:pt>
                <c:pt idx="591">
                  <c:v>43816</c:v>
                </c:pt>
                <c:pt idx="592">
                  <c:v>43815</c:v>
                </c:pt>
                <c:pt idx="593">
                  <c:v>43812</c:v>
                </c:pt>
                <c:pt idx="594">
                  <c:v>43811</c:v>
                </c:pt>
                <c:pt idx="595">
                  <c:v>43810</c:v>
                </c:pt>
                <c:pt idx="596">
                  <c:v>43809</c:v>
                </c:pt>
                <c:pt idx="597">
                  <c:v>43808</c:v>
                </c:pt>
                <c:pt idx="598">
                  <c:v>43805</c:v>
                </c:pt>
                <c:pt idx="599">
                  <c:v>43804</c:v>
                </c:pt>
                <c:pt idx="600">
                  <c:v>43803</c:v>
                </c:pt>
                <c:pt idx="601">
                  <c:v>43802</c:v>
                </c:pt>
                <c:pt idx="602">
                  <c:v>43801</c:v>
                </c:pt>
                <c:pt idx="603">
                  <c:v>43798</c:v>
                </c:pt>
                <c:pt idx="604">
                  <c:v>43796</c:v>
                </c:pt>
                <c:pt idx="605">
                  <c:v>43795</c:v>
                </c:pt>
                <c:pt idx="606">
                  <c:v>43794</c:v>
                </c:pt>
                <c:pt idx="607">
                  <c:v>43791</c:v>
                </c:pt>
                <c:pt idx="608">
                  <c:v>43790</c:v>
                </c:pt>
                <c:pt idx="609">
                  <c:v>43789</c:v>
                </c:pt>
                <c:pt idx="610">
                  <c:v>43788</c:v>
                </c:pt>
                <c:pt idx="611">
                  <c:v>43787</c:v>
                </c:pt>
                <c:pt idx="612">
                  <c:v>43784</c:v>
                </c:pt>
                <c:pt idx="613">
                  <c:v>43783</c:v>
                </c:pt>
                <c:pt idx="614">
                  <c:v>43782</c:v>
                </c:pt>
                <c:pt idx="615">
                  <c:v>43781</c:v>
                </c:pt>
                <c:pt idx="616">
                  <c:v>43780</c:v>
                </c:pt>
                <c:pt idx="617">
                  <c:v>43777</c:v>
                </c:pt>
                <c:pt idx="618">
                  <c:v>43776</c:v>
                </c:pt>
                <c:pt idx="619">
                  <c:v>43775</c:v>
                </c:pt>
                <c:pt idx="620">
                  <c:v>43774</c:v>
                </c:pt>
                <c:pt idx="621">
                  <c:v>43773</c:v>
                </c:pt>
                <c:pt idx="622">
                  <c:v>43770</c:v>
                </c:pt>
                <c:pt idx="623">
                  <c:v>43769</c:v>
                </c:pt>
                <c:pt idx="624">
                  <c:v>43768</c:v>
                </c:pt>
                <c:pt idx="625">
                  <c:v>43767</c:v>
                </c:pt>
                <c:pt idx="626">
                  <c:v>43766</c:v>
                </c:pt>
                <c:pt idx="627">
                  <c:v>43763</c:v>
                </c:pt>
                <c:pt idx="628">
                  <c:v>43762</c:v>
                </c:pt>
                <c:pt idx="629">
                  <c:v>43761</c:v>
                </c:pt>
                <c:pt idx="630">
                  <c:v>43760</c:v>
                </c:pt>
                <c:pt idx="631">
                  <c:v>43759</c:v>
                </c:pt>
                <c:pt idx="632">
                  <c:v>43756</c:v>
                </c:pt>
                <c:pt idx="633">
                  <c:v>43755</c:v>
                </c:pt>
                <c:pt idx="634">
                  <c:v>43754</c:v>
                </c:pt>
                <c:pt idx="635">
                  <c:v>43753</c:v>
                </c:pt>
                <c:pt idx="636">
                  <c:v>43752</c:v>
                </c:pt>
                <c:pt idx="637">
                  <c:v>43749</c:v>
                </c:pt>
                <c:pt idx="638">
                  <c:v>43748</c:v>
                </c:pt>
                <c:pt idx="639">
                  <c:v>43747</c:v>
                </c:pt>
                <c:pt idx="640">
                  <c:v>43746</c:v>
                </c:pt>
                <c:pt idx="641">
                  <c:v>43745</c:v>
                </c:pt>
                <c:pt idx="642">
                  <c:v>43742</c:v>
                </c:pt>
                <c:pt idx="643">
                  <c:v>43741</c:v>
                </c:pt>
                <c:pt idx="644">
                  <c:v>43740</c:v>
                </c:pt>
                <c:pt idx="645">
                  <c:v>43739</c:v>
                </c:pt>
                <c:pt idx="646">
                  <c:v>43738</c:v>
                </c:pt>
                <c:pt idx="647">
                  <c:v>43735</c:v>
                </c:pt>
                <c:pt idx="648">
                  <c:v>43734</c:v>
                </c:pt>
                <c:pt idx="649">
                  <c:v>43733</c:v>
                </c:pt>
                <c:pt idx="650">
                  <c:v>43732</c:v>
                </c:pt>
                <c:pt idx="651">
                  <c:v>43731</c:v>
                </c:pt>
                <c:pt idx="652">
                  <c:v>43728</c:v>
                </c:pt>
                <c:pt idx="653">
                  <c:v>43727</c:v>
                </c:pt>
                <c:pt idx="654">
                  <c:v>43726</c:v>
                </c:pt>
                <c:pt idx="655">
                  <c:v>43725</c:v>
                </c:pt>
                <c:pt idx="656">
                  <c:v>43724</c:v>
                </c:pt>
                <c:pt idx="657">
                  <c:v>43721</c:v>
                </c:pt>
                <c:pt idx="658">
                  <c:v>43720</c:v>
                </c:pt>
                <c:pt idx="659">
                  <c:v>43719</c:v>
                </c:pt>
                <c:pt idx="660">
                  <c:v>43718</c:v>
                </c:pt>
                <c:pt idx="661">
                  <c:v>43717</c:v>
                </c:pt>
                <c:pt idx="662">
                  <c:v>43714</c:v>
                </c:pt>
                <c:pt idx="663">
                  <c:v>43713</c:v>
                </c:pt>
                <c:pt idx="664">
                  <c:v>43712</c:v>
                </c:pt>
                <c:pt idx="665">
                  <c:v>43711</c:v>
                </c:pt>
                <c:pt idx="666">
                  <c:v>43707</c:v>
                </c:pt>
                <c:pt idx="667">
                  <c:v>43706</c:v>
                </c:pt>
                <c:pt idx="668">
                  <c:v>43705</c:v>
                </c:pt>
                <c:pt idx="669">
                  <c:v>43704</c:v>
                </c:pt>
                <c:pt idx="670">
                  <c:v>43703</c:v>
                </c:pt>
                <c:pt idx="671">
                  <c:v>43700</c:v>
                </c:pt>
                <c:pt idx="672">
                  <c:v>43699</c:v>
                </c:pt>
                <c:pt idx="673">
                  <c:v>43698</c:v>
                </c:pt>
                <c:pt idx="674">
                  <c:v>43697</c:v>
                </c:pt>
                <c:pt idx="675">
                  <c:v>43696</c:v>
                </c:pt>
                <c:pt idx="676">
                  <c:v>43693</c:v>
                </c:pt>
                <c:pt idx="677">
                  <c:v>43692</c:v>
                </c:pt>
                <c:pt idx="678">
                  <c:v>43691</c:v>
                </c:pt>
                <c:pt idx="679">
                  <c:v>43690</c:v>
                </c:pt>
                <c:pt idx="680">
                  <c:v>43689</c:v>
                </c:pt>
                <c:pt idx="681">
                  <c:v>43686</c:v>
                </c:pt>
                <c:pt idx="682">
                  <c:v>43685</c:v>
                </c:pt>
                <c:pt idx="683">
                  <c:v>43684</c:v>
                </c:pt>
                <c:pt idx="684">
                  <c:v>43683</c:v>
                </c:pt>
                <c:pt idx="685">
                  <c:v>43682</c:v>
                </c:pt>
                <c:pt idx="686">
                  <c:v>43679</c:v>
                </c:pt>
                <c:pt idx="687">
                  <c:v>43678</c:v>
                </c:pt>
                <c:pt idx="688">
                  <c:v>43677</c:v>
                </c:pt>
                <c:pt idx="689">
                  <c:v>43676</c:v>
                </c:pt>
                <c:pt idx="690">
                  <c:v>43675</c:v>
                </c:pt>
                <c:pt idx="691">
                  <c:v>43672</c:v>
                </c:pt>
                <c:pt idx="692">
                  <c:v>43671</c:v>
                </c:pt>
                <c:pt idx="693">
                  <c:v>43670</c:v>
                </c:pt>
                <c:pt idx="694">
                  <c:v>43669</c:v>
                </c:pt>
                <c:pt idx="695">
                  <c:v>43668</c:v>
                </c:pt>
                <c:pt idx="696">
                  <c:v>43665</c:v>
                </c:pt>
                <c:pt idx="697">
                  <c:v>43664</c:v>
                </c:pt>
                <c:pt idx="698">
                  <c:v>43663</c:v>
                </c:pt>
                <c:pt idx="699">
                  <c:v>43662</c:v>
                </c:pt>
                <c:pt idx="700">
                  <c:v>43661</c:v>
                </c:pt>
                <c:pt idx="701">
                  <c:v>43658</c:v>
                </c:pt>
                <c:pt idx="702">
                  <c:v>43657</c:v>
                </c:pt>
                <c:pt idx="703">
                  <c:v>43656</c:v>
                </c:pt>
                <c:pt idx="704">
                  <c:v>43655</c:v>
                </c:pt>
                <c:pt idx="705">
                  <c:v>43654</c:v>
                </c:pt>
                <c:pt idx="706">
                  <c:v>43651</c:v>
                </c:pt>
                <c:pt idx="707">
                  <c:v>43649</c:v>
                </c:pt>
                <c:pt idx="708">
                  <c:v>43648</c:v>
                </c:pt>
                <c:pt idx="709">
                  <c:v>43647</c:v>
                </c:pt>
                <c:pt idx="710">
                  <c:v>43644</c:v>
                </c:pt>
                <c:pt idx="711">
                  <c:v>43643</c:v>
                </c:pt>
                <c:pt idx="712">
                  <c:v>43642</c:v>
                </c:pt>
                <c:pt idx="713">
                  <c:v>43641</c:v>
                </c:pt>
                <c:pt idx="714">
                  <c:v>43640</c:v>
                </c:pt>
                <c:pt idx="715">
                  <c:v>43637</c:v>
                </c:pt>
                <c:pt idx="716">
                  <c:v>43636</c:v>
                </c:pt>
                <c:pt idx="717">
                  <c:v>43635</c:v>
                </c:pt>
                <c:pt idx="718">
                  <c:v>43634</c:v>
                </c:pt>
                <c:pt idx="719">
                  <c:v>43633</c:v>
                </c:pt>
                <c:pt idx="720">
                  <c:v>43630</c:v>
                </c:pt>
                <c:pt idx="721">
                  <c:v>43629</c:v>
                </c:pt>
                <c:pt idx="722">
                  <c:v>43628</c:v>
                </c:pt>
                <c:pt idx="723">
                  <c:v>43627</c:v>
                </c:pt>
                <c:pt idx="724">
                  <c:v>43626</c:v>
                </c:pt>
                <c:pt idx="725">
                  <c:v>43623</c:v>
                </c:pt>
                <c:pt idx="726">
                  <c:v>43622</c:v>
                </c:pt>
                <c:pt idx="727">
                  <c:v>43621</c:v>
                </c:pt>
                <c:pt idx="728">
                  <c:v>43620</c:v>
                </c:pt>
                <c:pt idx="729">
                  <c:v>43619</c:v>
                </c:pt>
                <c:pt idx="730">
                  <c:v>43616</c:v>
                </c:pt>
                <c:pt idx="731">
                  <c:v>43615</c:v>
                </c:pt>
                <c:pt idx="732">
                  <c:v>43614</c:v>
                </c:pt>
                <c:pt idx="733">
                  <c:v>43613</c:v>
                </c:pt>
                <c:pt idx="734">
                  <c:v>43609</c:v>
                </c:pt>
                <c:pt idx="735">
                  <c:v>43608</c:v>
                </c:pt>
                <c:pt idx="736">
                  <c:v>43607</c:v>
                </c:pt>
                <c:pt idx="737">
                  <c:v>43606</c:v>
                </c:pt>
                <c:pt idx="738">
                  <c:v>43605</c:v>
                </c:pt>
                <c:pt idx="739">
                  <c:v>43602</c:v>
                </c:pt>
                <c:pt idx="740">
                  <c:v>43601</c:v>
                </c:pt>
                <c:pt idx="741">
                  <c:v>43600</c:v>
                </c:pt>
                <c:pt idx="742">
                  <c:v>43599</c:v>
                </c:pt>
                <c:pt idx="743">
                  <c:v>43598</c:v>
                </c:pt>
                <c:pt idx="744">
                  <c:v>43595</c:v>
                </c:pt>
                <c:pt idx="745">
                  <c:v>43594</c:v>
                </c:pt>
                <c:pt idx="746">
                  <c:v>43593</c:v>
                </c:pt>
                <c:pt idx="747">
                  <c:v>43592</c:v>
                </c:pt>
                <c:pt idx="748">
                  <c:v>43591</c:v>
                </c:pt>
                <c:pt idx="749">
                  <c:v>43588</c:v>
                </c:pt>
                <c:pt idx="750">
                  <c:v>43587</c:v>
                </c:pt>
                <c:pt idx="751">
                  <c:v>43586</c:v>
                </c:pt>
                <c:pt idx="752">
                  <c:v>43585</c:v>
                </c:pt>
                <c:pt idx="753">
                  <c:v>43584</c:v>
                </c:pt>
                <c:pt idx="754">
                  <c:v>43581</c:v>
                </c:pt>
                <c:pt idx="755">
                  <c:v>43580</c:v>
                </c:pt>
                <c:pt idx="756">
                  <c:v>43579</c:v>
                </c:pt>
                <c:pt idx="757">
                  <c:v>43578</c:v>
                </c:pt>
                <c:pt idx="758">
                  <c:v>43577</c:v>
                </c:pt>
                <c:pt idx="759">
                  <c:v>43573</c:v>
                </c:pt>
                <c:pt idx="760">
                  <c:v>43572</c:v>
                </c:pt>
                <c:pt idx="761">
                  <c:v>43571</c:v>
                </c:pt>
                <c:pt idx="762">
                  <c:v>43570</c:v>
                </c:pt>
                <c:pt idx="763">
                  <c:v>43567</c:v>
                </c:pt>
                <c:pt idx="764">
                  <c:v>43566</c:v>
                </c:pt>
                <c:pt idx="765">
                  <c:v>43565</c:v>
                </c:pt>
                <c:pt idx="766">
                  <c:v>43564</c:v>
                </c:pt>
                <c:pt idx="767">
                  <c:v>43563</c:v>
                </c:pt>
                <c:pt idx="768">
                  <c:v>43560</c:v>
                </c:pt>
                <c:pt idx="769">
                  <c:v>43559</c:v>
                </c:pt>
                <c:pt idx="770">
                  <c:v>43558</c:v>
                </c:pt>
                <c:pt idx="771">
                  <c:v>43557</c:v>
                </c:pt>
                <c:pt idx="772">
                  <c:v>43556</c:v>
                </c:pt>
                <c:pt idx="773">
                  <c:v>43553</c:v>
                </c:pt>
                <c:pt idx="774">
                  <c:v>43552</c:v>
                </c:pt>
                <c:pt idx="775">
                  <c:v>43551</c:v>
                </c:pt>
                <c:pt idx="776">
                  <c:v>43550</c:v>
                </c:pt>
                <c:pt idx="777">
                  <c:v>43549</c:v>
                </c:pt>
                <c:pt idx="778">
                  <c:v>43546</c:v>
                </c:pt>
                <c:pt idx="779">
                  <c:v>43545</c:v>
                </c:pt>
                <c:pt idx="780">
                  <c:v>43544</c:v>
                </c:pt>
                <c:pt idx="781">
                  <c:v>43543</c:v>
                </c:pt>
                <c:pt idx="782">
                  <c:v>43542</c:v>
                </c:pt>
                <c:pt idx="783">
                  <c:v>43539</c:v>
                </c:pt>
                <c:pt idx="784">
                  <c:v>43538</c:v>
                </c:pt>
                <c:pt idx="785">
                  <c:v>43537</c:v>
                </c:pt>
                <c:pt idx="786">
                  <c:v>43536</c:v>
                </c:pt>
                <c:pt idx="787">
                  <c:v>43535</c:v>
                </c:pt>
                <c:pt idx="788">
                  <c:v>43532</c:v>
                </c:pt>
                <c:pt idx="789">
                  <c:v>43531</c:v>
                </c:pt>
                <c:pt idx="790">
                  <c:v>43530</c:v>
                </c:pt>
                <c:pt idx="791">
                  <c:v>43529</c:v>
                </c:pt>
                <c:pt idx="792">
                  <c:v>43528</c:v>
                </c:pt>
                <c:pt idx="793">
                  <c:v>43525</c:v>
                </c:pt>
                <c:pt idx="794">
                  <c:v>43524</c:v>
                </c:pt>
                <c:pt idx="795">
                  <c:v>43523</c:v>
                </c:pt>
                <c:pt idx="796">
                  <c:v>43522</c:v>
                </c:pt>
                <c:pt idx="797">
                  <c:v>43521</c:v>
                </c:pt>
                <c:pt idx="798">
                  <c:v>43518</c:v>
                </c:pt>
                <c:pt idx="799">
                  <c:v>43517</c:v>
                </c:pt>
                <c:pt idx="800">
                  <c:v>43516</c:v>
                </c:pt>
                <c:pt idx="801">
                  <c:v>43515</c:v>
                </c:pt>
                <c:pt idx="802">
                  <c:v>43511</c:v>
                </c:pt>
                <c:pt idx="803">
                  <c:v>43510</c:v>
                </c:pt>
                <c:pt idx="804">
                  <c:v>43509</c:v>
                </c:pt>
                <c:pt idx="805">
                  <c:v>43508</c:v>
                </c:pt>
                <c:pt idx="806">
                  <c:v>43507</c:v>
                </c:pt>
                <c:pt idx="807">
                  <c:v>43504</c:v>
                </c:pt>
                <c:pt idx="808">
                  <c:v>43503</c:v>
                </c:pt>
                <c:pt idx="809">
                  <c:v>43502</c:v>
                </c:pt>
                <c:pt idx="810">
                  <c:v>43501</c:v>
                </c:pt>
                <c:pt idx="811">
                  <c:v>43500</c:v>
                </c:pt>
                <c:pt idx="812">
                  <c:v>43497</c:v>
                </c:pt>
                <c:pt idx="813">
                  <c:v>43496</c:v>
                </c:pt>
                <c:pt idx="814">
                  <c:v>43495</c:v>
                </c:pt>
                <c:pt idx="815">
                  <c:v>43494</c:v>
                </c:pt>
                <c:pt idx="816">
                  <c:v>43493</c:v>
                </c:pt>
                <c:pt idx="817">
                  <c:v>43490</c:v>
                </c:pt>
                <c:pt idx="818">
                  <c:v>43489</c:v>
                </c:pt>
                <c:pt idx="819">
                  <c:v>43488</c:v>
                </c:pt>
                <c:pt idx="820">
                  <c:v>43487</c:v>
                </c:pt>
                <c:pt idx="821">
                  <c:v>43483</c:v>
                </c:pt>
                <c:pt idx="822">
                  <c:v>43482</c:v>
                </c:pt>
                <c:pt idx="823">
                  <c:v>43481</c:v>
                </c:pt>
                <c:pt idx="824">
                  <c:v>43480</c:v>
                </c:pt>
                <c:pt idx="825">
                  <c:v>43479</c:v>
                </c:pt>
                <c:pt idx="826">
                  <c:v>43476</c:v>
                </c:pt>
                <c:pt idx="827">
                  <c:v>43475</c:v>
                </c:pt>
                <c:pt idx="828">
                  <c:v>43474</c:v>
                </c:pt>
                <c:pt idx="829">
                  <c:v>43473</c:v>
                </c:pt>
                <c:pt idx="830">
                  <c:v>43472</c:v>
                </c:pt>
                <c:pt idx="831">
                  <c:v>43469</c:v>
                </c:pt>
                <c:pt idx="832">
                  <c:v>43468</c:v>
                </c:pt>
                <c:pt idx="833">
                  <c:v>43467</c:v>
                </c:pt>
                <c:pt idx="834">
                  <c:v>43465</c:v>
                </c:pt>
                <c:pt idx="835">
                  <c:v>43462</c:v>
                </c:pt>
                <c:pt idx="836">
                  <c:v>43461</c:v>
                </c:pt>
                <c:pt idx="837">
                  <c:v>43460</c:v>
                </c:pt>
                <c:pt idx="838">
                  <c:v>43458</c:v>
                </c:pt>
                <c:pt idx="839">
                  <c:v>43455</c:v>
                </c:pt>
                <c:pt idx="840">
                  <c:v>43454</c:v>
                </c:pt>
                <c:pt idx="841">
                  <c:v>43453</c:v>
                </c:pt>
                <c:pt idx="842">
                  <c:v>43452</c:v>
                </c:pt>
                <c:pt idx="843">
                  <c:v>43451</c:v>
                </c:pt>
                <c:pt idx="844">
                  <c:v>43448</c:v>
                </c:pt>
                <c:pt idx="845">
                  <c:v>43447</c:v>
                </c:pt>
                <c:pt idx="846">
                  <c:v>43446</c:v>
                </c:pt>
                <c:pt idx="847">
                  <c:v>43445</c:v>
                </c:pt>
                <c:pt idx="848">
                  <c:v>43444</c:v>
                </c:pt>
                <c:pt idx="849">
                  <c:v>43441</c:v>
                </c:pt>
                <c:pt idx="850">
                  <c:v>43440</c:v>
                </c:pt>
                <c:pt idx="851">
                  <c:v>43438</c:v>
                </c:pt>
                <c:pt idx="852">
                  <c:v>43437</c:v>
                </c:pt>
                <c:pt idx="853">
                  <c:v>43434</c:v>
                </c:pt>
                <c:pt idx="854">
                  <c:v>43433</c:v>
                </c:pt>
                <c:pt idx="855">
                  <c:v>43432</c:v>
                </c:pt>
                <c:pt idx="856">
                  <c:v>43431</c:v>
                </c:pt>
                <c:pt idx="857">
                  <c:v>43430</c:v>
                </c:pt>
                <c:pt idx="858">
                  <c:v>43427</c:v>
                </c:pt>
                <c:pt idx="859">
                  <c:v>43425</c:v>
                </c:pt>
                <c:pt idx="860">
                  <c:v>43424</c:v>
                </c:pt>
                <c:pt idx="861">
                  <c:v>43423</c:v>
                </c:pt>
                <c:pt idx="862">
                  <c:v>43420</c:v>
                </c:pt>
                <c:pt idx="863">
                  <c:v>43419</c:v>
                </c:pt>
                <c:pt idx="864">
                  <c:v>43418</c:v>
                </c:pt>
                <c:pt idx="865">
                  <c:v>43417</c:v>
                </c:pt>
                <c:pt idx="866">
                  <c:v>43416</c:v>
                </c:pt>
                <c:pt idx="867">
                  <c:v>43413</c:v>
                </c:pt>
                <c:pt idx="868">
                  <c:v>43412</c:v>
                </c:pt>
                <c:pt idx="869">
                  <c:v>43411</c:v>
                </c:pt>
                <c:pt idx="870">
                  <c:v>43410</c:v>
                </c:pt>
                <c:pt idx="871">
                  <c:v>43409</c:v>
                </c:pt>
                <c:pt idx="872">
                  <c:v>43406</c:v>
                </c:pt>
                <c:pt idx="873">
                  <c:v>43405</c:v>
                </c:pt>
                <c:pt idx="874">
                  <c:v>43404</c:v>
                </c:pt>
                <c:pt idx="875">
                  <c:v>43403</c:v>
                </c:pt>
                <c:pt idx="876">
                  <c:v>43402</c:v>
                </c:pt>
                <c:pt idx="877">
                  <c:v>43399</c:v>
                </c:pt>
                <c:pt idx="878">
                  <c:v>43398</c:v>
                </c:pt>
                <c:pt idx="879">
                  <c:v>43397</c:v>
                </c:pt>
                <c:pt idx="880">
                  <c:v>43396</c:v>
                </c:pt>
                <c:pt idx="881">
                  <c:v>43395</c:v>
                </c:pt>
                <c:pt idx="882">
                  <c:v>43392</c:v>
                </c:pt>
                <c:pt idx="883">
                  <c:v>43391</c:v>
                </c:pt>
                <c:pt idx="884">
                  <c:v>43390</c:v>
                </c:pt>
                <c:pt idx="885">
                  <c:v>43389</c:v>
                </c:pt>
                <c:pt idx="886">
                  <c:v>43388</c:v>
                </c:pt>
                <c:pt idx="887">
                  <c:v>43385</c:v>
                </c:pt>
                <c:pt idx="888">
                  <c:v>43384</c:v>
                </c:pt>
                <c:pt idx="889">
                  <c:v>43383</c:v>
                </c:pt>
                <c:pt idx="890">
                  <c:v>43382</c:v>
                </c:pt>
                <c:pt idx="891">
                  <c:v>43381</c:v>
                </c:pt>
                <c:pt idx="892">
                  <c:v>43378</c:v>
                </c:pt>
                <c:pt idx="893">
                  <c:v>43377</c:v>
                </c:pt>
                <c:pt idx="894">
                  <c:v>43376</c:v>
                </c:pt>
                <c:pt idx="895">
                  <c:v>43375</c:v>
                </c:pt>
                <c:pt idx="896">
                  <c:v>43374</c:v>
                </c:pt>
                <c:pt idx="897">
                  <c:v>43371</c:v>
                </c:pt>
                <c:pt idx="898">
                  <c:v>43370</c:v>
                </c:pt>
                <c:pt idx="899">
                  <c:v>43369</c:v>
                </c:pt>
                <c:pt idx="900">
                  <c:v>43368</c:v>
                </c:pt>
                <c:pt idx="901">
                  <c:v>43367</c:v>
                </c:pt>
                <c:pt idx="902">
                  <c:v>43364</c:v>
                </c:pt>
                <c:pt idx="903">
                  <c:v>43363</c:v>
                </c:pt>
                <c:pt idx="904">
                  <c:v>43362</c:v>
                </c:pt>
                <c:pt idx="905">
                  <c:v>43361</c:v>
                </c:pt>
                <c:pt idx="906">
                  <c:v>43360</c:v>
                </c:pt>
                <c:pt idx="907">
                  <c:v>43357</c:v>
                </c:pt>
                <c:pt idx="908">
                  <c:v>43356</c:v>
                </c:pt>
                <c:pt idx="909">
                  <c:v>43355</c:v>
                </c:pt>
                <c:pt idx="910">
                  <c:v>43354</c:v>
                </c:pt>
                <c:pt idx="911">
                  <c:v>43353</c:v>
                </c:pt>
                <c:pt idx="912">
                  <c:v>43350</c:v>
                </c:pt>
                <c:pt idx="913">
                  <c:v>43349</c:v>
                </c:pt>
                <c:pt idx="914">
                  <c:v>43348</c:v>
                </c:pt>
                <c:pt idx="915">
                  <c:v>43347</c:v>
                </c:pt>
                <c:pt idx="916">
                  <c:v>43343</c:v>
                </c:pt>
                <c:pt idx="917">
                  <c:v>43342</c:v>
                </c:pt>
                <c:pt idx="918">
                  <c:v>43341</c:v>
                </c:pt>
                <c:pt idx="919">
                  <c:v>43340</c:v>
                </c:pt>
                <c:pt idx="920">
                  <c:v>43339</c:v>
                </c:pt>
                <c:pt idx="921">
                  <c:v>43336</c:v>
                </c:pt>
                <c:pt idx="922">
                  <c:v>43335</c:v>
                </c:pt>
                <c:pt idx="923">
                  <c:v>43334</c:v>
                </c:pt>
                <c:pt idx="924">
                  <c:v>43333</c:v>
                </c:pt>
                <c:pt idx="925">
                  <c:v>43332</c:v>
                </c:pt>
                <c:pt idx="926">
                  <c:v>43329</c:v>
                </c:pt>
                <c:pt idx="927">
                  <c:v>43328</c:v>
                </c:pt>
                <c:pt idx="928">
                  <c:v>43327</c:v>
                </c:pt>
                <c:pt idx="929">
                  <c:v>43326</c:v>
                </c:pt>
                <c:pt idx="930">
                  <c:v>43325</c:v>
                </c:pt>
                <c:pt idx="931">
                  <c:v>43322</c:v>
                </c:pt>
                <c:pt idx="932">
                  <c:v>43321</c:v>
                </c:pt>
                <c:pt idx="933">
                  <c:v>43320</c:v>
                </c:pt>
                <c:pt idx="934">
                  <c:v>43319</c:v>
                </c:pt>
                <c:pt idx="935">
                  <c:v>43318</c:v>
                </c:pt>
                <c:pt idx="936">
                  <c:v>43315</c:v>
                </c:pt>
                <c:pt idx="937">
                  <c:v>43314</c:v>
                </c:pt>
                <c:pt idx="938">
                  <c:v>43313</c:v>
                </c:pt>
                <c:pt idx="939">
                  <c:v>43312</c:v>
                </c:pt>
                <c:pt idx="940">
                  <c:v>43311</c:v>
                </c:pt>
                <c:pt idx="941">
                  <c:v>43308</c:v>
                </c:pt>
                <c:pt idx="942">
                  <c:v>43307</c:v>
                </c:pt>
                <c:pt idx="943">
                  <c:v>43306</c:v>
                </c:pt>
                <c:pt idx="944">
                  <c:v>43305</c:v>
                </c:pt>
                <c:pt idx="945">
                  <c:v>43304</c:v>
                </c:pt>
                <c:pt idx="946">
                  <c:v>43301</c:v>
                </c:pt>
                <c:pt idx="947">
                  <c:v>43300</c:v>
                </c:pt>
                <c:pt idx="948">
                  <c:v>43299</c:v>
                </c:pt>
                <c:pt idx="949">
                  <c:v>43298</c:v>
                </c:pt>
                <c:pt idx="950">
                  <c:v>43297</c:v>
                </c:pt>
                <c:pt idx="951">
                  <c:v>43294</c:v>
                </c:pt>
                <c:pt idx="952">
                  <c:v>43293</c:v>
                </c:pt>
                <c:pt idx="953">
                  <c:v>43292</c:v>
                </c:pt>
                <c:pt idx="954">
                  <c:v>43291</c:v>
                </c:pt>
                <c:pt idx="955">
                  <c:v>43290</c:v>
                </c:pt>
                <c:pt idx="956">
                  <c:v>43287</c:v>
                </c:pt>
                <c:pt idx="957">
                  <c:v>43286</c:v>
                </c:pt>
                <c:pt idx="958">
                  <c:v>43284</c:v>
                </c:pt>
                <c:pt idx="959">
                  <c:v>43283</c:v>
                </c:pt>
                <c:pt idx="960">
                  <c:v>43280</c:v>
                </c:pt>
                <c:pt idx="961">
                  <c:v>43279</c:v>
                </c:pt>
                <c:pt idx="962">
                  <c:v>43278</c:v>
                </c:pt>
                <c:pt idx="963">
                  <c:v>43277</c:v>
                </c:pt>
                <c:pt idx="964">
                  <c:v>43276</c:v>
                </c:pt>
                <c:pt idx="965">
                  <c:v>43273</c:v>
                </c:pt>
                <c:pt idx="966">
                  <c:v>43272</c:v>
                </c:pt>
                <c:pt idx="967">
                  <c:v>43271</c:v>
                </c:pt>
                <c:pt idx="968">
                  <c:v>43270</c:v>
                </c:pt>
                <c:pt idx="969">
                  <c:v>43269</c:v>
                </c:pt>
                <c:pt idx="970">
                  <c:v>43266</c:v>
                </c:pt>
                <c:pt idx="971">
                  <c:v>43265</c:v>
                </c:pt>
                <c:pt idx="972">
                  <c:v>43264</c:v>
                </c:pt>
                <c:pt idx="973">
                  <c:v>43263</c:v>
                </c:pt>
                <c:pt idx="974">
                  <c:v>43262</c:v>
                </c:pt>
                <c:pt idx="975">
                  <c:v>43259</c:v>
                </c:pt>
                <c:pt idx="976">
                  <c:v>43258</c:v>
                </c:pt>
                <c:pt idx="977">
                  <c:v>43257</c:v>
                </c:pt>
                <c:pt idx="978">
                  <c:v>43256</c:v>
                </c:pt>
                <c:pt idx="979">
                  <c:v>43255</c:v>
                </c:pt>
                <c:pt idx="980">
                  <c:v>43252</c:v>
                </c:pt>
                <c:pt idx="981">
                  <c:v>43251</c:v>
                </c:pt>
                <c:pt idx="982">
                  <c:v>43250</c:v>
                </c:pt>
                <c:pt idx="983">
                  <c:v>43249</c:v>
                </c:pt>
                <c:pt idx="984">
                  <c:v>43245</c:v>
                </c:pt>
                <c:pt idx="985">
                  <c:v>43244</c:v>
                </c:pt>
                <c:pt idx="986">
                  <c:v>43243</c:v>
                </c:pt>
                <c:pt idx="987">
                  <c:v>43242</c:v>
                </c:pt>
                <c:pt idx="988">
                  <c:v>43241</c:v>
                </c:pt>
                <c:pt idx="989">
                  <c:v>43238</c:v>
                </c:pt>
                <c:pt idx="990">
                  <c:v>43237</c:v>
                </c:pt>
                <c:pt idx="991">
                  <c:v>43236</c:v>
                </c:pt>
                <c:pt idx="992">
                  <c:v>43235</c:v>
                </c:pt>
                <c:pt idx="993">
                  <c:v>43234</c:v>
                </c:pt>
                <c:pt idx="994">
                  <c:v>43231</c:v>
                </c:pt>
                <c:pt idx="995">
                  <c:v>43230</c:v>
                </c:pt>
                <c:pt idx="996">
                  <c:v>43229</c:v>
                </c:pt>
                <c:pt idx="997">
                  <c:v>43228</c:v>
                </c:pt>
                <c:pt idx="998">
                  <c:v>43227</c:v>
                </c:pt>
                <c:pt idx="999">
                  <c:v>43224</c:v>
                </c:pt>
                <c:pt idx="1000">
                  <c:v>43223</c:v>
                </c:pt>
                <c:pt idx="1001">
                  <c:v>43222</c:v>
                </c:pt>
                <c:pt idx="1002">
                  <c:v>43221</c:v>
                </c:pt>
                <c:pt idx="1003">
                  <c:v>43220</c:v>
                </c:pt>
                <c:pt idx="1004">
                  <c:v>43217</c:v>
                </c:pt>
                <c:pt idx="1005">
                  <c:v>43216</c:v>
                </c:pt>
                <c:pt idx="1006">
                  <c:v>43215</c:v>
                </c:pt>
                <c:pt idx="1007">
                  <c:v>43214</c:v>
                </c:pt>
                <c:pt idx="1008">
                  <c:v>43213</c:v>
                </c:pt>
                <c:pt idx="1009">
                  <c:v>43210</c:v>
                </c:pt>
                <c:pt idx="1010">
                  <c:v>43209</c:v>
                </c:pt>
                <c:pt idx="1011">
                  <c:v>43208</c:v>
                </c:pt>
                <c:pt idx="1012">
                  <c:v>43207</c:v>
                </c:pt>
                <c:pt idx="1013">
                  <c:v>43206</c:v>
                </c:pt>
                <c:pt idx="1014">
                  <c:v>43203</c:v>
                </c:pt>
                <c:pt idx="1015">
                  <c:v>43202</c:v>
                </c:pt>
                <c:pt idx="1016">
                  <c:v>43201</c:v>
                </c:pt>
                <c:pt idx="1017">
                  <c:v>43200</c:v>
                </c:pt>
                <c:pt idx="1018">
                  <c:v>43199</c:v>
                </c:pt>
                <c:pt idx="1019">
                  <c:v>43196</c:v>
                </c:pt>
                <c:pt idx="1020">
                  <c:v>43195</c:v>
                </c:pt>
                <c:pt idx="1021">
                  <c:v>43194</c:v>
                </c:pt>
                <c:pt idx="1022">
                  <c:v>43193</c:v>
                </c:pt>
                <c:pt idx="1023">
                  <c:v>43192</c:v>
                </c:pt>
                <c:pt idx="1024">
                  <c:v>43188</c:v>
                </c:pt>
                <c:pt idx="1025">
                  <c:v>43187</c:v>
                </c:pt>
                <c:pt idx="1026">
                  <c:v>43186</c:v>
                </c:pt>
                <c:pt idx="1027">
                  <c:v>43185</c:v>
                </c:pt>
                <c:pt idx="1028">
                  <c:v>43182</c:v>
                </c:pt>
                <c:pt idx="1029">
                  <c:v>43181</c:v>
                </c:pt>
                <c:pt idx="1030">
                  <c:v>43180</c:v>
                </c:pt>
                <c:pt idx="1031">
                  <c:v>43179</c:v>
                </c:pt>
                <c:pt idx="1032">
                  <c:v>43178</c:v>
                </c:pt>
                <c:pt idx="1033">
                  <c:v>43175</c:v>
                </c:pt>
                <c:pt idx="1034">
                  <c:v>43174</c:v>
                </c:pt>
                <c:pt idx="1035">
                  <c:v>43173</c:v>
                </c:pt>
                <c:pt idx="1036">
                  <c:v>43172</c:v>
                </c:pt>
                <c:pt idx="1037">
                  <c:v>43171</c:v>
                </c:pt>
                <c:pt idx="1038">
                  <c:v>43168</c:v>
                </c:pt>
                <c:pt idx="1039">
                  <c:v>43167</c:v>
                </c:pt>
                <c:pt idx="1040">
                  <c:v>43166</c:v>
                </c:pt>
                <c:pt idx="1041">
                  <c:v>43165</c:v>
                </c:pt>
                <c:pt idx="1042">
                  <c:v>43164</c:v>
                </c:pt>
                <c:pt idx="1043">
                  <c:v>43161</c:v>
                </c:pt>
                <c:pt idx="1044">
                  <c:v>43160</c:v>
                </c:pt>
                <c:pt idx="1045">
                  <c:v>43159</c:v>
                </c:pt>
                <c:pt idx="1046">
                  <c:v>43158</c:v>
                </c:pt>
                <c:pt idx="1047">
                  <c:v>43157</c:v>
                </c:pt>
                <c:pt idx="1048">
                  <c:v>43154</c:v>
                </c:pt>
                <c:pt idx="1049">
                  <c:v>43153</c:v>
                </c:pt>
                <c:pt idx="1050">
                  <c:v>43152</c:v>
                </c:pt>
                <c:pt idx="1051">
                  <c:v>43151</c:v>
                </c:pt>
                <c:pt idx="1052">
                  <c:v>43147</c:v>
                </c:pt>
                <c:pt idx="1053">
                  <c:v>43146</c:v>
                </c:pt>
                <c:pt idx="1054">
                  <c:v>43145</c:v>
                </c:pt>
                <c:pt idx="1055">
                  <c:v>43144</c:v>
                </c:pt>
                <c:pt idx="1056">
                  <c:v>43143</c:v>
                </c:pt>
                <c:pt idx="1057">
                  <c:v>43140</c:v>
                </c:pt>
                <c:pt idx="1058">
                  <c:v>43139</c:v>
                </c:pt>
                <c:pt idx="1059">
                  <c:v>43138</c:v>
                </c:pt>
                <c:pt idx="1060">
                  <c:v>43137</c:v>
                </c:pt>
                <c:pt idx="1061">
                  <c:v>43136</c:v>
                </c:pt>
                <c:pt idx="1062">
                  <c:v>43133</c:v>
                </c:pt>
                <c:pt idx="1063">
                  <c:v>43132</c:v>
                </c:pt>
                <c:pt idx="1064">
                  <c:v>43131</c:v>
                </c:pt>
                <c:pt idx="1065">
                  <c:v>43130</c:v>
                </c:pt>
                <c:pt idx="1066">
                  <c:v>43129</c:v>
                </c:pt>
                <c:pt idx="1067">
                  <c:v>43126</c:v>
                </c:pt>
                <c:pt idx="1068">
                  <c:v>43125</c:v>
                </c:pt>
                <c:pt idx="1069">
                  <c:v>43124</c:v>
                </c:pt>
                <c:pt idx="1070">
                  <c:v>43123</c:v>
                </c:pt>
                <c:pt idx="1071">
                  <c:v>43122</c:v>
                </c:pt>
                <c:pt idx="1072">
                  <c:v>43119</c:v>
                </c:pt>
                <c:pt idx="1073">
                  <c:v>43118</c:v>
                </c:pt>
                <c:pt idx="1074">
                  <c:v>43117</c:v>
                </c:pt>
                <c:pt idx="1075">
                  <c:v>43116</c:v>
                </c:pt>
                <c:pt idx="1076">
                  <c:v>43112</c:v>
                </c:pt>
                <c:pt idx="1077">
                  <c:v>43111</c:v>
                </c:pt>
                <c:pt idx="1078">
                  <c:v>43110</c:v>
                </c:pt>
                <c:pt idx="1079">
                  <c:v>43109</c:v>
                </c:pt>
                <c:pt idx="1080">
                  <c:v>43108</c:v>
                </c:pt>
                <c:pt idx="1081">
                  <c:v>43105</c:v>
                </c:pt>
                <c:pt idx="1082">
                  <c:v>43104</c:v>
                </c:pt>
                <c:pt idx="1083">
                  <c:v>43103</c:v>
                </c:pt>
                <c:pt idx="1084">
                  <c:v>43102</c:v>
                </c:pt>
                <c:pt idx="1085">
                  <c:v>43098</c:v>
                </c:pt>
                <c:pt idx="1086">
                  <c:v>43097</c:v>
                </c:pt>
                <c:pt idx="1087">
                  <c:v>43096</c:v>
                </c:pt>
                <c:pt idx="1088">
                  <c:v>43095</c:v>
                </c:pt>
                <c:pt idx="1089">
                  <c:v>43091</c:v>
                </c:pt>
                <c:pt idx="1090">
                  <c:v>43090</c:v>
                </c:pt>
                <c:pt idx="1091">
                  <c:v>43089</c:v>
                </c:pt>
                <c:pt idx="1092">
                  <c:v>43088</c:v>
                </c:pt>
                <c:pt idx="1093">
                  <c:v>43087</c:v>
                </c:pt>
                <c:pt idx="1094">
                  <c:v>43084</c:v>
                </c:pt>
                <c:pt idx="1095">
                  <c:v>43083</c:v>
                </c:pt>
                <c:pt idx="1096">
                  <c:v>43082</c:v>
                </c:pt>
                <c:pt idx="1097">
                  <c:v>43081</c:v>
                </c:pt>
                <c:pt idx="1098">
                  <c:v>43080</c:v>
                </c:pt>
                <c:pt idx="1099">
                  <c:v>43077</c:v>
                </c:pt>
                <c:pt idx="1100">
                  <c:v>43076</c:v>
                </c:pt>
                <c:pt idx="1101">
                  <c:v>43075</c:v>
                </c:pt>
                <c:pt idx="1102">
                  <c:v>43074</c:v>
                </c:pt>
                <c:pt idx="1103">
                  <c:v>43073</c:v>
                </c:pt>
                <c:pt idx="1104">
                  <c:v>43070</c:v>
                </c:pt>
                <c:pt idx="1105">
                  <c:v>43069</c:v>
                </c:pt>
                <c:pt idx="1106">
                  <c:v>43068</c:v>
                </c:pt>
                <c:pt idx="1107">
                  <c:v>43067</c:v>
                </c:pt>
                <c:pt idx="1108">
                  <c:v>43066</c:v>
                </c:pt>
                <c:pt idx="1109">
                  <c:v>43063</c:v>
                </c:pt>
                <c:pt idx="1110">
                  <c:v>43061</c:v>
                </c:pt>
                <c:pt idx="1111">
                  <c:v>43060</c:v>
                </c:pt>
                <c:pt idx="1112">
                  <c:v>43059</c:v>
                </c:pt>
                <c:pt idx="1113">
                  <c:v>43056</c:v>
                </c:pt>
                <c:pt idx="1114">
                  <c:v>43055</c:v>
                </c:pt>
                <c:pt idx="1115">
                  <c:v>43054</c:v>
                </c:pt>
                <c:pt idx="1116">
                  <c:v>43053</c:v>
                </c:pt>
                <c:pt idx="1117">
                  <c:v>43052</c:v>
                </c:pt>
                <c:pt idx="1118">
                  <c:v>43049</c:v>
                </c:pt>
                <c:pt idx="1119">
                  <c:v>43048</c:v>
                </c:pt>
                <c:pt idx="1120">
                  <c:v>43047</c:v>
                </c:pt>
                <c:pt idx="1121">
                  <c:v>43046</c:v>
                </c:pt>
                <c:pt idx="1122">
                  <c:v>43045</c:v>
                </c:pt>
                <c:pt idx="1123">
                  <c:v>43042</c:v>
                </c:pt>
                <c:pt idx="1124">
                  <c:v>43041</c:v>
                </c:pt>
                <c:pt idx="1125">
                  <c:v>43040</c:v>
                </c:pt>
                <c:pt idx="1126">
                  <c:v>43039</c:v>
                </c:pt>
                <c:pt idx="1127">
                  <c:v>43038</c:v>
                </c:pt>
                <c:pt idx="1128">
                  <c:v>43035</c:v>
                </c:pt>
                <c:pt idx="1129">
                  <c:v>43034</c:v>
                </c:pt>
                <c:pt idx="1130">
                  <c:v>43033</c:v>
                </c:pt>
                <c:pt idx="1131">
                  <c:v>43032</c:v>
                </c:pt>
                <c:pt idx="1132">
                  <c:v>43031</c:v>
                </c:pt>
                <c:pt idx="1133">
                  <c:v>43028</c:v>
                </c:pt>
                <c:pt idx="1134">
                  <c:v>43027</c:v>
                </c:pt>
                <c:pt idx="1135">
                  <c:v>43026</c:v>
                </c:pt>
                <c:pt idx="1136">
                  <c:v>43025</c:v>
                </c:pt>
                <c:pt idx="1137">
                  <c:v>43024</c:v>
                </c:pt>
                <c:pt idx="1138">
                  <c:v>43021</c:v>
                </c:pt>
                <c:pt idx="1139">
                  <c:v>43020</c:v>
                </c:pt>
                <c:pt idx="1140">
                  <c:v>43019</c:v>
                </c:pt>
                <c:pt idx="1141">
                  <c:v>43018</c:v>
                </c:pt>
                <c:pt idx="1142">
                  <c:v>43017</c:v>
                </c:pt>
                <c:pt idx="1143">
                  <c:v>43014</c:v>
                </c:pt>
                <c:pt idx="1144">
                  <c:v>43013</c:v>
                </c:pt>
                <c:pt idx="1145">
                  <c:v>43012</c:v>
                </c:pt>
                <c:pt idx="1146">
                  <c:v>43011</c:v>
                </c:pt>
                <c:pt idx="1147">
                  <c:v>43010</c:v>
                </c:pt>
                <c:pt idx="1148">
                  <c:v>43007</c:v>
                </c:pt>
                <c:pt idx="1149">
                  <c:v>43006</c:v>
                </c:pt>
                <c:pt idx="1150">
                  <c:v>43005</c:v>
                </c:pt>
                <c:pt idx="1151">
                  <c:v>43004</c:v>
                </c:pt>
                <c:pt idx="1152">
                  <c:v>43003</c:v>
                </c:pt>
                <c:pt idx="1153">
                  <c:v>43000</c:v>
                </c:pt>
                <c:pt idx="1154">
                  <c:v>42999</c:v>
                </c:pt>
                <c:pt idx="1155">
                  <c:v>42998</c:v>
                </c:pt>
                <c:pt idx="1156">
                  <c:v>42997</c:v>
                </c:pt>
                <c:pt idx="1157">
                  <c:v>42996</c:v>
                </c:pt>
                <c:pt idx="1158">
                  <c:v>42993</c:v>
                </c:pt>
                <c:pt idx="1159">
                  <c:v>42992</c:v>
                </c:pt>
                <c:pt idx="1160">
                  <c:v>42991</c:v>
                </c:pt>
                <c:pt idx="1161">
                  <c:v>42990</c:v>
                </c:pt>
                <c:pt idx="1162">
                  <c:v>42989</c:v>
                </c:pt>
                <c:pt idx="1163">
                  <c:v>42986</c:v>
                </c:pt>
                <c:pt idx="1164">
                  <c:v>42985</c:v>
                </c:pt>
                <c:pt idx="1165">
                  <c:v>42984</c:v>
                </c:pt>
                <c:pt idx="1166">
                  <c:v>42983</c:v>
                </c:pt>
                <c:pt idx="1167">
                  <c:v>42979</c:v>
                </c:pt>
                <c:pt idx="1168">
                  <c:v>42978</c:v>
                </c:pt>
                <c:pt idx="1169">
                  <c:v>42977</c:v>
                </c:pt>
                <c:pt idx="1170">
                  <c:v>42976</c:v>
                </c:pt>
                <c:pt idx="1171">
                  <c:v>42975</c:v>
                </c:pt>
                <c:pt idx="1172">
                  <c:v>42972</c:v>
                </c:pt>
                <c:pt idx="1173">
                  <c:v>42971</c:v>
                </c:pt>
                <c:pt idx="1174">
                  <c:v>42970</c:v>
                </c:pt>
                <c:pt idx="1175">
                  <c:v>42969</c:v>
                </c:pt>
                <c:pt idx="1176">
                  <c:v>42968</c:v>
                </c:pt>
                <c:pt idx="1177">
                  <c:v>42965</c:v>
                </c:pt>
                <c:pt idx="1178">
                  <c:v>42964</c:v>
                </c:pt>
                <c:pt idx="1179">
                  <c:v>42963</c:v>
                </c:pt>
                <c:pt idx="1180">
                  <c:v>42962</c:v>
                </c:pt>
                <c:pt idx="1181">
                  <c:v>42961</c:v>
                </c:pt>
                <c:pt idx="1182">
                  <c:v>42958</c:v>
                </c:pt>
                <c:pt idx="1183">
                  <c:v>42957</c:v>
                </c:pt>
                <c:pt idx="1184">
                  <c:v>42956</c:v>
                </c:pt>
                <c:pt idx="1185">
                  <c:v>42955</c:v>
                </c:pt>
                <c:pt idx="1186">
                  <c:v>42954</c:v>
                </c:pt>
                <c:pt idx="1187">
                  <c:v>42951</c:v>
                </c:pt>
                <c:pt idx="1188">
                  <c:v>42950</c:v>
                </c:pt>
                <c:pt idx="1189">
                  <c:v>42949</c:v>
                </c:pt>
                <c:pt idx="1190">
                  <c:v>42948</c:v>
                </c:pt>
                <c:pt idx="1191">
                  <c:v>42947</c:v>
                </c:pt>
                <c:pt idx="1192">
                  <c:v>42944</c:v>
                </c:pt>
                <c:pt idx="1193">
                  <c:v>42943</c:v>
                </c:pt>
                <c:pt idx="1194">
                  <c:v>42942</c:v>
                </c:pt>
                <c:pt idx="1195">
                  <c:v>42941</c:v>
                </c:pt>
                <c:pt idx="1196">
                  <c:v>42940</c:v>
                </c:pt>
                <c:pt idx="1197">
                  <c:v>42937</c:v>
                </c:pt>
                <c:pt idx="1198">
                  <c:v>42936</c:v>
                </c:pt>
                <c:pt idx="1199">
                  <c:v>42935</c:v>
                </c:pt>
                <c:pt idx="1200">
                  <c:v>42934</c:v>
                </c:pt>
                <c:pt idx="1201">
                  <c:v>42933</c:v>
                </c:pt>
                <c:pt idx="1202">
                  <c:v>42930</c:v>
                </c:pt>
                <c:pt idx="1203">
                  <c:v>42929</c:v>
                </c:pt>
                <c:pt idx="1204">
                  <c:v>42928</c:v>
                </c:pt>
                <c:pt idx="1205">
                  <c:v>42927</c:v>
                </c:pt>
                <c:pt idx="1206">
                  <c:v>42926</c:v>
                </c:pt>
                <c:pt idx="1207">
                  <c:v>42923</c:v>
                </c:pt>
                <c:pt idx="1208">
                  <c:v>42922</c:v>
                </c:pt>
                <c:pt idx="1209">
                  <c:v>42921</c:v>
                </c:pt>
                <c:pt idx="1210">
                  <c:v>42919</c:v>
                </c:pt>
                <c:pt idx="1211">
                  <c:v>42916</c:v>
                </c:pt>
                <c:pt idx="1212">
                  <c:v>42915</c:v>
                </c:pt>
                <c:pt idx="1213">
                  <c:v>42914</c:v>
                </c:pt>
                <c:pt idx="1214">
                  <c:v>42913</c:v>
                </c:pt>
                <c:pt idx="1215">
                  <c:v>42912</c:v>
                </c:pt>
                <c:pt idx="1216">
                  <c:v>42909</c:v>
                </c:pt>
                <c:pt idx="1217">
                  <c:v>42908</c:v>
                </c:pt>
                <c:pt idx="1218">
                  <c:v>42907</c:v>
                </c:pt>
                <c:pt idx="1219">
                  <c:v>42906</c:v>
                </c:pt>
                <c:pt idx="1220">
                  <c:v>42905</c:v>
                </c:pt>
                <c:pt idx="1221">
                  <c:v>42902</c:v>
                </c:pt>
                <c:pt idx="1222">
                  <c:v>42901</c:v>
                </c:pt>
                <c:pt idx="1223">
                  <c:v>42900</c:v>
                </c:pt>
                <c:pt idx="1224">
                  <c:v>42899</c:v>
                </c:pt>
                <c:pt idx="1225">
                  <c:v>42898</c:v>
                </c:pt>
                <c:pt idx="1226">
                  <c:v>42895</c:v>
                </c:pt>
                <c:pt idx="1227">
                  <c:v>42894</c:v>
                </c:pt>
                <c:pt idx="1228">
                  <c:v>42893</c:v>
                </c:pt>
                <c:pt idx="1229">
                  <c:v>42892</c:v>
                </c:pt>
                <c:pt idx="1230">
                  <c:v>42891</c:v>
                </c:pt>
                <c:pt idx="1231">
                  <c:v>42888</c:v>
                </c:pt>
                <c:pt idx="1232">
                  <c:v>42887</c:v>
                </c:pt>
                <c:pt idx="1233">
                  <c:v>42886</c:v>
                </c:pt>
                <c:pt idx="1234">
                  <c:v>42885</c:v>
                </c:pt>
                <c:pt idx="1235">
                  <c:v>42881</c:v>
                </c:pt>
                <c:pt idx="1236">
                  <c:v>42880</c:v>
                </c:pt>
                <c:pt idx="1237">
                  <c:v>42879</c:v>
                </c:pt>
                <c:pt idx="1238">
                  <c:v>42878</c:v>
                </c:pt>
                <c:pt idx="1239">
                  <c:v>42877</c:v>
                </c:pt>
                <c:pt idx="1240">
                  <c:v>42874</c:v>
                </c:pt>
                <c:pt idx="1241">
                  <c:v>42873</c:v>
                </c:pt>
                <c:pt idx="1242">
                  <c:v>42872</c:v>
                </c:pt>
                <c:pt idx="1243">
                  <c:v>42871</c:v>
                </c:pt>
                <c:pt idx="1244">
                  <c:v>42870</c:v>
                </c:pt>
                <c:pt idx="1245">
                  <c:v>42867</c:v>
                </c:pt>
                <c:pt idx="1246">
                  <c:v>42866</c:v>
                </c:pt>
                <c:pt idx="1247">
                  <c:v>42865</c:v>
                </c:pt>
                <c:pt idx="1248">
                  <c:v>42864</c:v>
                </c:pt>
                <c:pt idx="1249">
                  <c:v>42863</c:v>
                </c:pt>
                <c:pt idx="1250">
                  <c:v>42860</c:v>
                </c:pt>
                <c:pt idx="1251">
                  <c:v>42859</c:v>
                </c:pt>
                <c:pt idx="1252">
                  <c:v>42858</c:v>
                </c:pt>
                <c:pt idx="1253">
                  <c:v>42857</c:v>
                </c:pt>
                <c:pt idx="1254">
                  <c:v>42856</c:v>
                </c:pt>
                <c:pt idx="1255">
                  <c:v>42853</c:v>
                </c:pt>
                <c:pt idx="1256">
                  <c:v>42852</c:v>
                </c:pt>
                <c:pt idx="1257">
                  <c:v>42851</c:v>
                </c:pt>
                <c:pt idx="1258">
                  <c:v>42850</c:v>
                </c:pt>
                <c:pt idx="1259">
                  <c:v>42849</c:v>
                </c:pt>
              </c:numCache>
            </c:numRef>
          </c:cat>
          <c:val>
            <c:numRef>
              <c:f>Historicos!$B$2:$B$1261</c:f>
              <c:numCache>
                <c:formatCode>_(* #,##0.00_);_(* \(#,##0.00\);_(* "-"??_);_(@_)</c:formatCode>
                <c:ptCount val="1260"/>
                <c:pt idx="0">
                  <c:v>161.79</c:v>
                </c:pt>
                <c:pt idx="1">
                  <c:v>166.42</c:v>
                </c:pt>
                <c:pt idx="2">
                  <c:v>167.23</c:v>
                </c:pt>
                <c:pt idx="3">
                  <c:v>167.4</c:v>
                </c:pt>
                <c:pt idx="4">
                  <c:v>165.07</c:v>
                </c:pt>
                <c:pt idx="5">
                  <c:v>165.29</c:v>
                </c:pt>
                <c:pt idx="6">
                  <c:v>170.4</c:v>
                </c:pt>
                <c:pt idx="7">
                  <c:v>167.66</c:v>
                </c:pt>
                <c:pt idx="8">
                  <c:v>165.75</c:v>
                </c:pt>
                <c:pt idx="9">
                  <c:v>170.09</c:v>
                </c:pt>
                <c:pt idx="10">
                  <c:v>172.14</c:v>
                </c:pt>
                <c:pt idx="11">
                  <c:v>171.83</c:v>
                </c:pt>
                <c:pt idx="12">
                  <c:v>175.06</c:v>
                </c:pt>
                <c:pt idx="13">
                  <c:v>178.44</c:v>
                </c:pt>
                <c:pt idx="14">
                  <c:v>174.31</c:v>
                </c:pt>
                <c:pt idx="15">
                  <c:v>174.61</c:v>
                </c:pt>
                <c:pt idx="16">
                  <c:v>177.77</c:v>
                </c:pt>
                <c:pt idx="17">
                  <c:v>178.96</c:v>
                </c:pt>
                <c:pt idx="18">
                  <c:v>175.6</c:v>
                </c:pt>
                <c:pt idx="19">
                  <c:v>174.72</c:v>
                </c:pt>
                <c:pt idx="20">
                  <c:v>174.07</c:v>
                </c:pt>
                <c:pt idx="21">
                  <c:v>170.21</c:v>
                </c:pt>
                <c:pt idx="22">
                  <c:v>168.82</c:v>
                </c:pt>
                <c:pt idx="23">
                  <c:v>165.38</c:v>
                </c:pt>
                <c:pt idx="24">
                  <c:v>163.98</c:v>
                </c:pt>
                <c:pt idx="25">
                  <c:v>160.62</c:v>
                </c:pt>
                <c:pt idx="26">
                  <c:v>159.59</c:v>
                </c:pt>
                <c:pt idx="27">
                  <c:v>155.09</c:v>
                </c:pt>
                <c:pt idx="28">
                  <c:v>150.62</c:v>
                </c:pt>
                <c:pt idx="29">
                  <c:v>154.72999999999999</c:v>
                </c:pt>
                <c:pt idx="30">
                  <c:v>158.52000000000001</c:v>
                </c:pt>
                <c:pt idx="31">
                  <c:v>162.94999999999999</c:v>
                </c:pt>
                <c:pt idx="32">
                  <c:v>157.44</c:v>
                </c:pt>
                <c:pt idx="33">
                  <c:v>159.30000000000001</c:v>
                </c:pt>
                <c:pt idx="34">
                  <c:v>163.16999999999999</c:v>
                </c:pt>
                <c:pt idx="35">
                  <c:v>166.23</c:v>
                </c:pt>
                <c:pt idx="36">
                  <c:v>166.56</c:v>
                </c:pt>
                <c:pt idx="37">
                  <c:v>163.19999999999999</c:v>
                </c:pt>
                <c:pt idx="38">
                  <c:v>165.12</c:v>
                </c:pt>
                <c:pt idx="39">
                  <c:v>164.85</c:v>
                </c:pt>
                <c:pt idx="40">
                  <c:v>162.74</c:v>
                </c:pt>
                <c:pt idx="41">
                  <c:v>160.07</c:v>
                </c:pt>
                <c:pt idx="42">
                  <c:v>164.32</c:v>
                </c:pt>
                <c:pt idx="43">
                  <c:v>167.3</c:v>
                </c:pt>
                <c:pt idx="44">
                  <c:v>168.88</c:v>
                </c:pt>
                <c:pt idx="45">
                  <c:v>172.55</c:v>
                </c:pt>
                <c:pt idx="46">
                  <c:v>172.79</c:v>
                </c:pt>
                <c:pt idx="47">
                  <c:v>168.88</c:v>
                </c:pt>
                <c:pt idx="48">
                  <c:v>168.64</c:v>
                </c:pt>
                <c:pt idx="49">
                  <c:v>172.12</c:v>
                </c:pt>
                <c:pt idx="50">
                  <c:v>176.28</c:v>
                </c:pt>
                <c:pt idx="51">
                  <c:v>174.83</c:v>
                </c:pt>
                <c:pt idx="52">
                  <c:v>171.66</c:v>
                </c:pt>
                <c:pt idx="53">
                  <c:v>172.39</c:v>
                </c:pt>
                <c:pt idx="54">
                  <c:v>172.9</c:v>
                </c:pt>
                <c:pt idx="55">
                  <c:v>175.84</c:v>
                </c:pt>
                <c:pt idx="56">
                  <c:v>174.61</c:v>
                </c:pt>
                <c:pt idx="57">
                  <c:v>174.78</c:v>
                </c:pt>
                <c:pt idx="58">
                  <c:v>170.33</c:v>
                </c:pt>
                <c:pt idx="59">
                  <c:v>159.22</c:v>
                </c:pt>
                <c:pt idx="60">
                  <c:v>159.69</c:v>
                </c:pt>
                <c:pt idx="61">
                  <c:v>159.78</c:v>
                </c:pt>
                <c:pt idx="62">
                  <c:v>161.62</c:v>
                </c:pt>
                <c:pt idx="63">
                  <c:v>162.41</c:v>
                </c:pt>
                <c:pt idx="64">
                  <c:v>164.51</c:v>
                </c:pt>
                <c:pt idx="65">
                  <c:v>166.23</c:v>
                </c:pt>
                <c:pt idx="66">
                  <c:v>169.8</c:v>
                </c:pt>
                <c:pt idx="67">
                  <c:v>173.07</c:v>
                </c:pt>
                <c:pt idx="68">
                  <c:v>172.19</c:v>
                </c:pt>
                <c:pt idx="69">
                  <c:v>175.53</c:v>
                </c:pt>
                <c:pt idx="70">
                  <c:v>175.08</c:v>
                </c:pt>
                <c:pt idx="71">
                  <c:v>172.19</c:v>
                </c:pt>
                <c:pt idx="72">
                  <c:v>172.17</c:v>
                </c:pt>
                <c:pt idx="73">
                  <c:v>172</c:v>
                </c:pt>
                <c:pt idx="74">
                  <c:v>174.92</c:v>
                </c:pt>
                <c:pt idx="75">
                  <c:v>179.7</c:v>
                </c:pt>
                <c:pt idx="76">
                  <c:v>182.01</c:v>
                </c:pt>
                <c:pt idx="77">
                  <c:v>177.57</c:v>
                </c:pt>
                <c:pt idx="78">
                  <c:v>178.2</c:v>
                </c:pt>
                <c:pt idx="79">
                  <c:v>179.38</c:v>
                </c:pt>
                <c:pt idx="80">
                  <c:v>179.29</c:v>
                </c:pt>
                <c:pt idx="81">
                  <c:v>180.33</c:v>
                </c:pt>
                <c:pt idx="82">
                  <c:v>176.28</c:v>
                </c:pt>
                <c:pt idx="83">
                  <c:v>175.64</c:v>
                </c:pt>
                <c:pt idx="84">
                  <c:v>172.99</c:v>
                </c:pt>
                <c:pt idx="85">
                  <c:v>169.75</c:v>
                </c:pt>
                <c:pt idx="86">
                  <c:v>171.14</c:v>
                </c:pt>
                <c:pt idx="87">
                  <c:v>172.26</c:v>
                </c:pt>
                <c:pt idx="88">
                  <c:v>179.3</c:v>
                </c:pt>
                <c:pt idx="89">
                  <c:v>174.33</c:v>
                </c:pt>
                <c:pt idx="90">
                  <c:v>175.74</c:v>
                </c:pt>
                <c:pt idx="91">
                  <c:v>179.45</c:v>
                </c:pt>
                <c:pt idx="92">
                  <c:v>174.56</c:v>
                </c:pt>
                <c:pt idx="93">
                  <c:v>175.08</c:v>
                </c:pt>
                <c:pt idx="94">
                  <c:v>171.18</c:v>
                </c:pt>
                <c:pt idx="95">
                  <c:v>165.32</c:v>
                </c:pt>
                <c:pt idx="96">
                  <c:v>161.84</c:v>
                </c:pt>
                <c:pt idx="97">
                  <c:v>163.76</c:v>
                </c:pt>
                <c:pt idx="98">
                  <c:v>164.77</c:v>
                </c:pt>
                <c:pt idx="99">
                  <c:v>165.3</c:v>
                </c:pt>
                <c:pt idx="100">
                  <c:v>160.24</c:v>
                </c:pt>
                <c:pt idx="101">
                  <c:v>156.81</c:v>
                </c:pt>
                <c:pt idx="102">
                  <c:v>161.94</c:v>
                </c:pt>
                <c:pt idx="103">
                  <c:v>161.41</c:v>
                </c:pt>
                <c:pt idx="104">
                  <c:v>161.02000000000001</c:v>
                </c:pt>
                <c:pt idx="105">
                  <c:v>160.55000000000001</c:v>
                </c:pt>
                <c:pt idx="106">
                  <c:v>157.87</c:v>
                </c:pt>
                <c:pt idx="107">
                  <c:v>153.49</c:v>
                </c:pt>
                <c:pt idx="108">
                  <c:v>151</c:v>
                </c:pt>
                <c:pt idx="109">
                  <c:v>150</c:v>
                </c:pt>
                <c:pt idx="110">
                  <c:v>149.99</c:v>
                </c:pt>
                <c:pt idx="111">
                  <c:v>147.87</c:v>
                </c:pt>
                <c:pt idx="112">
                  <c:v>147.91999999999999</c:v>
                </c:pt>
                <c:pt idx="113">
                  <c:v>150.81</c:v>
                </c:pt>
                <c:pt idx="114">
                  <c:v>150.44</c:v>
                </c:pt>
                <c:pt idx="115">
                  <c:v>151.28</c:v>
                </c:pt>
                <c:pt idx="116">
                  <c:v>150.96</c:v>
                </c:pt>
                <c:pt idx="117">
                  <c:v>151.49</c:v>
                </c:pt>
                <c:pt idx="118">
                  <c:v>150.02000000000001</c:v>
                </c:pt>
                <c:pt idx="119">
                  <c:v>148.96</c:v>
                </c:pt>
                <c:pt idx="120">
                  <c:v>149.80000000000001</c:v>
                </c:pt>
                <c:pt idx="121">
                  <c:v>152.57</c:v>
                </c:pt>
                <c:pt idx="122">
                  <c:v>148.85</c:v>
                </c:pt>
                <c:pt idx="123">
                  <c:v>149.32</c:v>
                </c:pt>
                <c:pt idx="124">
                  <c:v>148.63999999999999</c:v>
                </c:pt>
                <c:pt idx="125">
                  <c:v>148.69</c:v>
                </c:pt>
                <c:pt idx="126">
                  <c:v>149.47999999999999</c:v>
                </c:pt>
                <c:pt idx="127">
                  <c:v>149.26</c:v>
                </c:pt>
                <c:pt idx="128">
                  <c:v>148.76</c:v>
                </c:pt>
                <c:pt idx="129">
                  <c:v>146.55000000000001</c:v>
                </c:pt>
                <c:pt idx="130">
                  <c:v>144.84</c:v>
                </c:pt>
                <c:pt idx="131">
                  <c:v>143.76</c:v>
                </c:pt>
                <c:pt idx="132">
                  <c:v>140.91</c:v>
                </c:pt>
                <c:pt idx="133">
                  <c:v>141.51</c:v>
                </c:pt>
                <c:pt idx="134">
                  <c:v>142.81</c:v>
                </c:pt>
                <c:pt idx="135">
                  <c:v>142.9</c:v>
                </c:pt>
                <c:pt idx="136">
                  <c:v>143.29</c:v>
                </c:pt>
                <c:pt idx="137">
                  <c:v>142</c:v>
                </c:pt>
                <c:pt idx="138">
                  <c:v>141.11000000000001</c:v>
                </c:pt>
                <c:pt idx="139">
                  <c:v>139.13999999999999</c:v>
                </c:pt>
                <c:pt idx="140">
                  <c:v>142.65</c:v>
                </c:pt>
                <c:pt idx="141">
                  <c:v>141.5</c:v>
                </c:pt>
                <c:pt idx="142">
                  <c:v>142.83000000000001</c:v>
                </c:pt>
                <c:pt idx="143">
                  <c:v>141.91</c:v>
                </c:pt>
                <c:pt idx="144">
                  <c:v>145.37</c:v>
                </c:pt>
                <c:pt idx="145">
                  <c:v>146.91999999999999</c:v>
                </c:pt>
                <c:pt idx="146">
                  <c:v>146.83000000000001</c:v>
                </c:pt>
                <c:pt idx="147">
                  <c:v>145.85</c:v>
                </c:pt>
                <c:pt idx="148">
                  <c:v>143.43</c:v>
                </c:pt>
                <c:pt idx="149">
                  <c:v>142.94</c:v>
                </c:pt>
                <c:pt idx="150">
                  <c:v>146.06</c:v>
                </c:pt>
                <c:pt idx="151">
                  <c:v>148.79</c:v>
                </c:pt>
                <c:pt idx="152">
                  <c:v>149.03</c:v>
                </c:pt>
                <c:pt idx="153">
                  <c:v>148.12</c:v>
                </c:pt>
                <c:pt idx="154">
                  <c:v>149.55000000000001</c:v>
                </c:pt>
                <c:pt idx="155">
                  <c:v>148.97</c:v>
                </c:pt>
                <c:pt idx="156">
                  <c:v>154.07</c:v>
                </c:pt>
                <c:pt idx="157">
                  <c:v>155.11000000000001</c:v>
                </c:pt>
                <c:pt idx="158">
                  <c:v>156.69</c:v>
                </c:pt>
                <c:pt idx="159">
                  <c:v>154.30000000000001</c:v>
                </c:pt>
                <c:pt idx="160">
                  <c:v>153.65</c:v>
                </c:pt>
                <c:pt idx="161">
                  <c:v>152.51</c:v>
                </c:pt>
                <c:pt idx="162">
                  <c:v>151.83000000000001</c:v>
                </c:pt>
                <c:pt idx="163">
                  <c:v>153.12</c:v>
                </c:pt>
                <c:pt idx="164">
                  <c:v>148.6</c:v>
                </c:pt>
                <c:pt idx="165">
                  <c:v>147.54</c:v>
                </c:pt>
                <c:pt idx="166">
                  <c:v>148.36000000000001</c:v>
                </c:pt>
                <c:pt idx="167">
                  <c:v>149.62</c:v>
                </c:pt>
                <c:pt idx="168">
                  <c:v>149.71</c:v>
                </c:pt>
                <c:pt idx="169">
                  <c:v>148.19</c:v>
                </c:pt>
                <c:pt idx="170">
                  <c:v>146.69999999999999</c:v>
                </c:pt>
                <c:pt idx="171">
                  <c:v>146.36000000000001</c:v>
                </c:pt>
                <c:pt idx="172">
                  <c:v>150.19</c:v>
                </c:pt>
                <c:pt idx="173">
                  <c:v>151.12</c:v>
                </c:pt>
                <c:pt idx="174">
                  <c:v>149.1</c:v>
                </c:pt>
                <c:pt idx="175">
                  <c:v>148.88999999999999</c:v>
                </c:pt>
                <c:pt idx="176">
                  <c:v>145.86000000000001</c:v>
                </c:pt>
                <c:pt idx="177">
                  <c:v>145.6</c:v>
                </c:pt>
                <c:pt idx="178">
                  <c:v>146.09</c:v>
                </c:pt>
                <c:pt idx="179">
                  <c:v>146.13999999999999</c:v>
                </c:pt>
                <c:pt idx="180">
                  <c:v>147.06</c:v>
                </c:pt>
                <c:pt idx="181">
                  <c:v>146.94999999999999</c:v>
                </c:pt>
                <c:pt idx="182">
                  <c:v>147.36000000000001</c:v>
                </c:pt>
                <c:pt idx="183">
                  <c:v>145.52000000000001</c:v>
                </c:pt>
                <c:pt idx="184">
                  <c:v>145.86000000000001</c:v>
                </c:pt>
                <c:pt idx="185">
                  <c:v>145.63999999999999</c:v>
                </c:pt>
                <c:pt idx="186">
                  <c:v>144.97999999999999</c:v>
                </c:pt>
                <c:pt idx="187">
                  <c:v>146.77000000000001</c:v>
                </c:pt>
                <c:pt idx="188">
                  <c:v>148.99</c:v>
                </c:pt>
                <c:pt idx="189">
                  <c:v>148.56</c:v>
                </c:pt>
                <c:pt idx="190">
                  <c:v>146.80000000000001</c:v>
                </c:pt>
                <c:pt idx="191">
                  <c:v>145.4</c:v>
                </c:pt>
                <c:pt idx="192">
                  <c:v>146.15</c:v>
                </c:pt>
                <c:pt idx="193">
                  <c:v>142.44999999999999</c:v>
                </c:pt>
                <c:pt idx="194">
                  <c:v>146.38999999999999</c:v>
                </c:pt>
                <c:pt idx="195">
                  <c:v>148.47999999999999</c:v>
                </c:pt>
                <c:pt idx="196">
                  <c:v>149.15</c:v>
                </c:pt>
                <c:pt idx="197">
                  <c:v>145.63999999999999</c:v>
                </c:pt>
                <c:pt idx="198">
                  <c:v>144.5</c:v>
                </c:pt>
                <c:pt idx="199">
                  <c:v>145.11000000000001</c:v>
                </c:pt>
                <c:pt idx="200">
                  <c:v>143.24</c:v>
                </c:pt>
                <c:pt idx="201">
                  <c:v>144.57</c:v>
                </c:pt>
                <c:pt idx="202">
                  <c:v>142.02000000000001</c:v>
                </c:pt>
                <c:pt idx="203">
                  <c:v>139.96</c:v>
                </c:pt>
                <c:pt idx="204">
                  <c:v>137.27000000000001</c:v>
                </c:pt>
                <c:pt idx="205">
                  <c:v>136.96</c:v>
                </c:pt>
                <c:pt idx="206">
                  <c:v>136.33000000000001</c:v>
                </c:pt>
                <c:pt idx="207">
                  <c:v>134.78</c:v>
                </c:pt>
                <c:pt idx="208">
                  <c:v>133.11000000000001</c:v>
                </c:pt>
                <c:pt idx="209">
                  <c:v>133.41</c:v>
                </c:pt>
                <c:pt idx="210">
                  <c:v>133.69999999999999</c:v>
                </c:pt>
                <c:pt idx="211">
                  <c:v>133.97999999999999</c:v>
                </c:pt>
                <c:pt idx="212">
                  <c:v>132.30000000000001</c:v>
                </c:pt>
                <c:pt idx="213">
                  <c:v>130.46</c:v>
                </c:pt>
                <c:pt idx="214">
                  <c:v>131.79</c:v>
                </c:pt>
                <c:pt idx="215">
                  <c:v>130.15</c:v>
                </c:pt>
                <c:pt idx="216">
                  <c:v>129.63999999999999</c:v>
                </c:pt>
                <c:pt idx="217">
                  <c:v>130.47999999999999</c:v>
                </c:pt>
                <c:pt idx="218">
                  <c:v>127.35</c:v>
                </c:pt>
                <c:pt idx="219">
                  <c:v>126.11</c:v>
                </c:pt>
                <c:pt idx="220">
                  <c:v>127.13</c:v>
                </c:pt>
                <c:pt idx="221">
                  <c:v>126.74</c:v>
                </c:pt>
                <c:pt idx="222">
                  <c:v>125.9</c:v>
                </c:pt>
                <c:pt idx="223">
                  <c:v>125.89</c:v>
                </c:pt>
                <c:pt idx="224">
                  <c:v>123.54</c:v>
                </c:pt>
                <c:pt idx="225">
                  <c:v>125.06</c:v>
                </c:pt>
                <c:pt idx="226">
                  <c:v>124.28</c:v>
                </c:pt>
                <c:pt idx="227">
                  <c:v>124.61</c:v>
                </c:pt>
                <c:pt idx="228">
                  <c:v>125.28</c:v>
                </c:pt>
                <c:pt idx="229">
                  <c:v>126.85</c:v>
                </c:pt>
                <c:pt idx="230">
                  <c:v>126.9</c:v>
                </c:pt>
                <c:pt idx="231">
                  <c:v>127.1</c:v>
                </c:pt>
                <c:pt idx="232">
                  <c:v>125.43</c:v>
                </c:pt>
                <c:pt idx="233">
                  <c:v>127.31</c:v>
                </c:pt>
                <c:pt idx="234">
                  <c:v>124.69</c:v>
                </c:pt>
                <c:pt idx="235">
                  <c:v>124.85</c:v>
                </c:pt>
                <c:pt idx="236">
                  <c:v>126.27</c:v>
                </c:pt>
                <c:pt idx="237">
                  <c:v>127.45</c:v>
                </c:pt>
                <c:pt idx="238">
                  <c:v>124.97</c:v>
                </c:pt>
                <c:pt idx="239">
                  <c:v>122.77</c:v>
                </c:pt>
                <c:pt idx="240">
                  <c:v>125.91</c:v>
                </c:pt>
                <c:pt idx="241">
                  <c:v>126.85</c:v>
                </c:pt>
                <c:pt idx="242">
                  <c:v>130.21</c:v>
                </c:pt>
                <c:pt idx="243">
                  <c:v>129.74</c:v>
                </c:pt>
                <c:pt idx="244">
                  <c:v>128.1</c:v>
                </c:pt>
                <c:pt idx="245">
                  <c:v>127.85</c:v>
                </c:pt>
                <c:pt idx="246">
                  <c:v>132.54</c:v>
                </c:pt>
                <c:pt idx="247">
                  <c:v>131.46</c:v>
                </c:pt>
                <c:pt idx="248">
                  <c:v>133.47999999999999</c:v>
                </c:pt>
                <c:pt idx="249">
                  <c:v>133.58000000000001</c:v>
                </c:pt>
                <c:pt idx="250">
                  <c:v>134.38999999999999</c:v>
                </c:pt>
                <c:pt idx="251">
                  <c:v>134.72</c:v>
                </c:pt>
                <c:pt idx="252">
                  <c:v>134.32</c:v>
                </c:pt>
                <c:pt idx="253">
                  <c:v>131.94</c:v>
                </c:pt>
                <c:pt idx="254">
                  <c:v>133.5</c:v>
                </c:pt>
                <c:pt idx="255">
                  <c:v>133.11000000000001</c:v>
                </c:pt>
                <c:pt idx="256">
                  <c:v>134.84</c:v>
                </c:pt>
                <c:pt idx="257">
                  <c:v>134.16</c:v>
                </c:pt>
                <c:pt idx="258">
                  <c:v>134.5</c:v>
                </c:pt>
                <c:pt idx="259">
                  <c:v>132.03</c:v>
                </c:pt>
                <c:pt idx="260">
                  <c:v>134.43</c:v>
                </c:pt>
                <c:pt idx="261">
                  <c:v>131.24</c:v>
                </c:pt>
                <c:pt idx="262">
                  <c:v>133</c:v>
                </c:pt>
                <c:pt idx="263">
                  <c:v>130.36000000000001</c:v>
                </c:pt>
                <c:pt idx="264">
                  <c:v>127.9</c:v>
                </c:pt>
                <c:pt idx="265">
                  <c:v>126.21</c:v>
                </c:pt>
                <c:pt idx="266">
                  <c:v>125.9</c:v>
                </c:pt>
                <c:pt idx="267">
                  <c:v>123</c:v>
                </c:pt>
                <c:pt idx="268">
                  <c:v>122.15</c:v>
                </c:pt>
                <c:pt idx="269">
                  <c:v>119.9</c:v>
                </c:pt>
                <c:pt idx="270">
                  <c:v>121.39</c:v>
                </c:pt>
                <c:pt idx="271">
                  <c:v>121.21</c:v>
                </c:pt>
                <c:pt idx="272">
                  <c:v>120.59</c:v>
                </c:pt>
                <c:pt idx="273">
                  <c:v>120.09</c:v>
                </c:pt>
                <c:pt idx="274">
                  <c:v>122.54</c:v>
                </c:pt>
                <c:pt idx="275">
                  <c:v>123.39</c:v>
                </c:pt>
                <c:pt idx="276">
                  <c:v>119.99</c:v>
                </c:pt>
                <c:pt idx="277">
                  <c:v>120.53</c:v>
                </c:pt>
                <c:pt idx="278">
                  <c:v>124.76</c:v>
                </c:pt>
                <c:pt idx="279">
                  <c:v>125.57</c:v>
                </c:pt>
                <c:pt idx="280">
                  <c:v>123.99</c:v>
                </c:pt>
                <c:pt idx="281">
                  <c:v>121.03</c:v>
                </c:pt>
                <c:pt idx="282">
                  <c:v>121.96</c:v>
                </c:pt>
                <c:pt idx="283">
                  <c:v>119.98</c:v>
                </c:pt>
                <c:pt idx="284">
                  <c:v>121.09</c:v>
                </c:pt>
                <c:pt idx="285">
                  <c:v>116.36</c:v>
                </c:pt>
                <c:pt idx="286">
                  <c:v>121.42</c:v>
                </c:pt>
                <c:pt idx="287">
                  <c:v>120.13</c:v>
                </c:pt>
                <c:pt idx="288">
                  <c:v>122.06</c:v>
                </c:pt>
                <c:pt idx="289">
                  <c:v>125.12</c:v>
                </c:pt>
                <c:pt idx="290">
                  <c:v>127.79</c:v>
                </c:pt>
                <c:pt idx="291">
                  <c:v>121.26</c:v>
                </c:pt>
                <c:pt idx="292">
                  <c:v>120.99</c:v>
                </c:pt>
                <c:pt idx="293">
                  <c:v>125.35</c:v>
                </c:pt>
                <c:pt idx="294">
                  <c:v>125.86</c:v>
                </c:pt>
                <c:pt idx="295">
                  <c:v>126</c:v>
                </c:pt>
                <c:pt idx="296">
                  <c:v>129.87</c:v>
                </c:pt>
                <c:pt idx="297">
                  <c:v>129.71</c:v>
                </c:pt>
                <c:pt idx="298">
                  <c:v>130.84</c:v>
                </c:pt>
                <c:pt idx="299">
                  <c:v>133.19</c:v>
                </c:pt>
                <c:pt idx="300">
                  <c:v>135.37</c:v>
                </c:pt>
                <c:pt idx="301">
                  <c:v>135.13</c:v>
                </c:pt>
                <c:pt idx="302">
                  <c:v>135.38999999999999</c:v>
                </c:pt>
                <c:pt idx="303">
                  <c:v>136.01</c:v>
                </c:pt>
                <c:pt idx="304">
                  <c:v>136.91</c:v>
                </c:pt>
                <c:pt idx="305">
                  <c:v>136.76</c:v>
                </c:pt>
                <c:pt idx="306">
                  <c:v>137.38999999999999</c:v>
                </c:pt>
                <c:pt idx="307">
                  <c:v>133.94</c:v>
                </c:pt>
                <c:pt idx="308">
                  <c:v>134.99</c:v>
                </c:pt>
                <c:pt idx="309">
                  <c:v>134.13999999999999</c:v>
                </c:pt>
                <c:pt idx="310">
                  <c:v>131.96</c:v>
                </c:pt>
                <c:pt idx="311">
                  <c:v>137.09</c:v>
                </c:pt>
                <c:pt idx="312">
                  <c:v>142.06</c:v>
                </c:pt>
                <c:pt idx="313">
                  <c:v>143.16</c:v>
                </c:pt>
                <c:pt idx="314">
                  <c:v>142.91999999999999</c:v>
                </c:pt>
                <c:pt idx="315">
                  <c:v>139.07</c:v>
                </c:pt>
                <c:pt idx="316">
                  <c:v>136.87</c:v>
                </c:pt>
                <c:pt idx="317">
                  <c:v>132.03</c:v>
                </c:pt>
                <c:pt idx="318">
                  <c:v>127.83</c:v>
                </c:pt>
                <c:pt idx="319">
                  <c:v>127.14</c:v>
                </c:pt>
                <c:pt idx="320">
                  <c:v>128.91</c:v>
                </c:pt>
                <c:pt idx="321">
                  <c:v>130.88999999999999</c:v>
                </c:pt>
                <c:pt idx="322">
                  <c:v>128.80000000000001</c:v>
                </c:pt>
                <c:pt idx="323">
                  <c:v>128.97999999999999</c:v>
                </c:pt>
                <c:pt idx="324">
                  <c:v>132.05000000000001</c:v>
                </c:pt>
                <c:pt idx="325">
                  <c:v>130.91999999999999</c:v>
                </c:pt>
                <c:pt idx="326">
                  <c:v>126.6</c:v>
                </c:pt>
                <c:pt idx="327">
                  <c:v>131.01</c:v>
                </c:pt>
                <c:pt idx="328">
                  <c:v>129.41</c:v>
                </c:pt>
                <c:pt idx="329">
                  <c:v>132.69</c:v>
                </c:pt>
                <c:pt idx="330">
                  <c:v>133.72</c:v>
                </c:pt>
                <c:pt idx="331">
                  <c:v>134.87</c:v>
                </c:pt>
                <c:pt idx="332">
                  <c:v>136.69</c:v>
                </c:pt>
                <c:pt idx="333">
                  <c:v>131.97</c:v>
                </c:pt>
                <c:pt idx="334">
                  <c:v>130.96</c:v>
                </c:pt>
                <c:pt idx="335">
                  <c:v>131.88</c:v>
                </c:pt>
                <c:pt idx="336">
                  <c:v>128.22999999999999</c:v>
                </c:pt>
                <c:pt idx="337">
                  <c:v>126.66</c:v>
                </c:pt>
                <c:pt idx="338">
                  <c:v>128.69999999999999</c:v>
                </c:pt>
                <c:pt idx="339">
                  <c:v>127.81</c:v>
                </c:pt>
                <c:pt idx="340">
                  <c:v>127.88</c:v>
                </c:pt>
                <c:pt idx="341">
                  <c:v>121.78</c:v>
                </c:pt>
                <c:pt idx="342">
                  <c:v>122.41</c:v>
                </c:pt>
                <c:pt idx="343">
                  <c:v>123.24</c:v>
                </c:pt>
                <c:pt idx="344">
                  <c:v>121.78</c:v>
                </c:pt>
                <c:pt idx="345">
                  <c:v>124.38</c:v>
                </c:pt>
                <c:pt idx="346">
                  <c:v>123.75</c:v>
                </c:pt>
                <c:pt idx="347">
                  <c:v>122.25</c:v>
                </c:pt>
                <c:pt idx="348">
                  <c:v>122.94</c:v>
                </c:pt>
                <c:pt idx="349">
                  <c:v>123.08</c:v>
                </c:pt>
                <c:pt idx="350">
                  <c:v>122.72</c:v>
                </c:pt>
                <c:pt idx="351">
                  <c:v>119.05</c:v>
                </c:pt>
                <c:pt idx="352">
                  <c:v>116.59</c:v>
                </c:pt>
                <c:pt idx="353">
                  <c:v>116.03</c:v>
                </c:pt>
                <c:pt idx="354">
                  <c:v>115.17</c:v>
                </c:pt>
                <c:pt idx="355">
                  <c:v>113.85</c:v>
                </c:pt>
                <c:pt idx="356">
                  <c:v>117.34</c:v>
                </c:pt>
                <c:pt idx="357">
                  <c:v>118.64</c:v>
                </c:pt>
                <c:pt idx="358">
                  <c:v>118.03</c:v>
                </c:pt>
                <c:pt idx="359">
                  <c:v>119.39</c:v>
                </c:pt>
                <c:pt idx="360">
                  <c:v>120.3</c:v>
                </c:pt>
                <c:pt idx="361">
                  <c:v>119.26</c:v>
                </c:pt>
                <c:pt idx="362">
                  <c:v>119.21</c:v>
                </c:pt>
                <c:pt idx="363">
                  <c:v>119.49</c:v>
                </c:pt>
                <c:pt idx="364">
                  <c:v>115.97</c:v>
                </c:pt>
                <c:pt idx="365">
                  <c:v>116.32</c:v>
                </c:pt>
                <c:pt idx="366">
                  <c:v>118.69</c:v>
                </c:pt>
                <c:pt idx="367">
                  <c:v>119.03</c:v>
                </c:pt>
                <c:pt idx="368">
                  <c:v>114.95</c:v>
                </c:pt>
                <c:pt idx="369">
                  <c:v>110.44</c:v>
                </c:pt>
                <c:pt idx="370">
                  <c:v>108.77</c:v>
                </c:pt>
                <c:pt idx="371">
                  <c:v>108.86</c:v>
                </c:pt>
                <c:pt idx="372">
                  <c:v>115.32</c:v>
                </c:pt>
                <c:pt idx="373">
                  <c:v>111.2</c:v>
                </c:pt>
                <c:pt idx="374">
                  <c:v>116.6</c:v>
                </c:pt>
                <c:pt idx="375">
                  <c:v>115.05</c:v>
                </c:pt>
                <c:pt idx="376">
                  <c:v>115.04</c:v>
                </c:pt>
                <c:pt idx="377">
                  <c:v>115.75</c:v>
                </c:pt>
                <c:pt idx="378">
                  <c:v>116.87</c:v>
                </c:pt>
                <c:pt idx="379">
                  <c:v>117.51</c:v>
                </c:pt>
                <c:pt idx="380">
                  <c:v>115.98</c:v>
                </c:pt>
                <c:pt idx="381">
                  <c:v>119.02</c:v>
                </c:pt>
                <c:pt idx="382">
                  <c:v>120.71</c:v>
                </c:pt>
                <c:pt idx="383">
                  <c:v>121.19</c:v>
                </c:pt>
                <c:pt idx="384">
                  <c:v>121.1</c:v>
                </c:pt>
                <c:pt idx="385">
                  <c:v>124.4</c:v>
                </c:pt>
                <c:pt idx="386">
                  <c:v>116.97</c:v>
                </c:pt>
                <c:pt idx="387">
                  <c:v>114.97</c:v>
                </c:pt>
                <c:pt idx="388">
                  <c:v>115.08</c:v>
                </c:pt>
                <c:pt idx="389">
                  <c:v>113.16</c:v>
                </c:pt>
                <c:pt idx="390">
                  <c:v>116.5</c:v>
                </c:pt>
                <c:pt idx="391">
                  <c:v>113.02</c:v>
                </c:pt>
                <c:pt idx="392">
                  <c:v>116.79</c:v>
                </c:pt>
                <c:pt idx="393">
                  <c:v>115.81</c:v>
                </c:pt>
                <c:pt idx="394">
                  <c:v>114.09</c:v>
                </c:pt>
                <c:pt idx="395">
                  <c:v>114.96</c:v>
                </c:pt>
                <c:pt idx="396">
                  <c:v>112.28</c:v>
                </c:pt>
                <c:pt idx="397">
                  <c:v>108.22</c:v>
                </c:pt>
                <c:pt idx="398">
                  <c:v>107.12</c:v>
                </c:pt>
                <c:pt idx="399">
                  <c:v>111.81</c:v>
                </c:pt>
                <c:pt idx="400">
                  <c:v>110.08</c:v>
                </c:pt>
                <c:pt idx="401">
                  <c:v>106.84</c:v>
                </c:pt>
                <c:pt idx="402">
                  <c:v>110.34</c:v>
                </c:pt>
                <c:pt idx="403">
                  <c:v>112.13</c:v>
                </c:pt>
                <c:pt idx="404">
                  <c:v>115.54</c:v>
                </c:pt>
                <c:pt idx="405">
                  <c:v>115.36</c:v>
                </c:pt>
                <c:pt idx="406">
                  <c:v>112</c:v>
                </c:pt>
                <c:pt idx="407">
                  <c:v>113.49</c:v>
                </c:pt>
                <c:pt idx="408">
                  <c:v>117.32</c:v>
                </c:pt>
                <c:pt idx="409">
                  <c:v>112.82</c:v>
                </c:pt>
                <c:pt idx="410">
                  <c:v>120.96</c:v>
                </c:pt>
                <c:pt idx="411">
                  <c:v>120.88</c:v>
                </c:pt>
                <c:pt idx="412">
                  <c:v>131.4</c:v>
                </c:pt>
                <c:pt idx="413">
                  <c:v>134.18</c:v>
                </c:pt>
                <c:pt idx="414">
                  <c:v>129.04</c:v>
                </c:pt>
                <c:pt idx="415">
                  <c:v>124.81</c:v>
                </c:pt>
                <c:pt idx="416">
                  <c:v>125.01</c:v>
                </c:pt>
                <c:pt idx="417">
                  <c:v>126.52</c:v>
                </c:pt>
                <c:pt idx="418">
                  <c:v>124.82</c:v>
                </c:pt>
                <c:pt idx="419">
                  <c:v>125.86</c:v>
                </c:pt>
                <c:pt idx="420">
                  <c:v>124.37</c:v>
                </c:pt>
                <c:pt idx="421">
                  <c:v>118.28</c:v>
                </c:pt>
                <c:pt idx="422">
                  <c:v>115.71</c:v>
                </c:pt>
                <c:pt idx="423">
                  <c:v>115.56</c:v>
                </c:pt>
                <c:pt idx="424">
                  <c:v>114.61</c:v>
                </c:pt>
                <c:pt idx="425">
                  <c:v>114.91</c:v>
                </c:pt>
                <c:pt idx="426">
                  <c:v>115.01</c:v>
                </c:pt>
                <c:pt idx="427">
                  <c:v>113.01</c:v>
                </c:pt>
                <c:pt idx="428">
                  <c:v>109.38</c:v>
                </c:pt>
                <c:pt idx="429">
                  <c:v>112.73</c:v>
                </c:pt>
                <c:pt idx="430">
                  <c:v>111.11</c:v>
                </c:pt>
                <c:pt idx="431">
                  <c:v>113.9</c:v>
                </c:pt>
                <c:pt idx="432">
                  <c:v>110.06</c:v>
                </c:pt>
                <c:pt idx="433">
                  <c:v>109.67</c:v>
                </c:pt>
                <c:pt idx="434">
                  <c:v>108.94</c:v>
                </c:pt>
                <c:pt idx="435">
                  <c:v>106.26</c:v>
                </c:pt>
                <c:pt idx="436">
                  <c:v>96.19</c:v>
                </c:pt>
                <c:pt idx="437">
                  <c:v>95.04</c:v>
                </c:pt>
                <c:pt idx="438">
                  <c:v>93.25</c:v>
                </c:pt>
                <c:pt idx="439">
                  <c:v>94.81</c:v>
                </c:pt>
                <c:pt idx="440">
                  <c:v>92.61</c:v>
                </c:pt>
                <c:pt idx="441">
                  <c:v>92.85</c:v>
                </c:pt>
                <c:pt idx="442">
                  <c:v>97.27</c:v>
                </c:pt>
                <c:pt idx="443">
                  <c:v>97</c:v>
                </c:pt>
                <c:pt idx="444">
                  <c:v>98.36</c:v>
                </c:pt>
                <c:pt idx="445">
                  <c:v>96.33</c:v>
                </c:pt>
                <c:pt idx="446">
                  <c:v>96.52</c:v>
                </c:pt>
                <c:pt idx="447">
                  <c:v>97.72</c:v>
                </c:pt>
                <c:pt idx="448">
                  <c:v>97.06</c:v>
                </c:pt>
                <c:pt idx="449">
                  <c:v>95.48</c:v>
                </c:pt>
                <c:pt idx="450">
                  <c:v>95.92</c:v>
                </c:pt>
                <c:pt idx="451">
                  <c:v>95.75</c:v>
                </c:pt>
                <c:pt idx="452">
                  <c:v>95.34</c:v>
                </c:pt>
                <c:pt idx="453">
                  <c:v>93.17</c:v>
                </c:pt>
                <c:pt idx="454">
                  <c:v>93.46</c:v>
                </c:pt>
                <c:pt idx="455">
                  <c:v>91.03</c:v>
                </c:pt>
                <c:pt idx="456">
                  <c:v>91.03</c:v>
                </c:pt>
                <c:pt idx="457">
                  <c:v>91.2</c:v>
                </c:pt>
                <c:pt idx="458">
                  <c:v>90.44</c:v>
                </c:pt>
                <c:pt idx="459">
                  <c:v>88.41</c:v>
                </c:pt>
                <c:pt idx="460">
                  <c:v>91.21</c:v>
                </c:pt>
                <c:pt idx="461">
                  <c:v>90.01</c:v>
                </c:pt>
                <c:pt idx="462">
                  <c:v>91.63</c:v>
                </c:pt>
                <c:pt idx="463">
                  <c:v>89.72</c:v>
                </c:pt>
                <c:pt idx="464">
                  <c:v>87.43</c:v>
                </c:pt>
                <c:pt idx="465">
                  <c:v>87.93</c:v>
                </c:pt>
                <c:pt idx="466">
                  <c:v>87.9</c:v>
                </c:pt>
                <c:pt idx="467">
                  <c:v>88.02</c:v>
                </c:pt>
                <c:pt idx="468">
                  <c:v>85.75</c:v>
                </c:pt>
                <c:pt idx="469">
                  <c:v>84.7</c:v>
                </c:pt>
                <c:pt idx="470">
                  <c:v>83.97</c:v>
                </c:pt>
                <c:pt idx="471">
                  <c:v>88.21</c:v>
                </c:pt>
                <c:pt idx="472">
                  <c:v>86</c:v>
                </c:pt>
                <c:pt idx="473">
                  <c:v>83.36</c:v>
                </c:pt>
                <c:pt idx="474">
                  <c:v>82.88</c:v>
                </c:pt>
                <c:pt idx="475">
                  <c:v>80.58</c:v>
                </c:pt>
                <c:pt idx="476">
                  <c:v>81.28</c:v>
                </c:pt>
                <c:pt idx="477">
                  <c:v>80.83</c:v>
                </c:pt>
                <c:pt idx="478">
                  <c:v>80.459999999999994</c:v>
                </c:pt>
                <c:pt idx="479">
                  <c:v>79.489999999999995</c:v>
                </c:pt>
                <c:pt idx="480">
                  <c:v>79.56</c:v>
                </c:pt>
                <c:pt idx="481">
                  <c:v>79.53</c:v>
                </c:pt>
                <c:pt idx="482">
                  <c:v>79.180000000000007</c:v>
                </c:pt>
                <c:pt idx="483">
                  <c:v>79.72</c:v>
                </c:pt>
                <c:pt idx="484">
                  <c:v>79.209999999999994</c:v>
                </c:pt>
                <c:pt idx="485">
                  <c:v>79.81</c:v>
                </c:pt>
                <c:pt idx="486">
                  <c:v>78.290000000000006</c:v>
                </c:pt>
                <c:pt idx="487">
                  <c:v>78.739999999999995</c:v>
                </c:pt>
                <c:pt idx="488">
                  <c:v>76.930000000000007</c:v>
                </c:pt>
                <c:pt idx="489">
                  <c:v>77.39</c:v>
                </c:pt>
                <c:pt idx="490">
                  <c:v>76.91</c:v>
                </c:pt>
                <c:pt idx="491">
                  <c:v>77.849999999999994</c:v>
                </c:pt>
                <c:pt idx="492">
                  <c:v>78.75</c:v>
                </c:pt>
                <c:pt idx="493">
                  <c:v>77.53</c:v>
                </c:pt>
                <c:pt idx="494">
                  <c:v>75.930000000000007</c:v>
                </c:pt>
                <c:pt idx="495">
                  <c:v>75.16</c:v>
                </c:pt>
                <c:pt idx="496">
                  <c:v>74.39</c:v>
                </c:pt>
                <c:pt idx="497">
                  <c:v>73.290000000000006</c:v>
                </c:pt>
                <c:pt idx="498">
                  <c:v>72.27</c:v>
                </c:pt>
                <c:pt idx="499">
                  <c:v>73.45</c:v>
                </c:pt>
                <c:pt idx="500">
                  <c:v>71.930000000000007</c:v>
                </c:pt>
                <c:pt idx="501">
                  <c:v>69.64</c:v>
                </c:pt>
                <c:pt idx="502">
                  <c:v>70.790000000000006</c:v>
                </c:pt>
                <c:pt idx="503">
                  <c:v>70.739999999999995</c:v>
                </c:pt>
                <c:pt idx="504">
                  <c:v>68.760000000000005</c:v>
                </c:pt>
                <c:pt idx="505">
                  <c:v>69.03</c:v>
                </c:pt>
                <c:pt idx="506">
                  <c:v>67.09</c:v>
                </c:pt>
                <c:pt idx="507">
                  <c:v>69.23</c:v>
                </c:pt>
                <c:pt idx="508">
                  <c:v>70.7</c:v>
                </c:pt>
                <c:pt idx="509">
                  <c:v>71.67</c:v>
                </c:pt>
                <c:pt idx="510">
                  <c:v>71.11</c:v>
                </c:pt>
                <c:pt idx="511">
                  <c:v>71.760000000000005</c:v>
                </c:pt>
                <c:pt idx="512">
                  <c:v>68.31</c:v>
                </c:pt>
                <c:pt idx="513">
                  <c:v>67</c:v>
                </c:pt>
                <c:pt idx="514">
                  <c:v>66.52</c:v>
                </c:pt>
                <c:pt idx="515">
                  <c:v>64.86</c:v>
                </c:pt>
                <c:pt idx="516">
                  <c:v>65.62</c:v>
                </c:pt>
                <c:pt idx="517">
                  <c:v>60.35</c:v>
                </c:pt>
                <c:pt idx="518">
                  <c:v>61.23</c:v>
                </c:pt>
                <c:pt idx="519">
                  <c:v>60.23</c:v>
                </c:pt>
                <c:pt idx="520">
                  <c:v>63.57</c:v>
                </c:pt>
                <c:pt idx="521">
                  <c:v>63.7</c:v>
                </c:pt>
                <c:pt idx="522">
                  <c:v>61.94</c:v>
                </c:pt>
                <c:pt idx="523">
                  <c:v>64.61</c:v>
                </c:pt>
                <c:pt idx="524">
                  <c:v>61.38</c:v>
                </c:pt>
                <c:pt idx="525">
                  <c:v>61.72</c:v>
                </c:pt>
                <c:pt idx="526">
                  <c:v>56.09</c:v>
                </c:pt>
                <c:pt idx="527">
                  <c:v>57.31</c:v>
                </c:pt>
                <c:pt idx="528">
                  <c:v>61.2</c:v>
                </c:pt>
                <c:pt idx="529">
                  <c:v>61.67</c:v>
                </c:pt>
                <c:pt idx="530">
                  <c:v>63.22</c:v>
                </c:pt>
                <c:pt idx="531">
                  <c:v>60.55</c:v>
                </c:pt>
                <c:pt idx="532">
                  <c:v>69.489999999999995</c:v>
                </c:pt>
                <c:pt idx="533">
                  <c:v>62.06</c:v>
                </c:pt>
                <c:pt idx="534">
                  <c:v>68.86</c:v>
                </c:pt>
                <c:pt idx="535">
                  <c:v>71.33</c:v>
                </c:pt>
                <c:pt idx="536">
                  <c:v>66.540000000000006</c:v>
                </c:pt>
                <c:pt idx="537">
                  <c:v>72.260000000000005</c:v>
                </c:pt>
                <c:pt idx="538">
                  <c:v>73.23</c:v>
                </c:pt>
                <c:pt idx="539">
                  <c:v>75.680000000000007</c:v>
                </c:pt>
                <c:pt idx="540">
                  <c:v>72.33</c:v>
                </c:pt>
                <c:pt idx="541">
                  <c:v>74.7</c:v>
                </c:pt>
                <c:pt idx="542">
                  <c:v>68.34</c:v>
                </c:pt>
                <c:pt idx="543">
                  <c:v>68.38</c:v>
                </c:pt>
                <c:pt idx="544">
                  <c:v>73.16</c:v>
                </c:pt>
                <c:pt idx="545">
                  <c:v>72.02</c:v>
                </c:pt>
                <c:pt idx="546">
                  <c:v>74.540000000000006</c:v>
                </c:pt>
                <c:pt idx="547">
                  <c:v>78.260000000000005</c:v>
                </c:pt>
                <c:pt idx="548">
                  <c:v>80.069999999999993</c:v>
                </c:pt>
                <c:pt idx="549">
                  <c:v>80.900000000000006</c:v>
                </c:pt>
                <c:pt idx="550">
                  <c:v>79.75</c:v>
                </c:pt>
                <c:pt idx="551">
                  <c:v>81.239999999999995</c:v>
                </c:pt>
                <c:pt idx="552">
                  <c:v>81.22</c:v>
                </c:pt>
                <c:pt idx="553">
                  <c:v>81.8</c:v>
                </c:pt>
                <c:pt idx="554">
                  <c:v>79.900000000000006</c:v>
                </c:pt>
                <c:pt idx="555">
                  <c:v>80.39</c:v>
                </c:pt>
                <c:pt idx="556">
                  <c:v>80.010000000000005</c:v>
                </c:pt>
                <c:pt idx="557">
                  <c:v>81.3</c:v>
                </c:pt>
                <c:pt idx="558">
                  <c:v>80.36</c:v>
                </c:pt>
                <c:pt idx="559">
                  <c:v>79.709999999999994</c:v>
                </c:pt>
                <c:pt idx="560">
                  <c:v>77.17</c:v>
                </c:pt>
                <c:pt idx="561">
                  <c:v>77.38</c:v>
                </c:pt>
                <c:pt idx="562">
                  <c:v>80.97</c:v>
                </c:pt>
                <c:pt idx="563">
                  <c:v>81.08</c:v>
                </c:pt>
                <c:pt idx="564">
                  <c:v>79.42</c:v>
                </c:pt>
                <c:pt idx="565">
                  <c:v>77.239999999999995</c:v>
                </c:pt>
                <c:pt idx="566">
                  <c:v>79.58</c:v>
                </c:pt>
                <c:pt idx="567">
                  <c:v>79.81</c:v>
                </c:pt>
                <c:pt idx="568">
                  <c:v>79.430000000000007</c:v>
                </c:pt>
                <c:pt idx="569">
                  <c:v>79.14</c:v>
                </c:pt>
                <c:pt idx="570">
                  <c:v>79.680000000000007</c:v>
                </c:pt>
                <c:pt idx="571">
                  <c:v>78.81</c:v>
                </c:pt>
                <c:pt idx="572">
                  <c:v>77.83</c:v>
                </c:pt>
                <c:pt idx="573">
                  <c:v>78.17</c:v>
                </c:pt>
                <c:pt idx="574">
                  <c:v>79.239999999999995</c:v>
                </c:pt>
                <c:pt idx="575">
                  <c:v>77.58</c:v>
                </c:pt>
                <c:pt idx="576">
                  <c:v>77.41</c:v>
                </c:pt>
                <c:pt idx="577">
                  <c:v>75.8</c:v>
                </c:pt>
                <c:pt idx="578">
                  <c:v>74.599999999999994</c:v>
                </c:pt>
                <c:pt idx="579">
                  <c:v>74.95</c:v>
                </c:pt>
                <c:pt idx="580">
                  <c:v>74.36</c:v>
                </c:pt>
                <c:pt idx="581">
                  <c:v>75.09</c:v>
                </c:pt>
                <c:pt idx="582">
                  <c:v>73.41</c:v>
                </c:pt>
                <c:pt idx="583">
                  <c:v>72.88</c:v>
                </c:pt>
                <c:pt idx="584">
                  <c:v>72.45</c:v>
                </c:pt>
                <c:pt idx="585">
                  <c:v>72.48</c:v>
                </c:pt>
                <c:pt idx="586">
                  <c:v>71.069999999999993</c:v>
                </c:pt>
                <c:pt idx="587">
                  <c:v>71</c:v>
                </c:pt>
                <c:pt idx="588">
                  <c:v>69.86</c:v>
                </c:pt>
                <c:pt idx="589">
                  <c:v>70</c:v>
                </c:pt>
                <c:pt idx="590">
                  <c:v>69.930000000000007</c:v>
                </c:pt>
                <c:pt idx="591">
                  <c:v>70.099999999999994</c:v>
                </c:pt>
                <c:pt idx="592">
                  <c:v>69.959999999999994</c:v>
                </c:pt>
                <c:pt idx="593">
                  <c:v>68.790000000000006</c:v>
                </c:pt>
                <c:pt idx="594">
                  <c:v>67.86</c:v>
                </c:pt>
                <c:pt idx="595">
                  <c:v>67.69</c:v>
                </c:pt>
                <c:pt idx="596">
                  <c:v>67.12</c:v>
                </c:pt>
                <c:pt idx="597">
                  <c:v>66.73</c:v>
                </c:pt>
                <c:pt idx="598">
                  <c:v>67.680000000000007</c:v>
                </c:pt>
                <c:pt idx="599">
                  <c:v>66.39</c:v>
                </c:pt>
                <c:pt idx="600">
                  <c:v>65.430000000000007</c:v>
                </c:pt>
                <c:pt idx="601">
                  <c:v>64.86</c:v>
                </c:pt>
                <c:pt idx="602">
                  <c:v>66.040000000000006</c:v>
                </c:pt>
                <c:pt idx="603">
                  <c:v>66.81</c:v>
                </c:pt>
                <c:pt idx="604">
                  <c:v>66.959999999999994</c:v>
                </c:pt>
                <c:pt idx="605">
                  <c:v>66.069999999999993</c:v>
                </c:pt>
                <c:pt idx="606">
                  <c:v>66.59</c:v>
                </c:pt>
                <c:pt idx="607">
                  <c:v>65.44</c:v>
                </c:pt>
                <c:pt idx="608">
                  <c:v>65.5</c:v>
                </c:pt>
                <c:pt idx="609">
                  <c:v>65.8</c:v>
                </c:pt>
                <c:pt idx="610">
                  <c:v>66.569999999999993</c:v>
                </c:pt>
                <c:pt idx="611">
                  <c:v>66.78</c:v>
                </c:pt>
                <c:pt idx="612">
                  <c:v>66.44</c:v>
                </c:pt>
                <c:pt idx="613">
                  <c:v>65.66</c:v>
                </c:pt>
                <c:pt idx="614">
                  <c:v>66.12</c:v>
                </c:pt>
                <c:pt idx="615">
                  <c:v>65.489999999999995</c:v>
                </c:pt>
                <c:pt idx="616">
                  <c:v>65.55</c:v>
                </c:pt>
                <c:pt idx="617">
                  <c:v>65.040000000000006</c:v>
                </c:pt>
                <c:pt idx="618">
                  <c:v>64.86</c:v>
                </c:pt>
                <c:pt idx="619">
                  <c:v>64.31</c:v>
                </c:pt>
                <c:pt idx="620">
                  <c:v>64.28</c:v>
                </c:pt>
                <c:pt idx="621">
                  <c:v>64.38</c:v>
                </c:pt>
                <c:pt idx="622">
                  <c:v>63.96</c:v>
                </c:pt>
                <c:pt idx="623">
                  <c:v>62.19</c:v>
                </c:pt>
                <c:pt idx="624">
                  <c:v>60.81</c:v>
                </c:pt>
                <c:pt idx="625">
                  <c:v>60.82</c:v>
                </c:pt>
                <c:pt idx="626">
                  <c:v>62.26</c:v>
                </c:pt>
                <c:pt idx="627">
                  <c:v>61.65</c:v>
                </c:pt>
                <c:pt idx="628">
                  <c:v>60.9</c:v>
                </c:pt>
                <c:pt idx="629">
                  <c:v>60.79</c:v>
                </c:pt>
                <c:pt idx="630">
                  <c:v>59.99</c:v>
                </c:pt>
                <c:pt idx="631">
                  <c:v>60.13</c:v>
                </c:pt>
                <c:pt idx="632">
                  <c:v>59.1</c:v>
                </c:pt>
                <c:pt idx="633">
                  <c:v>58.82</c:v>
                </c:pt>
                <c:pt idx="634">
                  <c:v>58.59</c:v>
                </c:pt>
                <c:pt idx="635">
                  <c:v>58.83</c:v>
                </c:pt>
                <c:pt idx="636">
                  <c:v>58.97</c:v>
                </c:pt>
                <c:pt idx="637">
                  <c:v>59.05</c:v>
                </c:pt>
                <c:pt idx="638">
                  <c:v>57.52</c:v>
                </c:pt>
                <c:pt idx="639">
                  <c:v>56.76</c:v>
                </c:pt>
                <c:pt idx="640">
                  <c:v>56.1</c:v>
                </c:pt>
                <c:pt idx="641">
                  <c:v>56.76</c:v>
                </c:pt>
                <c:pt idx="642">
                  <c:v>56.75</c:v>
                </c:pt>
                <c:pt idx="643">
                  <c:v>55.21</c:v>
                </c:pt>
                <c:pt idx="644">
                  <c:v>54.74</c:v>
                </c:pt>
                <c:pt idx="645">
                  <c:v>56.15</c:v>
                </c:pt>
                <c:pt idx="646">
                  <c:v>55.99</c:v>
                </c:pt>
                <c:pt idx="647">
                  <c:v>54.71</c:v>
                </c:pt>
                <c:pt idx="648">
                  <c:v>54.97</c:v>
                </c:pt>
                <c:pt idx="649">
                  <c:v>55.26</c:v>
                </c:pt>
                <c:pt idx="650">
                  <c:v>54.42</c:v>
                </c:pt>
                <c:pt idx="651">
                  <c:v>54.68</c:v>
                </c:pt>
                <c:pt idx="652">
                  <c:v>54.43</c:v>
                </c:pt>
                <c:pt idx="653">
                  <c:v>55.24</c:v>
                </c:pt>
                <c:pt idx="654">
                  <c:v>55.69</c:v>
                </c:pt>
                <c:pt idx="655">
                  <c:v>55.17</c:v>
                </c:pt>
                <c:pt idx="656">
                  <c:v>54.97</c:v>
                </c:pt>
                <c:pt idx="657">
                  <c:v>54.69</c:v>
                </c:pt>
                <c:pt idx="658">
                  <c:v>55.77</c:v>
                </c:pt>
                <c:pt idx="659">
                  <c:v>55.9</c:v>
                </c:pt>
                <c:pt idx="660">
                  <c:v>54.17</c:v>
                </c:pt>
                <c:pt idx="661">
                  <c:v>53.54</c:v>
                </c:pt>
                <c:pt idx="662">
                  <c:v>53.31</c:v>
                </c:pt>
                <c:pt idx="663">
                  <c:v>53.32</c:v>
                </c:pt>
                <c:pt idx="664">
                  <c:v>52.3</c:v>
                </c:pt>
                <c:pt idx="665">
                  <c:v>51.42</c:v>
                </c:pt>
                <c:pt idx="666">
                  <c:v>52.19</c:v>
                </c:pt>
                <c:pt idx="667">
                  <c:v>52.25</c:v>
                </c:pt>
                <c:pt idx="668">
                  <c:v>51.38</c:v>
                </c:pt>
                <c:pt idx="669">
                  <c:v>51.04</c:v>
                </c:pt>
                <c:pt idx="670">
                  <c:v>51.62</c:v>
                </c:pt>
                <c:pt idx="671">
                  <c:v>50.66</c:v>
                </c:pt>
                <c:pt idx="672">
                  <c:v>53.12</c:v>
                </c:pt>
                <c:pt idx="673">
                  <c:v>53.16</c:v>
                </c:pt>
                <c:pt idx="674">
                  <c:v>52.59</c:v>
                </c:pt>
                <c:pt idx="675">
                  <c:v>52.59</c:v>
                </c:pt>
                <c:pt idx="676">
                  <c:v>51.62</c:v>
                </c:pt>
                <c:pt idx="677">
                  <c:v>50.44</c:v>
                </c:pt>
                <c:pt idx="678">
                  <c:v>50.69</c:v>
                </c:pt>
                <c:pt idx="679">
                  <c:v>52.24</c:v>
                </c:pt>
                <c:pt idx="680">
                  <c:v>50.12</c:v>
                </c:pt>
                <c:pt idx="681">
                  <c:v>50.25</c:v>
                </c:pt>
                <c:pt idx="682">
                  <c:v>50.86</c:v>
                </c:pt>
                <c:pt idx="683">
                  <c:v>49.76</c:v>
                </c:pt>
                <c:pt idx="684">
                  <c:v>49.25</c:v>
                </c:pt>
                <c:pt idx="685">
                  <c:v>48.33</c:v>
                </c:pt>
                <c:pt idx="686">
                  <c:v>51.01</c:v>
                </c:pt>
                <c:pt idx="687">
                  <c:v>52.11</c:v>
                </c:pt>
                <c:pt idx="688">
                  <c:v>53.26</c:v>
                </c:pt>
                <c:pt idx="689">
                  <c:v>52.2</c:v>
                </c:pt>
                <c:pt idx="690">
                  <c:v>52.42</c:v>
                </c:pt>
                <c:pt idx="691">
                  <c:v>51.94</c:v>
                </c:pt>
                <c:pt idx="692">
                  <c:v>51.76</c:v>
                </c:pt>
                <c:pt idx="693">
                  <c:v>52.17</c:v>
                </c:pt>
                <c:pt idx="694">
                  <c:v>52.21</c:v>
                </c:pt>
                <c:pt idx="695">
                  <c:v>51.8</c:v>
                </c:pt>
                <c:pt idx="696">
                  <c:v>50.65</c:v>
                </c:pt>
                <c:pt idx="697">
                  <c:v>51.42</c:v>
                </c:pt>
                <c:pt idx="698">
                  <c:v>50.84</c:v>
                </c:pt>
                <c:pt idx="699">
                  <c:v>51.12</c:v>
                </c:pt>
                <c:pt idx="700">
                  <c:v>51.3</c:v>
                </c:pt>
                <c:pt idx="701">
                  <c:v>50.83</c:v>
                </c:pt>
                <c:pt idx="702">
                  <c:v>50.44</c:v>
                </c:pt>
                <c:pt idx="703">
                  <c:v>50.81</c:v>
                </c:pt>
                <c:pt idx="704">
                  <c:v>50.31</c:v>
                </c:pt>
                <c:pt idx="705">
                  <c:v>50.01</c:v>
                </c:pt>
                <c:pt idx="706">
                  <c:v>51.06</c:v>
                </c:pt>
                <c:pt idx="707">
                  <c:v>51.1</c:v>
                </c:pt>
                <c:pt idx="708">
                  <c:v>50.68</c:v>
                </c:pt>
                <c:pt idx="709">
                  <c:v>50.39</c:v>
                </c:pt>
                <c:pt idx="710">
                  <c:v>49.48</c:v>
                </c:pt>
                <c:pt idx="711">
                  <c:v>49.94</c:v>
                </c:pt>
                <c:pt idx="712">
                  <c:v>49.95</c:v>
                </c:pt>
                <c:pt idx="713">
                  <c:v>48.89</c:v>
                </c:pt>
                <c:pt idx="714">
                  <c:v>49.65</c:v>
                </c:pt>
                <c:pt idx="715">
                  <c:v>49.7</c:v>
                </c:pt>
                <c:pt idx="716">
                  <c:v>49.87</c:v>
                </c:pt>
                <c:pt idx="717">
                  <c:v>49.47</c:v>
                </c:pt>
                <c:pt idx="718">
                  <c:v>49.61</c:v>
                </c:pt>
                <c:pt idx="719">
                  <c:v>48.47</c:v>
                </c:pt>
                <c:pt idx="720">
                  <c:v>48.19</c:v>
                </c:pt>
                <c:pt idx="721">
                  <c:v>48.54</c:v>
                </c:pt>
                <c:pt idx="722">
                  <c:v>48.55</c:v>
                </c:pt>
                <c:pt idx="723">
                  <c:v>48.7</c:v>
                </c:pt>
                <c:pt idx="724">
                  <c:v>48.15</c:v>
                </c:pt>
                <c:pt idx="725">
                  <c:v>47.54</c:v>
                </c:pt>
                <c:pt idx="726">
                  <c:v>46.3</c:v>
                </c:pt>
                <c:pt idx="727">
                  <c:v>45.63</c:v>
                </c:pt>
                <c:pt idx="728">
                  <c:v>44.91</c:v>
                </c:pt>
                <c:pt idx="729">
                  <c:v>43.33</c:v>
                </c:pt>
                <c:pt idx="730">
                  <c:v>43.77</c:v>
                </c:pt>
                <c:pt idx="731">
                  <c:v>44.58</c:v>
                </c:pt>
                <c:pt idx="732">
                  <c:v>44.35</c:v>
                </c:pt>
                <c:pt idx="733">
                  <c:v>44.56</c:v>
                </c:pt>
                <c:pt idx="734">
                  <c:v>44.74</c:v>
                </c:pt>
                <c:pt idx="735">
                  <c:v>44.92</c:v>
                </c:pt>
                <c:pt idx="736">
                  <c:v>45.7</c:v>
                </c:pt>
                <c:pt idx="737">
                  <c:v>46.65</c:v>
                </c:pt>
                <c:pt idx="738">
                  <c:v>45.77</c:v>
                </c:pt>
                <c:pt idx="739">
                  <c:v>47.25</c:v>
                </c:pt>
                <c:pt idx="740">
                  <c:v>47.52</c:v>
                </c:pt>
                <c:pt idx="741">
                  <c:v>47.73</c:v>
                </c:pt>
                <c:pt idx="742">
                  <c:v>47.17</c:v>
                </c:pt>
                <c:pt idx="743">
                  <c:v>46.43</c:v>
                </c:pt>
                <c:pt idx="744">
                  <c:v>49.29</c:v>
                </c:pt>
                <c:pt idx="745">
                  <c:v>50.18</c:v>
                </c:pt>
                <c:pt idx="746">
                  <c:v>50.72</c:v>
                </c:pt>
                <c:pt idx="747">
                  <c:v>50.72</c:v>
                </c:pt>
                <c:pt idx="748">
                  <c:v>52.12</c:v>
                </c:pt>
                <c:pt idx="749">
                  <c:v>52.94</c:v>
                </c:pt>
                <c:pt idx="750">
                  <c:v>52.29</c:v>
                </c:pt>
                <c:pt idx="751">
                  <c:v>52.63</c:v>
                </c:pt>
                <c:pt idx="752">
                  <c:v>50.17</c:v>
                </c:pt>
                <c:pt idx="753">
                  <c:v>51.15</c:v>
                </c:pt>
                <c:pt idx="754">
                  <c:v>51.08</c:v>
                </c:pt>
                <c:pt idx="755">
                  <c:v>51.32</c:v>
                </c:pt>
                <c:pt idx="756">
                  <c:v>51.79</c:v>
                </c:pt>
                <c:pt idx="757">
                  <c:v>51.87</c:v>
                </c:pt>
                <c:pt idx="758">
                  <c:v>51.13</c:v>
                </c:pt>
                <c:pt idx="759">
                  <c:v>50.97</c:v>
                </c:pt>
                <c:pt idx="760">
                  <c:v>50.78</c:v>
                </c:pt>
                <c:pt idx="761">
                  <c:v>49.81</c:v>
                </c:pt>
                <c:pt idx="762">
                  <c:v>49.81</c:v>
                </c:pt>
                <c:pt idx="763">
                  <c:v>49.72</c:v>
                </c:pt>
                <c:pt idx="764">
                  <c:v>49.74</c:v>
                </c:pt>
                <c:pt idx="765">
                  <c:v>50.15</c:v>
                </c:pt>
                <c:pt idx="766">
                  <c:v>49.88</c:v>
                </c:pt>
                <c:pt idx="767">
                  <c:v>50.03</c:v>
                </c:pt>
                <c:pt idx="768">
                  <c:v>49.25</c:v>
                </c:pt>
                <c:pt idx="769">
                  <c:v>48.92</c:v>
                </c:pt>
                <c:pt idx="770">
                  <c:v>48.84</c:v>
                </c:pt>
                <c:pt idx="771">
                  <c:v>48.51</c:v>
                </c:pt>
                <c:pt idx="772">
                  <c:v>47.81</c:v>
                </c:pt>
                <c:pt idx="773">
                  <c:v>47.49</c:v>
                </c:pt>
                <c:pt idx="774">
                  <c:v>47.18</c:v>
                </c:pt>
                <c:pt idx="775">
                  <c:v>47.12</c:v>
                </c:pt>
                <c:pt idx="776">
                  <c:v>46.7</c:v>
                </c:pt>
                <c:pt idx="777">
                  <c:v>47.19</c:v>
                </c:pt>
                <c:pt idx="778">
                  <c:v>47.76</c:v>
                </c:pt>
                <c:pt idx="779">
                  <c:v>48.77</c:v>
                </c:pt>
                <c:pt idx="780">
                  <c:v>47.04</c:v>
                </c:pt>
                <c:pt idx="781">
                  <c:v>46.63</c:v>
                </c:pt>
                <c:pt idx="782">
                  <c:v>47.01</c:v>
                </c:pt>
                <c:pt idx="783">
                  <c:v>46.53</c:v>
                </c:pt>
                <c:pt idx="784">
                  <c:v>45.93</c:v>
                </c:pt>
                <c:pt idx="785">
                  <c:v>45.43</c:v>
                </c:pt>
                <c:pt idx="786">
                  <c:v>45.23</c:v>
                </c:pt>
                <c:pt idx="787">
                  <c:v>44.72</c:v>
                </c:pt>
                <c:pt idx="788">
                  <c:v>43.23</c:v>
                </c:pt>
                <c:pt idx="789">
                  <c:v>43.12</c:v>
                </c:pt>
                <c:pt idx="790">
                  <c:v>43.63</c:v>
                </c:pt>
                <c:pt idx="791">
                  <c:v>43.88</c:v>
                </c:pt>
                <c:pt idx="792">
                  <c:v>43.96</c:v>
                </c:pt>
                <c:pt idx="793">
                  <c:v>43.74</c:v>
                </c:pt>
                <c:pt idx="794">
                  <c:v>43.29</c:v>
                </c:pt>
                <c:pt idx="795">
                  <c:v>43.72</c:v>
                </c:pt>
                <c:pt idx="796">
                  <c:v>43.58</c:v>
                </c:pt>
                <c:pt idx="797">
                  <c:v>43.56</c:v>
                </c:pt>
                <c:pt idx="798">
                  <c:v>43.24</c:v>
                </c:pt>
                <c:pt idx="799">
                  <c:v>42.76</c:v>
                </c:pt>
                <c:pt idx="800">
                  <c:v>43.01</c:v>
                </c:pt>
                <c:pt idx="801">
                  <c:v>42.73</c:v>
                </c:pt>
                <c:pt idx="802">
                  <c:v>42.6</c:v>
                </c:pt>
                <c:pt idx="803">
                  <c:v>42.7</c:v>
                </c:pt>
                <c:pt idx="804">
                  <c:v>42.54</c:v>
                </c:pt>
                <c:pt idx="805">
                  <c:v>42.72</c:v>
                </c:pt>
                <c:pt idx="806">
                  <c:v>42.36</c:v>
                </c:pt>
                <c:pt idx="807">
                  <c:v>42.6</c:v>
                </c:pt>
                <c:pt idx="808">
                  <c:v>42.74</c:v>
                </c:pt>
                <c:pt idx="809">
                  <c:v>43.56</c:v>
                </c:pt>
                <c:pt idx="810">
                  <c:v>43.54</c:v>
                </c:pt>
                <c:pt idx="811">
                  <c:v>42.81</c:v>
                </c:pt>
                <c:pt idx="812">
                  <c:v>41.63</c:v>
                </c:pt>
                <c:pt idx="813">
                  <c:v>41.61</c:v>
                </c:pt>
                <c:pt idx="814">
                  <c:v>41.31</c:v>
                </c:pt>
                <c:pt idx="815">
                  <c:v>38.67</c:v>
                </c:pt>
                <c:pt idx="816">
                  <c:v>39.08</c:v>
                </c:pt>
                <c:pt idx="817">
                  <c:v>39.44</c:v>
                </c:pt>
                <c:pt idx="818">
                  <c:v>38.17</c:v>
                </c:pt>
                <c:pt idx="819">
                  <c:v>38.479999999999997</c:v>
                </c:pt>
                <c:pt idx="820">
                  <c:v>38.33</c:v>
                </c:pt>
                <c:pt idx="821">
                  <c:v>39.21</c:v>
                </c:pt>
                <c:pt idx="822">
                  <c:v>38.97</c:v>
                </c:pt>
                <c:pt idx="823">
                  <c:v>38.74</c:v>
                </c:pt>
                <c:pt idx="824">
                  <c:v>38.270000000000003</c:v>
                </c:pt>
                <c:pt idx="825">
                  <c:v>37.5</c:v>
                </c:pt>
                <c:pt idx="826">
                  <c:v>38.07</c:v>
                </c:pt>
                <c:pt idx="827">
                  <c:v>38.450000000000003</c:v>
                </c:pt>
                <c:pt idx="828">
                  <c:v>38.33</c:v>
                </c:pt>
                <c:pt idx="829">
                  <c:v>37.69</c:v>
                </c:pt>
                <c:pt idx="830">
                  <c:v>36.979999999999997</c:v>
                </c:pt>
                <c:pt idx="831">
                  <c:v>37.06</c:v>
                </c:pt>
                <c:pt idx="832">
                  <c:v>35.549999999999997</c:v>
                </c:pt>
                <c:pt idx="833">
                  <c:v>39.479999999999997</c:v>
                </c:pt>
                <c:pt idx="834">
                  <c:v>39.44</c:v>
                </c:pt>
                <c:pt idx="835">
                  <c:v>39.06</c:v>
                </c:pt>
                <c:pt idx="836">
                  <c:v>39.04</c:v>
                </c:pt>
                <c:pt idx="837">
                  <c:v>39.29</c:v>
                </c:pt>
                <c:pt idx="838">
                  <c:v>36.71</c:v>
                </c:pt>
                <c:pt idx="839">
                  <c:v>37.68</c:v>
                </c:pt>
                <c:pt idx="840">
                  <c:v>39.21</c:v>
                </c:pt>
                <c:pt idx="841">
                  <c:v>40.22</c:v>
                </c:pt>
                <c:pt idx="842">
                  <c:v>41.52</c:v>
                </c:pt>
                <c:pt idx="843">
                  <c:v>40.99</c:v>
                </c:pt>
                <c:pt idx="844">
                  <c:v>41.37</c:v>
                </c:pt>
                <c:pt idx="845">
                  <c:v>42.74</c:v>
                </c:pt>
                <c:pt idx="846">
                  <c:v>42.28</c:v>
                </c:pt>
                <c:pt idx="847">
                  <c:v>42.16</c:v>
                </c:pt>
                <c:pt idx="848">
                  <c:v>42.4</c:v>
                </c:pt>
                <c:pt idx="849">
                  <c:v>42.12</c:v>
                </c:pt>
                <c:pt idx="850">
                  <c:v>43.68</c:v>
                </c:pt>
                <c:pt idx="851">
                  <c:v>44.17</c:v>
                </c:pt>
                <c:pt idx="852">
                  <c:v>46.21</c:v>
                </c:pt>
                <c:pt idx="853">
                  <c:v>44.65</c:v>
                </c:pt>
                <c:pt idx="854">
                  <c:v>44.89</c:v>
                </c:pt>
                <c:pt idx="855">
                  <c:v>45.24</c:v>
                </c:pt>
                <c:pt idx="856">
                  <c:v>43.56</c:v>
                </c:pt>
                <c:pt idx="857">
                  <c:v>43.65</c:v>
                </c:pt>
                <c:pt idx="858">
                  <c:v>43.07</c:v>
                </c:pt>
                <c:pt idx="859">
                  <c:v>44.2</c:v>
                </c:pt>
                <c:pt idx="860">
                  <c:v>44.24</c:v>
                </c:pt>
                <c:pt idx="861">
                  <c:v>46.47</c:v>
                </c:pt>
                <c:pt idx="862">
                  <c:v>48.38</c:v>
                </c:pt>
                <c:pt idx="863">
                  <c:v>47.85</c:v>
                </c:pt>
                <c:pt idx="864">
                  <c:v>46.7</c:v>
                </c:pt>
                <c:pt idx="865">
                  <c:v>48.06</c:v>
                </c:pt>
                <c:pt idx="866">
                  <c:v>48.54</c:v>
                </c:pt>
                <c:pt idx="867">
                  <c:v>51.12</c:v>
                </c:pt>
                <c:pt idx="868">
                  <c:v>52.12</c:v>
                </c:pt>
                <c:pt idx="869">
                  <c:v>52.49</c:v>
                </c:pt>
                <c:pt idx="870">
                  <c:v>50.94</c:v>
                </c:pt>
                <c:pt idx="871">
                  <c:v>50.4</c:v>
                </c:pt>
                <c:pt idx="872">
                  <c:v>51.87</c:v>
                </c:pt>
                <c:pt idx="873">
                  <c:v>55.55</c:v>
                </c:pt>
                <c:pt idx="874">
                  <c:v>54.72</c:v>
                </c:pt>
                <c:pt idx="875">
                  <c:v>53.33</c:v>
                </c:pt>
                <c:pt idx="876">
                  <c:v>53.06</c:v>
                </c:pt>
                <c:pt idx="877">
                  <c:v>54.08</c:v>
                </c:pt>
                <c:pt idx="878">
                  <c:v>54.95</c:v>
                </c:pt>
                <c:pt idx="879">
                  <c:v>53.77</c:v>
                </c:pt>
                <c:pt idx="880">
                  <c:v>55.68</c:v>
                </c:pt>
                <c:pt idx="881">
                  <c:v>55.16</c:v>
                </c:pt>
                <c:pt idx="882">
                  <c:v>54.83</c:v>
                </c:pt>
                <c:pt idx="883">
                  <c:v>54.01</c:v>
                </c:pt>
                <c:pt idx="884">
                  <c:v>55.3</c:v>
                </c:pt>
                <c:pt idx="885">
                  <c:v>55.54</c:v>
                </c:pt>
                <c:pt idx="886">
                  <c:v>54.34</c:v>
                </c:pt>
                <c:pt idx="887">
                  <c:v>55.53</c:v>
                </c:pt>
                <c:pt idx="888">
                  <c:v>53.61</c:v>
                </c:pt>
                <c:pt idx="889">
                  <c:v>54.09</c:v>
                </c:pt>
                <c:pt idx="890">
                  <c:v>56.72</c:v>
                </c:pt>
                <c:pt idx="891">
                  <c:v>55.94</c:v>
                </c:pt>
                <c:pt idx="892">
                  <c:v>56.07</c:v>
                </c:pt>
                <c:pt idx="893">
                  <c:v>57</c:v>
                </c:pt>
                <c:pt idx="894">
                  <c:v>58.02</c:v>
                </c:pt>
                <c:pt idx="895">
                  <c:v>57.32</c:v>
                </c:pt>
                <c:pt idx="896">
                  <c:v>56.81</c:v>
                </c:pt>
                <c:pt idx="897">
                  <c:v>56.44</c:v>
                </c:pt>
                <c:pt idx="898">
                  <c:v>56.24</c:v>
                </c:pt>
                <c:pt idx="899">
                  <c:v>55.1</c:v>
                </c:pt>
                <c:pt idx="900">
                  <c:v>55.55</c:v>
                </c:pt>
                <c:pt idx="901">
                  <c:v>55.2</c:v>
                </c:pt>
                <c:pt idx="902">
                  <c:v>54.42</c:v>
                </c:pt>
                <c:pt idx="903">
                  <c:v>55.01</c:v>
                </c:pt>
                <c:pt idx="904">
                  <c:v>54.59</c:v>
                </c:pt>
                <c:pt idx="905">
                  <c:v>54.56</c:v>
                </c:pt>
                <c:pt idx="906">
                  <c:v>54.47</c:v>
                </c:pt>
                <c:pt idx="907">
                  <c:v>55.96</c:v>
                </c:pt>
                <c:pt idx="908">
                  <c:v>56.6</c:v>
                </c:pt>
                <c:pt idx="909">
                  <c:v>55.27</c:v>
                </c:pt>
                <c:pt idx="910">
                  <c:v>55.96</c:v>
                </c:pt>
                <c:pt idx="911">
                  <c:v>54.58</c:v>
                </c:pt>
                <c:pt idx="912">
                  <c:v>55.33</c:v>
                </c:pt>
                <c:pt idx="913">
                  <c:v>55.78</c:v>
                </c:pt>
                <c:pt idx="914">
                  <c:v>56.72</c:v>
                </c:pt>
                <c:pt idx="915">
                  <c:v>57.09</c:v>
                </c:pt>
                <c:pt idx="916">
                  <c:v>56.91</c:v>
                </c:pt>
                <c:pt idx="917">
                  <c:v>56.26</c:v>
                </c:pt>
                <c:pt idx="918">
                  <c:v>55.74</c:v>
                </c:pt>
                <c:pt idx="919">
                  <c:v>54.92</c:v>
                </c:pt>
                <c:pt idx="920">
                  <c:v>54.49</c:v>
                </c:pt>
                <c:pt idx="921">
                  <c:v>54.04</c:v>
                </c:pt>
                <c:pt idx="922">
                  <c:v>53.87</c:v>
                </c:pt>
                <c:pt idx="923">
                  <c:v>53.76</c:v>
                </c:pt>
                <c:pt idx="924">
                  <c:v>53.76</c:v>
                </c:pt>
                <c:pt idx="925">
                  <c:v>53.87</c:v>
                </c:pt>
                <c:pt idx="926">
                  <c:v>54.4</c:v>
                </c:pt>
                <c:pt idx="927">
                  <c:v>53.33</c:v>
                </c:pt>
                <c:pt idx="928">
                  <c:v>52.56</c:v>
                </c:pt>
                <c:pt idx="929">
                  <c:v>52.44</c:v>
                </c:pt>
                <c:pt idx="930">
                  <c:v>52.22</c:v>
                </c:pt>
                <c:pt idx="931">
                  <c:v>51.88</c:v>
                </c:pt>
                <c:pt idx="932">
                  <c:v>52.22</c:v>
                </c:pt>
                <c:pt idx="933">
                  <c:v>51.81</c:v>
                </c:pt>
                <c:pt idx="934">
                  <c:v>51.78</c:v>
                </c:pt>
                <c:pt idx="935">
                  <c:v>52.27</c:v>
                </c:pt>
                <c:pt idx="936">
                  <c:v>52</c:v>
                </c:pt>
                <c:pt idx="937">
                  <c:v>51.85</c:v>
                </c:pt>
                <c:pt idx="938">
                  <c:v>50.38</c:v>
                </c:pt>
                <c:pt idx="939">
                  <c:v>47.57</c:v>
                </c:pt>
                <c:pt idx="940">
                  <c:v>47.48</c:v>
                </c:pt>
                <c:pt idx="941">
                  <c:v>47.74</c:v>
                </c:pt>
                <c:pt idx="942">
                  <c:v>48.55</c:v>
                </c:pt>
                <c:pt idx="943">
                  <c:v>48.71</c:v>
                </c:pt>
                <c:pt idx="944">
                  <c:v>48.25</c:v>
                </c:pt>
                <c:pt idx="945">
                  <c:v>47.9</c:v>
                </c:pt>
                <c:pt idx="946">
                  <c:v>47.86</c:v>
                </c:pt>
                <c:pt idx="947">
                  <c:v>47.97</c:v>
                </c:pt>
                <c:pt idx="948">
                  <c:v>47.6</c:v>
                </c:pt>
                <c:pt idx="949">
                  <c:v>47.86</c:v>
                </c:pt>
                <c:pt idx="950">
                  <c:v>47.73</c:v>
                </c:pt>
                <c:pt idx="951">
                  <c:v>47.83</c:v>
                </c:pt>
                <c:pt idx="952">
                  <c:v>47.76</c:v>
                </c:pt>
                <c:pt idx="953">
                  <c:v>46.97</c:v>
                </c:pt>
                <c:pt idx="954">
                  <c:v>47.59</c:v>
                </c:pt>
                <c:pt idx="955">
                  <c:v>47.65</c:v>
                </c:pt>
                <c:pt idx="956">
                  <c:v>46.99</c:v>
                </c:pt>
                <c:pt idx="957">
                  <c:v>46.35</c:v>
                </c:pt>
                <c:pt idx="958">
                  <c:v>45.98</c:v>
                </c:pt>
                <c:pt idx="959">
                  <c:v>46.79</c:v>
                </c:pt>
                <c:pt idx="960">
                  <c:v>46.28</c:v>
                </c:pt>
                <c:pt idx="961">
                  <c:v>46.38</c:v>
                </c:pt>
                <c:pt idx="962">
                  <c:v>46.04</c:v>
                </c:pt>
                <c:pt idx="963">
                  <c:v>46.11</c:v>
                </c:pt>
                <c:pt idx="964">
                  <c:v>45.54</c:v>
                </c:pt>
                <c:pt idx="965">
                  <c:v>46.23</c:v>
                </c:pt>
                <c:pt idx="966">
                  <c:v>46.37</c:v>
                </c:pt>
                <c:pt idx="967">
                  <c:v>46.62</c:v>
                </c:pt>
                <c:pt idx="968">
                  <c:v>46.42</c:v>
                </c:pt>
                <c:pt idx="969">
                  <c:v>47.19</c:v>
                </c:pt>
                <c:pt idx="970">
                  <c:v>47.21</c:v>
                </c:pt>
                <c:pt idx="971">
                  <c:v>47.7</c:v>
                </c:pt>
                <c:pt idx="972">
                  <c:v>47.67</c:v>
                </c:pt>
                <c:pt idx="973">
                  <c:v>48.07</c:v>
                </c:pt>
                <c:pt idx="974">
                  <c:v>47.81</c:v>
                </c:pt>
                <c:pt idx="975">
                  <c:v>47.92</c:v>
                </c:pt>
                <c:pt idx="976">
                  <c:v>48.37</c:v>
                </c:pt>
                <c:pt idx="977">
                  <c:v>48.49</c:v>
                </c:pt>
                <c:pt idx="978">
                  <c:v>48.33</c:v>
                </c:pt>
                <c:pt idx="979">
                  <c:v>47.96</c:v>
                </c:pt>
                <c:pt idx="980">
                  <c:v>47.56</c:v>
                </c:pt>
                <c:pt idx="981">
                  <c:v>46.72</c:v>
                </c:pt>
                <c:pt idx="982">
                  <c:v>46.88</c:v>
                </c:pt>
                <c:pt idx="983">
                  <c:v>46.97</c:v>
                </c:pt>
                <c:pt idx="984">
                  <c:v>47.15</c:v>
                </c:pt>
                <c:pt idx="985">
                  <c:v>47.04</c:v>
                </c:pt>
                <c:pt idx="986">
                  <c:v>47.09</c:v>
                </c:pt>
                <c:pt idx="987">
                  <c:v>46.79</c:v>
                </c:pt>
                <c:pt idx="988">
                  <c:v>46.91</c:v>
                </c:pt>
                <c:pt idx="989">
                  <c:v>46.58</c:v>
                </c:pt>
                <c:pt idx="990">
                  <c:v>46.75</c:v>
                </c:pt>
                <c:pt idx="991">
                  <c:v>47.04</c:v>
                </c:pt>
                <c:pt idx="992">
                  <c:v>46.61</c:v>
                </c:pt>
                <c:pt idx="993">
                  <c:v>47.04</c:v>
                </c:pt>
                <c:pt idx="994">
                  <c:v>47.15</c:v>
                </c:pt>
                <c:pt idx="995">
                  <c:v>47.51</c:v>
                </c:pt>
                <c:pt idx="996">
                  <c:v>46.84</c:v>
                </c:pt>
                <c:pt idx="997">
                  <c:v>46.51</c:v>
                </c:pt>
                <c:pt idx="998">
                  <c:v>46.29</c:v>
                </c:pt>
                <c:pt idx="999">
                  <c:v>45.96</c:v>
                </c:pt>
                <c:pt idx="1000">
                  <c:v>44.22</c:v>
                </c:pt>
                <c:pt idx="1001">
                  <c:v>44.14</c:v>
                </c:pt>
                <c:pt idx="1002">
                  <c:v>42.28</c:v>
                </c:pt>
                <c:pt idx="1003">
                  <c:v>41.31</c:v>
                </c:pt>
                <c:pt idx="1004">
                  <c:v>40.58</c:v>
                </c:pt>
                <c:pt idx="1005">
                  <c:v>41.05</c:v>
                </c:pt>
                <c:pt idx="1006">
                  <c:v>40.909999999999997</c:v>
                </c:pt>
                <c:pt idx="1007">
                  <c:v>40.74</c:v>
                </c:pt>
                <c:pt idx="1008">
                  <c:v>41.31</c:v>
                </c:pt>
                <c:pt idx="1009">
                  <c:v>41.43</c:v>
                </c:pt>
                <c:pt idx="1010">
                  <c:v>43.2</c:v>
                </c:pt>
                <c:pt idx="1011">
                  <c:v>44.46</c:v>
                </c:pt>
                <c:pt idx="1012">
                  <c:v>44.56</c:v>
                </c:pt>
                <c:pt idx="1013">
                  <c:v>43.96</c:v>
                </c:pt>
                <c:pt idx="1014">
                  <c:v>43.68</c:v>
                </c:pt>
                <c:pt idx="1015">
                  <c:v>43.53</c:v>
                </c:pt>
                <c:pt idx="1016">
                  <c:v>43.11</c:v>
                </c:pt>
                <c:pt idx="1017">
                  <c:v>43.31</c:v>
                </c:pt>
                <c:pt idx="1018">
                  <c:v>42.51</c:v>
                </c:pt>
                <c:pt idx="1019">
                  <c:v>42.1</c:v>
                </c:pt>
                <c:pt idx="1020">
                  <c:v>43.2</c:v>
                </c:pt>
                <c:pt idx="1021">
                  <c:v>42.9</c:v>
                </c:pt>
                <c:pt idx="1022">
                  <c:v>42.1</c:v>
                </c:pt>
                <c:pt idx="1023">
                  <c:v>41.67</c:v>
                </c:pt>
                <c:pt idx="1024">
                  <c:v>41.95</c:v>
                </c:pt>
                <c:pt idx="1025">
                  <c:v>41.62</c:v>
                </c:pt>
                <c:pt idx="1026">
                  <c:v>42.08</c:v>
                </c:pt>
                <c:pt idx="1027">
                  <c:v>43.19</c:v>
                </c:pt>
                <c:pt idx="1028">
                  <c:v>41.24</c:v>
                </c:pt>
                <c:pt idx="1029">
                  <c:v>42.21</c:v>
                </c:pt>
                <c:pt idx="1030">
                  <c:v>42.82</c:v>
                </c:pt>
                <c:pt idx="1031">
                  <c:v>43.81</c:v>
                </c:pt>
                <c:pt idx="1032">
                  <c:v>43.83</c:v>
                </c:pt>
                <c:pt idx="1033">
                  <c:v>44.51</c:v>
                </c:pt>
                <c:pt idx="1034">
                  <c:v>44.66</c:v>
                </c:pt>
                <c:pt idx="1035">
                  <c:v>44.61</c:v>
                </c:pt>
                <c:pt idx="1036">
                  <c:v>44.99</c:v>
                </c:pt>
                <c:pt idx="1037">
                  <c:v>45.43</c:v>
                </c:pt>
                <c:pt idx="1038">
                  <c:v>44.99</c:v>
                </c:pt>
                <c:pt idx="1039">
                  <c:v>44.24</c:v>
                </c:pt>
                <c:pt idx="1040">
                  <c:v>43.76</c:v>
                </c:pt>
                <c:pt idx="1041">
                  <c:v>44.17</c:v>
                </c:pt>
                <c:pt idx="1042">
                  <c:v>44.21</c:v>
                </c:pt>
                <c:pt idx="1043">
                  <c:v>44.05</c:v>
                </c:pt>
                <c:pt idx="1044">
                  <c:v>43.75</c:v>
                </c:pt>
                <c:pt idx="1045">
                  <c:v>44.53</c:v>
                </c:pt>
                <c:pt idx="1046">
                  <c:v>44.6</c:v>
                </c:pt>
                <c:pt idx="1047">
                  <c:v>44.74</c:v>
                </c:pt>
                <c:pt idx="1048">
                  <c:v>43.88</c:v>
                </c:pt>
                <c:pt idx="1049">
                  <c:v>43.12</c:v>
                </c:pt>
                <c:pt idx="1050">
                  <c:v>42.77</c:v>
                </c:pt>
                <c:pt idx="1051">
                  <c:v>42.96</c:v>
                </c:pt>
                <c:pt idx="1052">
                  <c:v>43.11</c:v>
                </c:pt>
                <c:pt idx="1053">
                  <c:v>43.25</c:v>
                </c:pt>
                <c:pt idx="1054">
                  <c:v>41.84</c:v>
                </c:pt>
                <c:pt idx="1055">
                  <c:v>41.08</c:v>
                </c:pt>
                <c:pt idx="1056">
                  <c:v>40.68</c:v>
                </c:pt>
                <c:pt idx="1057">
                  <c:v>39.1</c:v>
                </c:pt>
                <c:pt idx="1058">
                  <c:v>38.79</c:v>
                </c:pt>
                <c:pt idx="1059">
                  <c:v>39.880000000000003</c:v>
                </c:pt>
                <c:pt idx="1060">
                  <c:v>40.76</c:v>
                </c:pt>
                <c:pt idx="1061">
                  <c:v>39.119999999999997</c:v>
                </c:pt>
                <c:pt idx="1062">
                  <c:v>40.119999999999997</c:v>
                </c:pt>
                <c:pt idx="1063">
                  <c:v>41.95</c:v>
                </c:pt>
                <c:pt idx="1064">
                  <c:v>41.86</c:v>
                </c:pt>
                <c:pt idx="1065">
                  <c:v>41.74</c:v>
                </c:pt>
                <c:pt idx="1066">
                  <c:v>41.99</c:v>
                </c:pt>
                <c:pt idx="1067">
                  <c:v>42.88</c:v>
                </c:pt>
                <c:pt idx="1068">
                  <c:v>42.78</c:v>
                </c:pt>
                <c:pt idx="1069">
                  <c:v>43.55</c:v>
                </c:pt>
                <c:pt idx="1070">
                  <c:v>44.26</c:v>
                </c:pt>
                <c:pt idx="1071">
                  <c:v>44.25</c:v>
                </c:pt>
                <c:pt idx="1072">
                  <c:v>44.62</c:v>
                </c:pt>
                <c:pt idx="1073">
                  <c:v>44.81</c:v>
                </c:pt>
                <c:pt idx="1074">
                  <c:v>44.78</c:v>
                </c:pt>
                <c:pt idx="1075">
                  <c:v>44.05</c:v>
                </c:pt>
                <c:pt idx="1076">
                  <c:v>44.27</c:v>
                </c:pt>
                <c:pt idx="1077">
                  <c:v>43.82</c:v>
                </c:pt>
                <c:pt idx="1078">
                  <c:v>43.57</c:v>
                </c:pt>
                <c:pt idx="1079">
                  <c:v>43.58</c:v>
                </c:pt>
                <c:pt idx="1080">
                  <c:v>43.59</c:v>
                </c:pt>
                <c:pt idx="1081">
                  <c:v>43.75</c:v>
                </c:pt>
                <c:pt idx="1082">
                  <c:v>43.26</c:v>
                </c:pt>
                <c:pt idx="1083">
                  <c:v>43.06</c:v>
                </c:pt>
                <c:pt idx="1084">
                  <c:v>43.06</c:v>
                </c:pt>
                <c:pt idx="1085">
                  <c:v>42.31</c:v>
                </c:pt>
                <c:pt idx="1086">
                  <c:v>42.77</c:v>
                </c:pt>
                <c:pt idx="1087">
                  <c:v>42.65</c:v>
                </c:pt>
                <c:pt idx="1088">
                  <c:v>42.64</c:v>
                </c:pt>
                <c:pt idx="1089">
                  <c:v>43.75</c:v>
                </c:pt>
                <c:pt idx="1090">
                  <c:v>43.75</c:v>
                </c:pt>
                <c:pt idx="1091">
                  <c:v>43.59</c:v>
                </c:pt>
                <c:pt idx="1092">
                  <c:v>43.63</c:v>
                </c:pt>
                <c:pt idx="1093">
                  <c:v>44.1</c:v>
                </c:pt>
                <c:pt idx="1094">
                  <c:v>43.49</c:v>
                </c:pt>
                <c:pt idx="1095">
                  <c:v>43.05</c:v>
                </c:pt>
                <c:pt idx="1096">
                  <c:v>43.07</c:v>
                </c:pt>
                <c:pt idx="1097">
                  <c:v>42.92</c:v>
                </c:pt>
                <c:pt idx="1098">
                  <c:v>43.17</c:v>
                </c:pt>
                <c:pt idx="1099">
                  <c:v>42.34</c:v>
                </c:pt>
                <c:pt idx="1100">
                  <c:v>42.33</c:v>
                </c:pt>
                <c:pt idx="1101">
                  <c:v>42.25</c:v>
                </c:pt>
                <c:pt idx="1102">
                  <c:v>42.41</c:v>
                </c:pt>
                <c:pt idx="1103">
                  <c:v>42.45</c:v>
                </c:pt>
                <c:pt idx="1104">
                  <c:v>42.76</c:v>
                </c:pt>
                <c:pt idx="1105">
                  <c:v>42.96</c:v>
                </c:pt>
                <c:pt idx="1106">
                  <c:v>42.37</c:v>
                </c:pt>
                <c:pt idx="1107">
                  <c:v>43.27</c:v>
                </c:pt>
                <c:pt idx="1108">
                  <c:v>43.52</c:v>
                </c:pt>
                <c:pt idx="1109">
                  <c:v>43.74</c:v>
                </c:pt>
                <c:pt idx="1110">
                  <c:v>43.74</c:v>
                </c:pt>
                <c:pt idx="1111">
                  <c:v>43.28</c:v>
                </c:pt>
                <c:pt idx="1112">
                  <c:v>42.49</c:v>
                </c:pt>
                <c:pt idx="1113">
                  <c:v>42.54</c:v>
                </c:pt>
                <c:pt idx="1114">
                  <c:v>42.78</c:v>
                </c:pt>
                <c:pt idx="1115">
                  <c:v>42.27</c:v>
                </c:pt>
                <c:pt idx="1116">
                  <c:v>42.83</c:v>
                </c:pt>
                <c:pt idx="1117">
                  <c:v>43.49</c:v>
                </c:pt>
                <c:pt idx="1118">
                  <c:v>43.67</c:v>
                </c:pt>
                <c:pt idx="1119">
                  <c:v>43.97</c:v>
                </c:pt>
                <c:pt idx="1120">
                  <c:v>44.06</c:v>
                </c:pt>
                <c:pt idx="1121">
                  <c:v>43.7</c:v>
                </c:pt>
                <c:pt idx="1122">
                  <c:v>43.56</c:v>
                </c:pt>
                <c:pt idx="1123">
                  <c:v>43.12</c:v>
                </c:pt>
                <c:pt idx="1124">
                  <c:v>42.03</c:v>
                </c:pt>
                <c:pt idx="1125">
                  <c:v>41.72</c:v>
                </c:pt>
                <c:pt idx="1126">
                  <c:v>42.26</c:v>
                </c:pt>
                <c:pt idx="1127">
                  <c:v>41.68</c:v>
                </c:pt>
                <c:pt idx="1128">
                  <c:v>40.76</c:v>
                </c:pt>
                <c:pt idx="1129">
                  <c:v>39.35</c:v>
                </c:pt>
                <c:pt idx="1130">
                  <c:v>39.1</c:v>
                </c:pt>
                <c:pt idx="1131">
                  <c:v>39.28</c:v>
                </c:pt>
                <c:pt idx="1132">
                  <c:v>39.04</c:v>
                </c:pt>
                <c:pt idx="1133">
                  <c:v>39.06</c:v>
                </c:pt>
                <c:pt idx="1134">
                  <c:v>38.99</c:v>
                </c:pt>
                <c:pt idx="1135">
                  <c:v>39.94</c:v>
                </c:pt>
                <c:pt idx="1136">
                  <c:v>40.119999999999997</c:v>
                </c:pt>
                <c:pt idx="1137">
                  <c:v>39.97</c:v>
                </c:pt>
                <c:pt idx="1138">
                  <c:v>39.25</c:v>
                </c:pt>
                <c:pt idx="1139">
                  <c:v>39</c:v>
                </c:pt>
                <c:pt idx="1140">
                  <c:v>39.14</c:v>
                </c:pt>
                <c:pt idx="1141">
                  <c:v>38.97</c:v>
                </c:pt>
                <c:pt idx="1142">
                  <c:v>38.96</c:v>
                </c:pt>
                <c:pt idx="1143">
                  <c:v>38.83</c:v>
                </c:pt>
                <c:pt idx="1144">
                  <c:v>38.85</c:v>
                </c:pt>
                <c:pt idx="1145">
                  <c:v>38.369999999999997</c:v>
                </c:pt>
                <c:pt idx="1146">
                  <c:v>38.619999999999997</c:v>
                </c:pt>
                <c:pt idx="1147">
                  <c:v>38.450000000000003</c:v>
                </c:pt>
                <c:pt idx="1148">
                  <c:v>38.53</c:v>
                </c:pt>
                <c:pt idx="1149">
                  <c:v>38.32</c:v>
                </c:pt>
                <c:pt idx="1150">
                  <c:v>38.56</c:v>
                </c:pt>
                <c:pt idx="1151">
                  <c:v>38.28</c:v>
                </c:pt>
                <c:pt idx="1152">
                  <c:v>37.64</c:v>
                </c:pt>
                <c:pt idx="1153">
                  <c:v>37.97</c:v>
                </c:pt>
                <c:pt idx="1154">
                  <c:v>38.35</c:v>
                </c:pt>
                <c:pt idx="1155">
                  <c:v>39.020000000000003</c:v>
                </c:pt>
                <c:pt idx="1156">
                  <c:v>39.68</c:v>
                </c:pt>
                <c:pt idx="1157">
                  <c:v>39.67</c:v>
                </c:pt>
                <c:pt idx="1158">
                  <c:v>39.97</c:v>
                </c:pt>
                <c:pt idx="1159">
                  <c:v>39.57</c:v>
                </c:pt>
                <c:pt idx="1160">
                  <c:v>39.909999999999997</c:v>
                </c:pt>
                <c:pt idx="1161">
                  <c:v>40.22</c:v>
                </c:pt>
                <c:pt idx="1162">
                  <c:v>40.380000000000003</c:v>
                </c:pt>
                <c:pt idx="1163">
                  <c:v>39.659999999999997</c:v>
                </c:pt>
                <c:pt idx="1164">
                  <c:v>40.31</c:v>
                </c:pt>
                <c:pt idx="1165">
                  <c:v>40.479999999999997</c:v>
                </c:pt>
                <c:pt idx="1166">
                  <c:v>40.520000000000003</c:v>
                </c:pt>
                <c:pt idx="1167">
                  <c:v>41.01</c:v>
                </c:pt>
                <c:pt idx="1168">
                  <c:v>41</c:v>
                </c:pt>
                <c:pt idx="1169">
                  <c:v>40.840000000000003</c:v>
                </c:pt>
                <c:pt idx="1170">
                  <c:v>40.729999999999997</c:v>
                </c:pt>
                <c:pt idx="1171">
                  <c:v>40.369999999999997</c:v>
                </c:pt>
                <c:pt idx="1172">
                  <c:v>39.97</c:v>
                </c:pt>
                <c:pt idx="1173">
                  <c:v>39.82</c:v>
                </c:pt>
                <c:pt idx="1174">
                  <c:v>39.99</c:v>
                </c:pt>
                <c:pt idx="1175">
                  <c:v>39.950000000000003</c:v>
                </c:pt>
                <c:pt idx="1176">
                  <c:v>39.299999999999997</c:v>
                </c:pt>
                <c:pt idx="1177">
                  <c:v>39.380000000000003</c:v>
                </c:pt>
                <c:pt idx="1178">
                  <c:v>39.47</c:v>
                </c:pt>
                <c:pt idx="1179">
                  <c:v>40.24</c:v>
                </c:pt>
                <c:pt idx="1180">
                  <c:v>40.4</c:v>
                </c:pt>
                <c:pt idx="1181">
                  <c:v>39.96</c:v>
                </c:pt>
                <c:pt idx="1182">
                  <c:v>39.369999999999997</c:v>
                </c:pt>
                <c:pt idx="1183">
                  <c:v>38.83</c:v>
                </c:pt>
                <c:pt idx="1184">
                  <c:v>40.26</c:v>
                </c:pt>
                <c:pt idx="1185">
                  <c:v>40.020000000000003</c:v>
                </c:pt>
                <c:pt idx="1186">
                  <c:v>39.700000000000003</c:v>
                </c:pt>
                <c:pt idx="1187">
                  <c:v>39.1</c:v>
                </c:pt>
                <c:pt idx="1188">
                  <c:v>38.89</c:v>
                </c:pt>
                <c:pt idx="1189">
                  <c:v>39.28</c:v>
                </c:pt>
                <c:pt idx="1190">
                  <c:v>37.51</c:v>
                </c:pt>
                <c:pt idx="1191">
                  <c:v>37.18</c:v>
                </c:pt>
                <c:pt idx="1192">
                  <c:v>37.380000000000003</c:v>
                </c:pt>
                <c:pt idx="1193">
                  <c:v>37.64</c:v>
                </c:pt>
                <c:pt idx="1194">
                  <c:v>38.369999999999997</c:v>
                </c:pt>
                <c:pt idx="1195">
                  <c:v>38.19</c:v>
                </c:pt>
                <c:pt idx="1196">
                  <c:v>38.020000000000003</c:v>
                </c:pt>
                <c:pt idx="1197">
                  <c:v>37.57</c:v>
                </c:pt>
                <c:pt idx="1198">
                  <c:v>37.58</c:v>
                </c:pt>
                <c:pt idx="1199">
                  <c:v>37.76</c:v>
                </c:pt>
                <c:pt idx="1200">
                  <c:v>37.520000000000003</c:v>
                </c:pt>
                <c:pt idx="1201">
                  <c:v>37.39</c:v>
                </c:pt>
                <c:pt idx="1202">
                  <c:v>37.26</c:v>
                </c:pt>
                <c:pt idx="1203">
                  <c:v>36.94</c:v>
                </c:pt>
                <c:pt idx="1204">
                  <c:v>36.44</c:v>
                </c:pt>
                <c:pt idx="1205">
                  <c:v>36.380000000000003</c:v>
                </c:pt>
                <c:pt idx="1206">
                  <c:v>36.26</c:v>
                </c:pt>
                <c:pt idx="1207">
                  <c:v>36.04</c:v>
                </c:pt>
                <c:pt idx="1208">
                  <c:v>35.68</c:v>
                </c:pt>
                <c:pt idx="1209">
                  <c:v>36.020000000000003</c:v>
                </c:pt>
                <c:pt idx="1210">
                  <c:v>35.880000000000003</c:v>
                </c:pt>
                <c:pt idx="1211">
                  <c:v>36.01</c:v>
                </c:pt>
                <c:pt idx="1212">
                  <c:v>35.92</c:v>
                </c:pt>
                <c:pt idx="1213">
                  <c:v>36.46</c:v>
                </c:pt>
                <c:pt idx="1214">
                  <c:v>35.93</c:v>
                </c:pt>
                <c:pt idx="1215">
                  <c:v>36.46</c:v>
                </c:pt>
                <c:pt idx="1216">
                  <c:v>36.57</c:v>
                </c:pt>
                <c:pt idx="1217">
                  <c:v>36.409999999999997</c:v>
                </c:pt>
                <c:pt idx="1218">
                  <c:v>36.47</c:v>
                </c:pt>
                <c:pt idx="1219">
                  <c:v>36.25</c:v>
                </c:pt>
                <c:pt idx="1220">
                  <c:v>36.58</c:v>
                </c:pt>
                <c:pt idx="1221">
                  <c:v>35.57</c:v>
                </c:pt>
                <c:pt idx="1222">
                  <c:v>36.07</c:v>
                </c:pt>
                <c:pt idx="1223">
                  <c:v>36.29</c:v>
                </c:pt>
                <c:pt idx="1224">
                  <c:v>36.65</c:v>
                </c:pt>
                <c:pt idx="1225">
                  <c:v>36.35</c:v>
                </c:pt>
                <c:pt idx="1226">
                  <c:v>37.24</c:v>
                </c:pt>
                <c:pt idx="1227">
                  <c:v>38.75</c:v>
                </c:pt>
                <c:pt idx="1228">
                  <c:v>38.840000000000003</c:v>
                </c:pt>
                <c:pt idx="1229">
                  <c:v>38.61</c:v>
                </c:pt>
                <c:pt idx="1230">
                  <c:v>38.479999999999997</c:v>
                </c:pt>
                <c:pt idx="1231">
                  <c:v>38.86</c:v>
                </c:pt>
                <c:pt idx="1232">
                  <c:v>38.29</c:v>
                </c:pt>
                <c:pt idx="1233">
                  <c:v>38.19</c:v>
                </c:pt>
                <c:pt idx="1234">
                  <c:v>38.42</c:v>
                </c:pt>
                <c:pt idx="1235">
                  <c:v>38.4</c:v>
                </c:pt>
                <c:pt idx="1236">
                  <c:v>38.47</c:v>
                </c:pt>
                <c:pt idx="1237">
                  <c:v>38.33</c:v>
                </c:pt>
                <c:pt idx="1238">
                  <c:v>38.450000000000003</c:v>
                </c:pt>
                <c:pt idx="1239">
                  <c:v>38.5</c:v>
                </c:pt>
                <c:pt idx="1240">
                  <c:v>38.26</c:v>
                </c:pt>
                <c:pt idx="1241">
                  <c:v>38.130000000000003</c:v>
                </c:pt>
                <c:pt idx="1242">
                  <c:v>37.56</c:v>
                </c:pt>
                <c:pt idx="1243">
                  <c:v>38.869999999999997</c:v>
                </c:pt>
                <c:pt idx="1244">
                  <c:v>38.92</c:v>
                </c:pt>
                <c:pt idx="1245">
                  <c:v>39.03</c:v>
                </c:pt>
                <c:pt idx="1246">
                  <c:v>38.49</c:v>
                </c:pt>
                <c:pt idx="1247">
                  <c:v>38.31</c:v>
                </c:pt>
                <c:pt idx="1248">
                  <c:v>38.5</c:v>
                </c:pt>
                <c:pt idx="1249">
                  <c:v>38.25</c:v>
                </c:pt>
                <c:pt idx="1250">
                  <c:v>37.24</c:v>
                </c:pt>
                <c:pt idx="1251">
                  <c:v>36.630000000000003</c:v>
                </c:pt>
                <c:pt idx="1252">
                  <c:v>36.76</c:v>
                </c:pt>
                <c:pt idx="1253">
                  <c:v>36.880000000000003</c:v>
                </c:pt>
                <c:pt idx="1254">
                  <c:v>36.65</c:v>
                </c:pt>
                <c:pt idx="1255">
                  <c:v>35.909999999999997</c:v>
                </c:pt>
                <c:pt idx="1256">
                  <c:v>35.950000000000003</c:v>
                </c:pt>
                <c:pt idx="1257">
                  <c:v>35.92</c:v>
                </c:pt>
                <c:pt idx="1258">
                  <c:v>36.130000000000003</c:v>
                </c:pt>
                <c:pt idx="1259">
                  <c:v>35.909999999999997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1-4828-A1A5-31B468F7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100"/>
        <c:crosses val="autoZero"/>
        <c:auto val="0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Ingresos totales y Resultado neto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'EERR AAPL'!$A$3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rgbClr val="002060"/>
            </a:solidFill>
            <a:ln>
              <a:prstDash val="solid"/>
            </a:ln>
          </c:spPr>
          <c:invertIfNegative val="0"/>
          <c:cat>
            <c:numRef>
              <c:f>'EERR AAPL'!$B$1:$F$1</c:f>
              <c:numCache>
                <c:formatCode>m/d/yyyy</c:formatCode>
                <c:ptCount val="5"/>
                <c:pt idx="0">
                  <c:v>44464</c:v>
                </c:pt>
                <c:pt idx="1">
                  <c:v>44100</c:v>
                </c:pt>
                <c:pt idx="2">
                  <c:v>43736</c:v>
                </c:pt>
                <c:pt idx="3">
                  <c:v>43372</c:v>
                </c:pt>
                <c:pt idx="4">
                  <c:v>43008</c:v>
                </c:pt>
              </c:numCache>
            </c:numRef>
          </c:cat>
          <c:val>
            <c:numRef>
              <c:f>'EERR AAPL'!$B$3:$F$3</c:f>
              <c:numCache>
                <c:formatCode>_(* #,##0.00_);_(* \(#,##0.00\);_(* "-"??_);_(@_)</c:formatCode>
                <c:ptCount val="5"/>
                <c:pt idx="0">
                  <c:v>365817000</c:v>
                </c:pt>
                <c:pt idx="1">
                  <c:v>274515000</c:v>
                </c:pt>
                <c:pt idx="2">
                  <c:v>260174000</c:v>
                </c:pt>
                <c:pt idx="3">
                  <c:v>265595000</c:v>
                </c:pt>
                <c:pt idx="4">
                  <c:v>229234000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1-44B3-9200-0A3F56347297}"/>
            </c:ext>
          </c:extLst>
        </c:ser>
        <c:ser>
          <c:idx val="1"/>
          <c:order val="1"/>
          <c:tx>
            <c:strRef>
              <c:f>'EERR AAPL'!$A$14</c:f>
              <c:strCache>
                <c:ptCount val="1"/>
                <c:pt idx="0">
                  <c:v>Resultado neto</c:v>
                </c:pt>
              </c:strCache>
            </c:strRef>
          </c:tx>
          <c:spPr>
            <a:solidFill>
              <a:srgbClr val="6F6F6F"/>
            </a:solidFill>
            <a:ln>
              <a:prstDash val="solid"/>
            </a:ln>
          </c:spPr>
          <c:invertIfNegative val="0"/>
          <c:val>
            <c:numRef>
              <c:f>'EERR AAPL'!$B$14:$F$14</c:f>
              <c:numCache>
                <c:formatCode>_(* #,##0.00_);_(* \(#,##0.00\);_(* "-"??_);_(@_)</c:formatCode>
                <c:ptCount val="5"/>
                <c:pt idx="0">
                  <c:v>94680000</c:v>
                </c:pt>
                <c:pt idx="1">
                  <c:v>57411000</c:v>
                </c:pt>
                <c:pt idx="2">
                  <c:v>55256000</c:v>
                </c:pt>
                <c:pt idx="3">
                  <c:v>59531000</c:v>
                </c:pt>
                <c:pt idx="4">
                  <c:v>48351000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1-44B3-9200-0A3F5634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yyyy" sourceLinked="0"/>
        <c:majorTickMark val="none"/>
        <c:minorTickMark val="none"/>
        <c:tickLblPos val="low"/>
        <c:crossAx val="100"/>
        <c:crosses val="autoZero"/>
        <c:auto val="0"/>
        <c:lblOffset val="100"/>
        <c:base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AAPL vs benchmark S&amp;P500 (base 100)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Historicos!$B$1</c:f>
              <c:strCache>
                <c:ptCount val="1"/>
                <c:pt idx="0">
                  <c:v>P AAPL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Historicos!$A$2:$A$1261</c:f>
              <c:numCache>
                <c:formatCode>m/d/yyyy</c:formatCode>
                <c:ptCount val="1260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44655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44648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44627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  <c:pt idx="42">
                  <c:v>44614</c:v>
                </c:pt>
                <c:pt idx="43">
                  <c:v>44610</c:v>
                </c:pt>
                <c:pt idx="44">
                  <c:v>44609</c:v>
                </c:pt>
                <c:pt idx="45">
                  <c:v>44608</c:v>
                </c:pt>
                <c:pt idx="46">
                  <c:v>44607</c:v>
                </c:pt>
                <c:pt idx="47">
                  <c:v>44606</c:v>
                </c:pt>
                <c:pt idx="48">
                  <c:v>44603</c:v>
                </c:pt>
                <c:pt idx="49">
                  <c:v>44602</c:v>
                </c:pt>
                <c:pt idx="50">
                  <c:v>44601</c:v>
                </c:pt>
                <c:pt idx="51">
                  <c:v>44600</c:v>
                </c:pt>
                <c:pt idx="52">
                  <c:v>44599</c:v>
                </c:pt>
                <c:pt idx="53">
                  <c:v>44596</c:v>
                </c:pt>
                <c:pt idx="54">
                  <c:v>44595</c:v>
                </c:pt>
                <c:pt idx="55">
                  <c:v>44594</c:v>
                </c:pt>
                <c:pt idx="56">
                  <c:v>44593</c:v>
                </c:pt>
                <c:pt idx="57">
                  <c:v>44592</c:v>
                </c:pt>
                <c:pt idx="58">
                  <c:v>44589</c:v>
                </c:pt>
                <c:pt idx="59">
                  <c:v>44588</c:v>
                </c:pt>
                <c:pt idx="60">
                  <c:v>44587</c:v>
                </c:pt>
                <c:pt idx="61">
                  <c:v>44586</c:v>
                </c:pt>
                <c:pt idx="62">
                  <c:v>44585</c:v>
                </c:pt>
                <c:pt idx="63">
                  <c:v>44582</c:v>
                </c:pt>
                <c:pt idx="64">
                  <c:v>44581</c:v>
                </c:pt>
                <c:pt idx="65">
                  <c:v>44580</c:v>
                </c:pt>
                <c:pt idx="66">
                  <c:v>44579</c:v>
                </c:pt>
                <c:pt idx="67">
                  <c:v>44575</c:v>
                </c:pt>
                <c:pt idx="68">
                  <c:v>44574</c:v>
                </c:pt>
                <c:pt idx="69">
                  <c:v>44573</c:v>
                </c:pt>
                <c:pt idx="70">
                  <c:v>44572</c:v>
                </c:pt>
                <c:pt idx="71">
                  <c:v>44571</c:v>
                </c:pt>
                <c:pt idx="72">
                  <c:v>44568</c:v>
                </c:pt>
                <c:pt idx="73">
                  <c:v>44567</c:v>
                </c:pt>
                <c:pt idx="74">
                  <c:v>44566</c:v>
                </c:pt>
                <c:pt idx="75">
                  <c:v>44565</c:v>
                </c:pt>
                <c:pt idx="76">
                  <c:v>44564</c:v>
                </c:pt>
                <c:pt idx="77">
                  <c:v>44561</c:v>
                </c:pt>
                <c:pt idx="78">
                  <c:v>44560</c:v>
                </c:pt>
                <c:pt idx="79">
                  <c:v>44559</c:v>
                </c:pt>
                <c:pt idx="80">
                  <c:v>44558</c:v>
                </c:pt>
                <c:pt idx="81">
                  <c:v>44557</c:v>
                </c:pt>
                <c:pt idx="82">
                  <c:v>44553</c:v>
                </c:pt>
                <c:pt idx="83">
                  <c:v>44552</c:v>
                </c:pt>
                <c:pt idx="84">
                  <c:v>44551</c:v>
                </c:pt>
                <c:pt idx="85">
                  <c:v>44550</c:v>
                </c:pt>
                <c:pt idx="86">
                  <c:v>44547</c:v>
                </c:pt>
                <c:pt idx="87">
                  <c:v>44546</c:v>
                </c:pt>
                <c:pt idx="88">
                  <c:v>44545</c:v>
                </c:pt>
                <c:pt idx="89">
                  <c:v>44544</c:v>
                </c:pt>
                <c:pt idx="90">
                  <c:v>44543</c:v>
                </c:pt>
                <c:pt idx="91">
                  <c:v>44540</c:v>
                </c:pt>
                <c:pt idx="92">
                  <c:v>44539</c:v>
                </c:pt>
                <c:pt idx="93">
                  <c:v>44538</c:v>
                </c:pt>
                <c:pt idx="94">
                  <c:v>44537</c:v>
                </c:pt>
                <c:pt idx="95">
                  <c:v>44536</c:v>
                </c:pt>
                <c:pt idx="96">
                  <c:v>44533</c:v>
                </c:pt>
                <c:pt idx="97">
                  <c:v>44532</c:v>
                </c:pt>
                <c:pt idx="98">
                  <c:v>44531</c:v>
                </c:pt>
                <c:pt idx="99">
                  <c:v>44530</c:v>
                </c:pt>
                <c:pt idx="100">
                  <c:v>44529</c:v>
                </c:pt>
                <c:pt idx="101">
                  <c:v>44526</c:v>
                </c:pt>
                <c:pt idx="102">
                  <c:v>44524</c:v>
                </c:pt>
                <c:pt idx="103">
                  <c:v>44523</c:v>
                </c:pt>
                <c:pt idx="104">
                  <c:v>44522</c:v>
                </c:pt>
                <c:pt idx="105">
                  <c:v>44519</c:v>
                </c:pt>
                <c:pt idx="106">
                  <c:v>44518</c:v>
                </c:pt>
                <c:pt idx="107">
                  <c:v>44517</c:v>
                </c:pt>
                <c:pt idx="108">
                  <c:v>44516</c:v>
                </c:pt>
                <c:pt idx="109">
                  <c:v>44515</c:v>
                </c:pt>
                <c:pt idx="110">
                  <c:v>44512</c:v>
                </c:pt>
                <c:pt idx="111">
                  <c:v>44511</c:v>
                </c:pt>
                <c:pt idx="112">
                  <c:v>44510</c:v>
                </c:pt>
                <c:pt idx="113">
                  <c:v>44509</c:v>
                </c:pt>
                <c:pt idx="114">
                  <c:v>44508</c:v>
                </c:pt>
                <c:pt idx="115">
                  <c:v>44505</c:v>
                </c:pt>
                <c:pt idx="116">
                  <c:v>44504</c:v>
                </c:pt>
                <c:pt idx="117">
                  <c:v>44503</c:v>
                </c:pt>
                <c:pt idx="118">
                  <c:v>44502</c:v>
                </c:pt>
                <c:pt idx="119">
                  <c:v>44501</c:v>
                </c:pt>
                <c:pt idx="120">
                  <c:v>44498</c:v>
                </c:pt>
                <c:pt idx="121">
                  <c:v>44497</c:v>
                </c:pt>
                <c:pt idx="122">
                  <c:v>44496</c:v>
                </c:pt>
                <c:pt idx="123">
                  <c:v>44495</c:v>
                </c:pt>
                <c:pt idx="124">
                  <c:v>44494</c:v>
                </c:pt>
                <c:pt idx="125">
                  <c:v>44491</c:v>
                </c:pt>
                <c:pt idx="126">
                  <c:v>44490</c:v>
                </c:pt>
                <c:pt idx="127">
                  <c:v>44489</c:v>
                </c:pt>
                <c:pt idx="128">
                  <c:v>44488</c:v>
                </c:pt>
                <c:pt idx="129">
                  <c:v>44487</c:v>
                </c:pt>
                <c:pt idx="130">
                  <c:v>44484</c:v>
                </c:pt>
                <c:pt idx="131">
                  <c:v>44483</c:v>
                </c:pt>
                <c:pt idx="132">
                  <c:v>44482</c:v>
                </c:pt>
                <c:pt idx="133">
                  <c:v>44481</c:v>
                </c:pt>
                <c:pt idx="134">
                  <c:v>44480</c:v>
                </c:pt>
                <c:pt idx="135">
                  <c:v>44477</c:v>
                </c:pt>
                <c:pt idx="136">
                  <c:v>44476</c:v>
                </c:pt>
                <c:pt idx="137">
                  <c:v>44475</c:v>
                </c:pt>
                <c:pt idx="138">
                  <c:v>44474</c:v>
                </c:pt>
                <c:pt idx="139">
                  <c:v>44473</c:v>
                </c:pt>
                <c:pt idx="140">
                  <c:v>44470</c:v>
                </c:pt>
                <c:pt idx="141">
                  <c:v>44469</c:v>
                </c:pt>
                <c:pt idx="142">
                  <c:v>44468</c:v>
                </c:pt>
                <c:pt idx="143">
                  <c:v>44467</c:v>
                </c:pt>
                <c:pt idx="144">
                  <c:v>44466</c:v>
                </c:pt>
                <c:pt idx="145">
                  <c:v>44463</c:v>
                </c:pt>
                <c:pt idx="146">
                  <c:v>44462</c:v>
                </c:pt>
                <c:pt idx="147">
                  <c:v>44461</c:v>
                </c:pt>
                <c:pt idx="148">
                  <c:v>44460</c:v>
                </c:pt>
                <c:pt idx="149">
                  <c:v>44459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44449</c:v>
                </c:pt>
                <c:pt idx="156">
                  <c:v>44448</c:v>
                </c:pt>
                <c:pt idx="157">
                  <c:v>44447</c:v>
                </c:pt>
                <c:pt idx="158">
                  <c:v>44446</c:v>
                </c:pt>
                <c:pt idx="159">
                  <c:v>44442</c:v>
                </c:pt>
                <c:pt idx="160">
                  <c:v>44441</c:v>
                </c:pt>
                <c:pt idx="161">
                  <c:v>44440</c:v>
                </c:pt>
                <c:pt idx="162">
                  <c:v>44439</c:v>
                </c:pt>
                <c:pt idx="163">
                  <c:v>44438</c:v>
                </c:pt>
                <c:pt idx="164">
                  <c:v>44435</c:v>
                </c:pt>
                <c:pt idx="165">
                  <c:v>44434</c:v>
                </c:pt>
                <c:pt idx="166">
                  <c:v>44433</c:v>
                </c:pt>
                <c:pt idx="167">
                  <c:v>44432</c:v>
                </c:pt>
                <c:pt idx="168">
                  <c:v>44431</c:v>
                </c:pt>
                <c:pt idx="169">
                  <c:v>44428</c:v>
                </c:pt>
                <c:pt idx="170">
                  <c:v>44427</c:v>
                </c:pt>
                <c:pt idx="171">
                  <c:v>44426</c:v>
                </c:pt>
                <c:pt idx="172">
                  <c:v>44425</c:v>
                </c:pt>
                <c:pt idx="173">
                  <c:v>44424</c:v>
                </c:pt>
                <c:pt idx="174">
                  <c:v>44421</c:v>
                </c:pt>
                <c:pt idx="175">
                  <c:v>44420</c:v>
                </c:pt>
                <c:pt idx="176">
                  <c:v>44419</c:v>
                </c:pt>
                <c:pt idx="177">
                  <c:v>44418</c:v>
                </c:pt>
                <c:pt idx="178">
                  <c:v>44417</c:v>
                </c:pt>
                <c:pt idx="179">
                  <c:v>44414</c:v>
                </c:pt>
                <c:pt idx="180">
                  <c:v>44413</c:v>
                </c:pt>
                <c:pt idx="181">
                  <c:v>44412</c:v>
                </c:pt>
                <c:pt idx="182">
                  <c:v>44411</c:v>
                </c:pt>
                <c:pt idx="183">
                  <c:v>44410</c:v>
                </c:pt>
                <c:pt idx="184">
                  <c:v>44407</c:v>
                </c:pt>
                <c:pt idx="185">
                  <c:v>44406</c:v>
                </c:pt>
                <c:pt idx="186">
                  <c:v>44405</c:v>
                </c:pt>
                <c:pt idx="187">
                  <c:v>44404</c:v>
                </c:pt>
                <c:pt idx="188">
                  <c:v>44403</c:v>
                </c:pt>
                <c:pt idx="189">
                  <c:v>44400</c:v>
                </c:pt>
                <c:pt idx="190">
                  <c:v>44399</c:v>
                </c:pt>
                <c:pt idx="191">
                  <c:v>44398</c:v>
                </c:pt>
                <c:pt idx="192">
                  <c:v>44397</c:v>
                </c:pt>
                <c:pt idx="193">
                  <c:v>44396</c:v>
                </c:pt>
                <c:pt idx="194">
                  <c:v>44393</c:v>
                </c:pt>
                <c:pt idx="195">
                  <c:v>44392</c:v>
                </c:pt>
                <c:pt idx="196">
                  <c:v>44391</c:v>
                </c:pt>
                <c:pt idx="197">
                  <c:v>44390</c:v>
                </c:pt>
                <c:pt idx="198">
                  <c:v>44389</c:v>
                </c:pt>
                <c:pt idx="199">
                  <c:v>44386</c:v>
                </c:pt>
                <c:pt idx="200">
                  <c:v>44385</c:v>
                </c:pt>
                <c:pt idx="201">
                  <c:v>44384</c:v>
                </c:pt>
                <c:pt idx="202">
                  <c:v>44383</c:v>
                </c:pt>
                <c:pt idx="203">
                  <c:v>44379</c:v>
                </c:pt>
                <c:pt idx="204">
                  <c:v>44378</c:v>
                </c:pt>
                <c:pt idx="205">
                  <c:v>44377</c:v>
                </c:pt>
                <c:pt idx="206">
                  <c:v>44376</c:v>
                </c:pt>
                <c:pt idx="207">
                  <c:v>44375</c:v>
                </c:pt>
                <c:pt idx="208">
                  <c:v>44372</c:v>
                </c:pt>
                <c:pt idx="209">
                  <c:v>44371</c:v>
                </c:pt>
                <c:pt idx="210">
                  <c:v>44370</c:v>
                </c:pt>
                <c:pt idx="211">
                  <c:v>44369</c:v>
                </c:pt>
                <c:pt idx="212">
                  <c:v>44368</c:v>
                </c:pt>
                <c:pt idx="213">
                  <c:v>44365</c:v>
                </c:pt>
                <c:pt idx="214">
                  <c:v>44364</c:v>
                </c:pt>
                <c:pt idx="215">
                  <c:v>44363</c:v>
                </c:pt>
                <c:pt idx="216">
                  <c:v>44362</c:v>
                </c:pt>
                <c:pt idx="217">
                  <c:v>44361</c:v>
                </c:pt>
                <c:pt idx="218">
                  <c:v>44358</c:v>
                </c:pt>
                <c:pt idx="219">
                  <c:v>44357</c:v>
                </c:pt>
                <c:pt idx="220">
                  <c:v>44356</c:v>
                </c:pt>
                <c:pt idx="221">
                  <c:v>44355</c:v>
                </c:pt>
                <c:pt idx="222">
                  <c:v>44354</c:v>
                </c:pt>
                <c:pt idx="223">
                  <c:v>44351</c:v>
                </c:pt>
                <c:pt idx="224">
                  <c:v>44350</c:v>
                </c:pt>
                <c:pt idx="225">
                  <c:v>44349</c:v>
                </c:pt>
                <c:pt idx="226">
                  <c:v>44348</c:v>
                </c:pt>
                <c:pt idx="227">
                  <c:v>44344</c:v>
                </c:pt>
                <c:pt idx="228">
                  <c:v>44343</c:v>
                </c:pt>
                <c:pt idx="229">
                  <c:v>44342</c:v>
                </c:pt>
                <c:pt idx="230">
                  <c:v>44341</c:v>
                </c:pt>
                <c:pt idx="231">
                  <c:v>44340</c:v>
                </c:pt>
                <c:pt idx="232">
                  <c:v>44337</c:v>
                </c:pt>
                <c:pt idx="233">
                  <c:v>44336</c:v>
                </c:pt>
                <c:pt idx="234">
                  <c:v>44335</c:v>
                </c:pt>
                <c:pt idx="235">
                  <c:v>44334</c:v>
                </c:pt>
                <c:pt idx="236">
                  <c:v>44333</c:v>
                </c:pt>
                <c:pt idx="237">
                  <c:v>44330</c:v>
                </c:pt>
                <c:pt idx="238">
                  <c:v>44329</c:v>
                </c:pt>
                <c:pt idx="239">
                  <c:v>44328</c:v>
                </c:pt>
                <c:pt idx="240">
                  <c:v>44327</c:v>
                </c:pt>
                <c:pt idx="241">
                  <c:v>44326</c:v>
                </c:pt>
                <c:pt idx="242">
                  <c:v>44323</c:v>
                </c:pt>
                <c:pt idx="243">
                  <c:v>44322</c:v>
                </c:pt>
                <c:pt idx="244">
                  <c:v>44321</c:v>
                </c:pt>
                <c:pt idx="245">
                  <c:v>44320</c:v>
                </c:pt>
                <c:pt idx="246">
                  <c:v>44319</c:v>
                </c:pt>
                <c:pt idx="247">
                  <c:v>44316</c:v>
                </c:pt>
                <c:pt idx="248">
                  <c:v>44315</c:v>
                </c:pt>
                <c:pt idx="249">
                  <c:v>44314</c:v>
                </c:pt>
                <c:pt idx="250">
                  <c:v>44313</c:v>
                </c:pt>
                <c:pt idx="251">
                  <c:v>44312</c:v>
                </c:pt>
                <c:pt idx="252">
                  <c:v>44309</c:v>
                </c:pt>
                <c:pt idx="253">
                  <c:v>44308</c:v>
                </c:pt>
                <c:pt idx="254">
                  <c:v>44307</c:v>
                </c:pt>
                <c:pt idx="255">
                  <c:v>44306</c:v>
                </c:pt>
                <c:pt idx="256">
                  <c:v>44305</c:v>
                </c:pt>
                <c:pt idx="257">
                  <c:v>44302</c:v>
                </c:pt>
                <c:pt idx="258">
                  <c:v>44301</c:v>
                </c:pt>
                <c:pt idx="259">
                  <c:v>44300</c:v>
                </c:pt>
                <c:pt idx="260">
                  <c:v>44299</c:v>
                </c:pt>
                <c:pt idx="261">
                  <c:v>44298</c:v>
                </c:pt>
                <c:pt idx="262">
                  <c:v>44295</c:v>
                </c:pt>
                <c:pt idx="263">
                  <c:v>44294</c:v>
                </c:pt>
                <c:pt idx="264">
                  <c:v>44293</c:v>
                </c:pt>
                <c:pt idx="265">
                  <c:v>44292</c:v>
                </c:pt>
                <c:pt idx="266">
                  <c:v>44291</c:v>
                </c:pt>
                <c:pt idx="267">
                  <c:v>44287</c:v>
                </c:pt>
                <c:pt idx="268">
                  <c:v>44286</c:v>
                </c:pt>
                <c:pt idx="269">
                  <c:v>44285</c:v>
                </c:pt>
                <c:pt idx="270">
                  <c:v>44284</c:v>
                </c:pt>
                <c:pt idx="271">
                  <c:v>44281</c:v>
                </c:pt>
                <c:pt idx="272">
                  <c:v>44280</c:v>
                </c:pt>
                <c:pt idx="273">
                  <c:v>44279</c:v>
                </c:pt>
                <c:pt idx="274">
                  <c:v>44278</c:v>
                </c:pt>
                <c:pt idx="275">
                  <c:v>44277</c:v>
                </c:pt>
                <c:pt idx="276">
                  <c:v>44274</c:v>
                </c:pt>
                <c:pt idx="277">
                  <c:v>44273</c:v>
                </c:pt>
                <c:pt idx="278">
                  <c:v>44272</c:v>
                </c:pt>
                <c:pt idx="279">
                  <c:v>44271</c:v>
                </c:pt>
                <c:pt idx="280">
                  <c:v>44270</c:v>
                </c:pt>
                <c:pt idx="281">
                  <c:v>44267</c:v>
                </c:pt>
                <c:pt idx="282">
                  <c:v>44266</c:v>
                </c:pt>
                <c:pt idx="283">
                  <c:v>44265</c:v>
                </c:pt>
                <c:pt idx="284">
                  <c:v>44264</c:v>
                </c:pt>
                <c:pt idx="285">
                  <c:v>44263</c:v>
                </c:pt>
                <c:pt idx="286">
                  <c:v>44260</c:v>
                </c:pt>
                <c:pt idx="287">
                  <c:v>44259</c:v>
                </c:pt>
                <c:pt idx="288">
                  <c:v>44258</c:v>
                </c:pt>
                <c:pt idx="289">
                  <c:v>44257</c:v>
                </c:pt>
                <c:pt idx="290">
                  <c:v>44256</c:v>
                </c:pt>
                <c:pt idx="291">
                  <c:v>44253</c:v>
                </c:pt>
                <c:pt idx="292">
                  <c:v>44252</c:v>
                </c:pt>
                <c:pt idx="293">
                  <c:v>44251</c:v>
                </c:pt>
                <c:pt idx="294">
                  <c:v>44250</c:v>
                </c:pt>
                <c:pt idx="295">
                  <c:v>44249</c:v>
                </c:pt>
                <c:pt idx="296">
                  <c:v>44246</c:v>
                </c:pt>
                <c:pt idx="297">
                  <c:v>44245</c:v>
                </c:pt>
                <c:pt idx="298">
                  <c:v>44244</c:v>
                </c:pt>
                <c:pt idx="299">
                  <c:v>44243</c:v>
                </c:pt>
                <c:pt idx="300">
                  <c:v>44239</c:v>
                </c:pt>
                <c:pt idx="301">
                  <c:v>44238</c:v>
                </c:pt>
                <c:pt idx="302">
                  <c:v>44237</c:v>
                </c:pt>
                <c:pt idx="303">
                  <c:v>44236</c:v>
                </c:pt>
                <c:pt idx="304">
                  <c:v>44235</c:v>
                </c:pt>
                <c:pt idx="305">
                  <c:v>44232</c:v>
                </c:pt>
                <c:pt idx="306">
                  <c:v>44231</c:v>
                </c:pt>
                <c:pt idx="307">
                  <c:v>44230</c:v>
                </c:pt>
                <c:pt idx="308">
                  <c:v>44229</c:v>
                </c:pt>
                <c:pt idx="309">
                  <c:v>44228</c:v>
                </c:pt>
                <c:pt idx="310">
                  <c:v>44225</c:v>
                </c:pt>
                <c:pt idx="311">
                  <c:v>44224</c:v>
                </c:pt>
                <c:pt idx="312">
                  <c:v>44223</c:v>
                </c:pt>
                <c:pt idx="313">
                  <c:v>44222</c:v>
                </c:pt>
                <c:pt idx="314">
                  <c:v>44221</c:v>
                </c:pt>
                <c:pt idx="315">
                  <c:v>44218</c:v>
                </c:pt>
                <c:pt idx="316">
                  <c:v>44217</c:v>
                </c:pt>
                <c:pt idx="317">
                  <c:v>44216</c:v>
                </c:pt>
                <c:pt idx="318">
                  <c:v>44215</c:v>
                </c:pt>
                <c:pt idx="319">
                  <c:v>44211</c:v>
                </c:pt>
                <c:pt idx="320">
                  <c:v>44210</c:v>
                </c:pt>
                <c:pt idx="321">
                  <c:v>44209</c:v>
                </c:pt>
                <c:pt idx="322">
                  <c:v>44208</c:v>
                </c:pt>
                <c:pt idx="323">
                  <c:v>44207</c:v>
                </c:pt>
                <c:pt idx="324">
                  <c:v>44204</c:v>
                </c:pt>
                <c:pt idx="325">
                  <c:v>44203</c:v>
                </c:pt>
                <c:pt idx="326">
                  <c:v>44202</c:v>
                </c:pt>
                <c:pt idx="327">
                  <c:v>44201</c:v>
                </c:pt>
                <c:pt idx="328">
                  <c:v>44200</c:v>
                </c:pt>
                <c:pt idx="329">
                  <c:v>44196</c:v>
                </c:pt>
                <c:pt idx="330">
                  <c:v>44195</c:v>
                </c:pt>
                <c:pt idx="331">
                  <c:v>44194</c:v>
                </c:pt>
                <c:pt idx="332">
                  <c:v>44193</c:v>
                </c:pt>
                <c:pt idx="333">
                  <c:v>44189</c:v>
                </c:pt>
                <c:pt idx="334">
                  <c:v>44188</c:v>
                </c:pt>
                <c:pt idx="335">
                  <c:v>44187</c:v>
                </c:pt>
                <c:pt idx="336">
                  <c:v>44186</c:v>
                </c:pt>
                <c:pt idx="337">
                  <c:v>44183</c:v>
                </c:pt>
                <c:pt idx="338">
                  <c:v>44182</c:v>
                </c:pt>
                <c:pt idx="339">
                  <c:v>44181</c:v>
                </c:pt>
                <c:pt idx="340">
                  <c:v>44180</c:v>
                </c:pt>
                <c:pt idx="341">
                  <c:v>44179</c:v>
                </c:pt>
                <c:pt idx="342">
                  <c:v>44176</c:v>
                </c:pt>
                <c:pt idx="343">
                  <c:v>44175</c:v>
                </c:pt>
                <c:pt idx="344">
                  <c:v>44174</c:v>
                </c:pt>
                <c:pt idx="345">
                  <c:v>44173</c:v>
                </c:pt>
                <c:pt idx="346">
                  <c:v>44172</c:v>
                </c:pt>
                <c:pt idx="347">
                  <c:v>44169</c:v>
                </c:pt>
                <c:pt idx="348">
                  <c:v>44168</c:v>
                </c:pt>
                <c:pt idx="349">
                  <c:v>44167</c:v>
                </c:pt>
                <c:pt idx="350">
                  <c:v>44166</c:v>
                </c:pt>
                <c:pt idx="351">
                  <c:v>44165</c:v>
                </c:pt>
                <c:pt idx="352">
                  <c:v>44162</c:v>
                </c:pt>
                <c:pt idx="353">
                  <c:v>44160</c:v>
                </c:pt>
                <c:pt idx="354">
                  <c:v>44159</c:v>
                </c:pt>
                <c:pt idx="355">
                  <c:v>44158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44148</c:v>
                </c:pt>
                <c:pt idx="362">
                  <c:v>44147</c:v>
                </c:pt>
                <c:pt idx="363">
                  <c:v>44146</c:v>
                </c:pt>
                <c:pt idx="364">
                  <c:v>44145</c:v>
                </c:pt>
                <c:pt idx="365">
                  <c:v>44144</c:v>
                </c:pt>
                <c:pt idx="366">
                  <c:v>44141</c:v>
                </c:pt>
                <c:pt idx="367">
                  <c:v>44140</c:v>
                </c:pt>
                <c:pt idx="368">
                  <c:v>44139</c:v>
                </c:pt>
                <c:pt idx="369">
                  <c:v>44138</c:v>
                </c:pt>
                <c:pt idx="370">
                  <c:v>44137</c:v>
                </c:pt>
                <c:pt idx="371">
                  <c:v>44134</c:v>
                </c:pt>
                <c:pt idx="372">
                  <c:v>44133</c:v>
                </c:pt>
                <c:pt idx="373">
                  <c:v>44132</c:v>
                </c:pt>
                <c:pt idx="374">
                  <c:v>44131</c:v>
                </c:pt>
                <c:pt idx="375">
                  <c:v>44130</c:v>
                </c:pt>
                <c:pt idx="376">
                  <c:v>44127</c:v>
                </c:pt>
                <c:pt idx="377">
                  <c:v>44126</c:v>
                </c:pt>
                <c:pt idx="378">
                  <c:v>44125</c:v>
                </c:pt>
                <c:pt idx="379">
                  <c:v>44124</c:v>
                </c:pt>
                <c:pt idx="380">
                  <c:v>44123</c:v>
                </c:pt>
                <c:pt idx="381">
                  <c:v>44120</c:v>
                </c:pt>
                <c:pt idx="382">
                  <c:v>44119</c:v>
                </c:pt>
                <c:pt idx="383">
                  <c:v>44118</c:v>
                </c:pt>
                <c:pt idx="384">
                  <c:v>44117</c:v>
                </c:pt>
                <c:pt idx="385">
                  <c:v>44116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44106</c:v>
                </c:pt>
                <c:pt idx="392">
                  <c:v>44105</c:v>
                </c:pt>
                <c:pt idx="393">
                  <c:v>44104</c:v>
                </c:pt>
                <c:pt idx="394">
                  <c:v>44103</c:v>
                </c:pt>
                <c:pt idx="395">
                  <c:v>44102</c:v>
                </c:pt>
                <c:pt idx="396">
                  <c:v>44099</c:v>
                </c:pt>
                <c:pt idx="397">
                  <c:v>44098</c:v>
                </c:pt>
                <c:pt idx="398">
                  <c:v>44097</c:v>
                </c:pt>
                <c:pt idx="399">
                  <c:v>44096</c:v>
                </c:pt>
                <c:pt idx="400">
                  <c:v>44095</c:v>
                </c:pt>
                <c:pt idx="401">
                  <c:v>44092</c:v>
                </c:pt>
                <c:pt idx="402">
                  <c:v>44091</c:v>
                </c:pt>
                <c:pt idx="403">
                  <c:v>44090</c:v>
                </c:pt>
                <c:pt idx="404">
                  <c:v>44089</c:v>
                </c:pt>
                <c:pt idx="405">
                  <c:v>44088</c:v>
                </c:pt>
                <c:pt idx="406">
                  <c:v>44085</c:v>
                </c:pt>
                <c:pt idx="407">
                  <c:v>44084</c:v>
                </c:pt>
                <c:pt idx="408">
                  <c:v>44083</c:v>
                </c:pt>
                <c:pt idx="409">
                  <c:v>44082</c:v>
                </c:pt>
                <c:pt idx="410">
                  <c:v>44078</c:v>
                </c:pt>
                <c:pt idx="411">
                  <c:v>44077</c:v>
                </c:pt>
                <c:pt idx="412">
                  <c:v>44076</c:v>
                </c:pt>
                <c:pt idx="413">
                  <c:v>44075</c:v>
                </c:pt>
                <c:pt idx="414">
                  <c:v>44074</c:v>
                </c:pt>
                <c:pt idx="415">
                  <c:v>44071</c:v>
                </c:pt>
                <c:pt idx="416">
                  <c:v>44070</c:v>
                </c:pt>
                <c:pt idx="417">
                  <c:v>44069</c:v>
                </c:pt>
                <c:pt idx="418">
                  <c:v>44068</c:v>
                </c:pt>
                <c:pt idx="419">
                  <c:v>44067</c:v>
                </c:pt>
                <c:pt idx="420">
                  <c:v>44064</c:v>
                </c:pt>
                <c:pt idx="421">
                  <c:v>44063</c:v>
                </c:pt>
                <c:pt idx="422">
                  <c:v>44062</c:v>
                </c:pt>
                <c:pt idx="423">
                  <c:v>44061</c:v>
                </c:pt>
                <c:pt idx="424">
                  <c:v>44060</c:v>
                </c:pt>
                <c:pt idx="425">
                  <c:v>44057</c:v>
                </c:pt>
                <c:pt idx="426">
                  <c:v>44056</c:v>
                </c:pt>
                <c:pt idx="427">
                  <c:v>44055</c:v>
                </c:pt>
                <c:pt idx="428">
                  <c:v>44054</c:v>
                </c:pt>
                <c:pt idx="429">
                  <c:v>44053</c:v>
                </c:pt>
                <c:pt idx="430">
                  <c:v>44050</c:v>
                </c:pt>
                <c:pt idx="431">
                  <c:v>44049</c:v>
                </c:pt>
                <c:pt idx="432">
                  <c:v>44048</c:v>
                </c:pt>
                <c:pt idx="433">
                  <c:v>44047</c:v>
                </c:pt>
                <c:pt idx="434">
                  <c:v>44046</c:v>
                </c:pt>
                <c:pt idx="435">
                  <c:v>44043</c:v>
                </c:pt>
                <c:pt idx="436">
                  <c:v>44042</c:v>
                </c:pt>
                <c:pt idx="437">
                  <c:v>44041</c:v>
                </c:pt>
                <c:pt idx="438">
                  <c:v>44040</c:v>
                </c:pt>
                <c:pt idx="439">
                  <c:v>44039</c:v>
                </c:pt>
                <c:pt idx="440">
                  <c:v>44036</c:v>
                </c:pt>
                <c:pt idx="441">
                  <c:v>44035</c:v>
                </c:pt>
                <c:pt idx="442">
                  <c:v>44034</c:v>
                </c:pt>
                <c:pt idx="443">
                  <c:v>44033</c:v>
                </c:pt>
                <c:pt idx="444">
                  <c:v>44032</c:v>
                </c:pt>
                <c:pt idx="445">
                  <c:v>44029</c:v>
                </c:pt>
                <c:pt idx="446">
                  <c:v>44028</c:v>
                </c:pt>
                <c:pt idx="447">
                  <c:v>44027</c:v>
                </c:pt>
                <c:pt idx="448">
                  <c:v>44026</c:v>
                </c:pt>
                <c:pt idx="449">
                  <c:v>44025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44014</c:v>
                </c:pt>
                <c:pt idx="456">
                  <c:v>44013</c:v>
                </c:pt>
                <c:pt idx="457">
                  <c:v>44012</c:v>
                </c:pt>
                <c:pt idx="458">
                  <c:v>44011</c:v>
                </c:pt>
                <c:pt idx="459">
                  <c:v>44008</c:v>
                </c:pt>
                <c:pt idx="460">
                  <c:v>44007</c:v>
                </c:pt>
                <c:pt idx="461">
                  <c:v>44006</c:v>
                </c:pt>
                <c:pt idx="462">
                  <c:v>44005</c:v>
                </c:pt>
                <c:pt idx="463">
                  <c:v>44004</c:v>
                </c:pt>
                <c:pt idx="464">
                  <c:v>44001</c:v>
                </c:pt>
                <c:pt idx="465">
                  <c:v>44000</c:v>
                </c:pt>
                <c:pt idx="466">
                  <c:v>43999</c:v>
                </c:pt>
                <c:pt idx="467">
                  <c:v>43998</c:v>
                </c:pt>
                <c:pt idx="468">
                  <c:v>43997</c:v>
                </c:pt>
                <c:pt idx="469">
                  <c:v>43994</c:v>
                </c:pt>
                <c:pt idx="470">
                  <c:v>43993</c:v>
                </c:pt>
                <c:pt idx="471">
                  <c:v>43992</c:v>
                </c:pt>
                <c:pt idx="472">
                  <c:v>43991</c:v>
                </c:pt>
                <c:pt idx="473">
                  <c:v>43990</c:v>
                </c:pt>
                <c:pt idx="474">
                  <c:v>43987</c:v>
                </c:pt>
                <c:pt idx="475">
                  <c:v>43986</c:v>
                </c:pt>
                <c:pt idx="476">
                  <c:v>43985</c:v>
                </c:pt>
                <c:pt idx="477">
                  <c:v>43984</c:v>
                </c:pt>
                <c:pt idx="478">
                  <c:v>43983</c:v>
                </c:pt>
                <c:pt idx="479">
                  <c:v>43980</c:v>
                </c:pt>
                <c:pt idx="480">
                  <c:v>43979</c:v>
                </c:pt>
                <c:pt idx="481">
                  <c:v>43978</c:v>
                </c:pt>
                <c:pt idx="482">
                  <c:v>43977</c:v>
                </c:pt>
                <c:pt idx="483">
                  <c:v>43973</c:v>
                </c:pt>
                <c:pt idx="484">
                  <c:v>43972</c:v>
                </c:pt>
                <c:pt idx="485">
                  <c:v>43971</c:v>
                </c:pt>
                <c:pt idx="486">
                  <c:v>43970</c:v>
                </c:pt>
                <c:pt idx="487">
                  <c:v>43969</c:v>
                </c:pt>
                <c:pt idx="488">
                  <c:v>43966</c:v>
                </c:pt>
                <c:pt idx="489">
                  <c:v>43965</c:v>
                </c:pt>
                <c:pt idx="490">
                  <c:v>43964</c:v>
                </c:pt>
                <c:pt idx="491">
                  <c:v>43963</c:v>
                </c:pt>
                <c:pt idx="492">
                  <c:v>43962</c:v>
                </c:pt>
                <c:pt idx="493">
                  <c:v>43959</c:v>
                </c:pt>
                <c:pt idx="494">
                  <c:v>43958</c:v>
                </c:pt>
                <c:pt idx="495">
                  <c:v>43957</c:v>
                </c:pt>
                <c:pt idx="496">
                  <c:v>43956</c:v>
                </c:pt>
                <c:pt idx="497">
                  <c:v>43955</c:v>
                </c:pt>
                <c:pt idx="498">
                  <c:v>43952</c:v>
                </c:pt>
                <c:pt idx="499">
                  <c:v>43951</c:v>
                </c:pt>
                <c:pt idx="500">
                  <c:v>43950</c:v>
                </c:pt>
                <c:pt idx="501">
                  <c:v>43949</c:v>
                </c:pt>
                <c:pt idx="502">
                  <c:v>43948</c:v>
                </c:pt>
                <c:pt idx="503">
                  <c:v>43945</c:v>
                </c:pt>
                <c:pt idx="504">
                  <c:v>43944</c:v>
                </c:pt>
                <c:pt idx="505">
                  <c:v>43943</c:v>
                </c:pt>
                <c:pt idx="506">
                  <c:v>43942</c:v>
                </c:pt>
                <c:pt idx="507">
                  <c:v>43941</c:v>
                </c:pt>
                <c:pt idx="508">
                  <c:v>43938</c:v>
                </c:pt>
                <c:pt idx="509">
                  <c:v>43937</c:v>
                </c:pt>
                <c:pt idx="510">
                  <c:v>43936</c:v>
                </c:pt>
                <c:pt idx="511">
                  <c:v>43935</c:v>
                </c:pt>
                <c:pt idx="512">
                  <c:v>43934</c:v>
                </c:pt>
                <c:pt idx="513">
                  <c:v>43930</c:v>
                </c:pt>
                <c:pt idx="514">
                  <c:v>43929</c:v>
                </c:pt>
                <c:pt idx="515">
                  <c:v>43928</c:v>
                </c:pt>
                <c:pt idx="516">
                  <c:v>43927</c:v>
                </c:pt>
                <c:pt idx="517">
                  <c:v>43924</c:v>
                </c:pt>
                <c:pt idx="518">
                  <c:v>43923</c:v>
                </c:pt>
                <c:pt idx="519">
                  <c:v>43922</c:v>
                </c:pt>
                <c:pt idx="520">
                  <c:v>43921</c:v>
                </c:pt>
                <c:pt idx="521">
                  <c:v>43920</c:v>
                </c:pt>
                <c:pt idx="522">
                  <c:v>43917</c:v>
                </c:pt>
                <c:pt idx="523">
                  <c:v>43916</c:v>
                </c:pt>
                <c:pt idx="524">
                  <c:v>43915</c:v>
                </c:pt>
                <c:pt idx="525">
                  <c:v>43914</c:v>
                </c:pt>
                <c:pt idx="526">
                  <c:v>43913</c:v>
                </c:pt>
                <c:pt idx="527">
                  <c:v>43910</c:v>
                </c:pt>
                <c:pt idx="528">
                  <c:v>43909</c:v>
                </c:pt>
                <c:pt idx="529">
                  <c:v>43908</c:v>
                </c:pt>
                <c:pt idx="530">
                  <c:v>43907</c:v>
                </c:pt>
                <c:pt idx="531">
                  <c:v>43906</c:v>
                </c:pt>
                <c:pt idx="532">
                  <c:v>43903</c:v>
                </c:pt>
                <c:pt idx="533">
                  <c:v>43902</c:v>
                </c:pt>
                <c:pt idx="534">
                  <c:v>43901</c:v>
                </c:pt>
                <c:pt idx="535">
                  <c:v>43900</c:v>
                </c:pt>
                <c:pt idx="536">
                  <c:v>43899</c:v>
                </c:pt>
                <c:pt idx="537">
                  <c:v>43896</c:v>
                </c:pt>
                <c:pt idx="538">
                  <c:v>43895</c:v>
                </c:pt>
                <c:pt idx="539">
                  <c:v>43894</c:v>
                </c:pt>
                <c:pt idx="540">
                  <c:v>43893</c:v>
                </c:pt>
                <c:pt idx="541">
                  <c:v>43892</c:v>
                </c:pt>
                <c:pt idx="542">
                  <c:v>43889</c:v>
                </c:pt>
                <c:pt idx="543">
                  <c:v>43888</c:v>
                </c:pt>
                <c:pt idx="544">
                  <c:v>43887</c:v>
                </c:pt>
                <c:pt idx="545">
                  <c:v>43886</c:v>
                </c:pt>
                <c:pt idx="546">
                  <c:v>43885</c:v>
                </c:pt>
                <c:pt idx="547">
                  <c:v>43882</c:v>
                </c:pt>
                <c:pt idx="548">
                  <c:v>43881</c:v>
                </c:pt>
                <c:pt idx="549">
                  <c:v>43880</c:v>
                </c:pt>
                <c:pt idx="550">
                  <c:v>43879</c:v>
                </c:pt>
                <c:pt idx="551">
                  <c:v>43875</c:v>
                </c:pt>
                <c:pt idx="552">
                  <c:v>43874</c:v>
                </c:pt>
                <c:pt idx="553">
                  <c:v>43873</c:v>
                </c:pt>
                <c:pt idx="554">
                  <c:v>43872</c:v>
                </c:pt>
                <c:pt idx="555">
                  <c:v>43871</c:v>
                </c:pt>
                <c:pt idx="556">
                  <c:v>43868</c:v>
                </c:pt>
                <c:pt idx="557">
                  <c:v>43867</c:v>
                </c:pt>
                <c:pt idx="558">
                  <c:v>43866</c:v>
                </c:pt>
                <c:pt idx="559">
                  <c:v>43865</c:v>
                </c:pt>
                <c:pt idx="560">
                  <c:v>43864</c:v>
                </c:pt>
                <c:pt idx="561">
                  <c:v>43861</c:v>
                </c:pt>
                <c:pt idx="562">
                  <c:v>43860</c:v>
                </c:pt>
                <c:pt idx="563">
                  <c:v>43859</c:v>
                </c:pt>
                <c:pt idx="564">
                  <c:v>43858</c:v>
                </c:pt>
                <c:pt idx="565">
                  <c:v>43857</c:v>
                </c:pt>
                <c:pt idx="566">
                  <c:v>43854</c:v>
                </c:pt>
                <c:pt idx="567">
                  <c:v>43853</c:v>
                </c:pt>
                <c:pt idx="568">
                  <c:v>43852</c:v>
                </c:pt>
                <c:pt idx="569">
                  <c:v>43851</c:v>
                </c:pt>
                <c:pt idx="570">
                  <c:v>43847</c:v>
                </c:pt>
                <c:pt idx="571">
                  <c:v>43846</c:v>
                </c:pt>
                <c:pt idx="572">
                  <c:v>43845</c:v>
                </c:pt>
                <c:pt idx="573">
                  <c:v>43844</c:v>
                </c:pt>
                <c:pt idx="574">
                  <c:v>43843</c:v>
                </c:pt>
                <c:pt idx="575">
                  <c:v>43840</c:v>
                </c:pt>
                <c:pt idx="576">
                  <c:v>43839</c:v>
                </c:pt>
                <c:pt idx="577">
                  <c:v>43838</c:v>
                </c:pt>
                <c:pt idx="578">
                  <c:v>43837</c:v>
                </c:pt>
                <c:pt idx="579">
                  <c:v>43836</c:v>
                </c:pt>
                <c:pt idx="580">
                  <c:v>43833</c:v>
                </c:pt>
                <c:pt idx="581">
                  <c:v>43832</c:v>
                </c:pt>
                <c:pt idx="582">
                  <c:v>43830</c:v>
                </c:pt>
                <c:pt idx="583">
                  <c:v>43829</c:v>
                </c:pt>
                <c:pt idx="584">
                  <c:v>43826</c:v>
                </c:pt>
                <c:pt idx="585">
                  <c:v>43825</c:v>
                </c:pt>
                <c:pt idx="586">
                  <c:v>43823</c:v>
                </c:pt>
                <c:pt idx="587">
                  <c:v>43822</c:v>
                </c:pt>
                <c:pt idx="588">
                  <c:v>43819</c:v>
                </c:pt>
                <c:pt idx="589">
                  <c:v>43818</c:v>
                </c:pt>
                <c:pt idx="590">
                  <c:v>43817</c:v>
                </c:pt>
                <c:pt idx="591">
                  <c:v>43816</c:v>
                </c:pt>
                <c:pt idx="592">
                  <c:v>43815</c:v>
                </c:pt>
                <c:pt idx="593">
                  <c:v>43812</c:v>
                </c:pt>
                <c:pt idx="594">
                  <c:v>43811</c:v>
                </c:pt>
                <c:pt idx="595">
                  <c:v>43810</c:v>
                </c:pt>
                <c:pt idx="596">
                  <c:v>43809</c:v>
                </c:pt>
                <c:pt idx="597">
                  <c:v>43808</c:v>
                </c:pt>
                <c:pt idx="598">
                  <c:v>43805</c:v>
                </c:pt>
                <c:pt idx="599">
                  <c:v>43804</c:v>
                </c:pt>
                <c:pt idx="600">
                  <c:v>43803</c:v>
                </c:pt>
                <c:pt idx="601">
                  <c:v>43802</c:v>
                </c:pt>
                <c:pt idx="602">
                  <c:v>43801</c:v>
                </c:pt>
                <c:pt idx="603">
                  <c:v>43798</c:v>
                </c:pt>
                <c:pt idx="604">
                  <c:v>43796</c:v>
                </c:pt>
                <c:pt idx="605">
                  <c:v>43795</c:v>
                </c:pt>
                <c:pt idx="606">
                  <c:v>43794</c:v>
                </c:pt>
                <c:pt idx="607">
                  <c:v>43791</c:v>
                </c:pt>
                <c:pt idx="608">
                  <c:v>43790</c:v>
                </c:pt>
                <c:pt idx="609">
                  <c:v>43789</c:v>
                </c:pt>
                <c:pt idx="610">
                  <c:v>43788</c:v>
                </c:pt>
                <c:pt idx="611">
                  <c:v>43787</c:v>
                </c:pt>
                <c:pt idx="612">
                  <c:v>43784</c:v>
                </c:pt>
                <c:pt idx="613">
                  <c:v>43783</c:v>
                </c:pt>
                <c:pt idx="614">
                  <c:v>43782</c:v>
                </c:pt>
                <c:pt idx="615">
                  <c:v>43781</c:v>
                </c:pt>
                <c:pt idx="616">
                  <c:v>43780</c:v>
                </c:pt>
                <c:pt idx="617">
                  <c:v>43777</c:v>
                </c:pt>
                <c:pt idx="618">
                  <c:v>43776</c:v>
                </c:pt>
                <c:pt idx="619">
                  <c:v>43775</c:v>
                </c:pt>
                <c:pt idx="620">
                  <c:v>43774</c:v>
                </c:pt>
                <c:pt idx="621">
                  <c:v>43773</c:v>
                </c:pt>
                <c:pt idx="622">
                  <c:v>43770</c:v>
                </c:pt>
                <c:pt idx="623">
                  <c:v>43769</c:v>
                </c:pt>
                <c:pt idx="624">
                  <c:v>43768</c:v>
                </c:pt>
                <c:pt idx="625">
                  <c:v>43767</c:v>
                </c:pt>
                <c:pt idx="626">
                  <c:v>43766</c:v>
                </c:pt>
                <c:pt idx="627">
                  <c:v>43763</c:v>
                </c:pt>
                <c:pt idx="628">
                  <c:v>43762</c:v>
                </c:pt>
                <c:pt idx="629">
                  <c:v>43761</c:v>
                </c:pt>
                <c:pt idx="630">
                  <c:v>43760</c:v>
                </c:pt>
                <c:pt idx="631">
                  <c:v>43759</c:v>
                </c:pt>
                <c:pt idx="632">
                  <c:v>43756</c:v>
                </c:pt>
                <c:pt idx="633">
                  <c:v>43755</c:v>
                </c:pt>
                <c:pt idx="634">
                  <c:v>43754</c:v>
                </c:pt>
                <c:pt idx="635">
                  <c:v>43753</c:v>
                </c:pt>
                <c:pt idx="636">
                  <c:v>43752</c:v>
                </c:pt>
                <c:pt idx="637">
                  <c:v>43749</c:v>
                </c:pt>
                <c:pt idx="638">
                  <c:v>43748</c:v>
                </c:pt>
                <c:pt idx="639">
                  <c:v>43747</c:v>
                </c:pt>
                <c:pt idx="640">
                  <c:v>43746</c:v>
                </c:pt>
                <c:pt idx="641">
                  <c:v>43745</c:v>
                </c:pt>
                <c:pt idx="642">
                  <c:v>43742</c:v>
                </c:pt>
                <c:pt idx="643">
                  <c:v>43741</c:v>
                </c:pt>
                <c:pt idx="644">
                  <c:v>43740</c:v>
                </c:pt>
                <c:pt idx="645">
                  <c:v>43739</c:v>
                </c:pt>
                <c:pt idx="646">
                  <c:v>43738</c:v>
                </c:pt>
                <c:pt idx="647">
                  <c:v>43735</c:v>
                </c:pt>
                <c:pt idx="648">
                  <c:v>43734</c:v>
                </c:pt>
                <c:pt idx="649">
                  <c:v>43733</c:v>
                </c:pt>
                <c:pt idx="650">
                  <c:v>43732</c:v>
                </c:pt>
                <c:pt idx="651">
                  <c:v>43731</c:v>
                </c:pt>
                <c:pt idx="652">
                  <c:v>43728</c:v>
                </c:pt>
                <c:pt idx="653">
                  <c:v>43727</c:v>
                </c:pt>
                <c:pt idx="654">
                  <c:v>43726</c:v>
                </c:pt>
                <c:pt idx="655">
                  <c:v>43725</c:v>
                </c:pt>
                <c:pt idx="656">
                  <c:v>43724</c:v>
                </c:pt>
                <c:pt idx="657">
                  <c:v>43721</c:v>
                </c:pt>
                <c:pt idx="658">
                  <c:v>43720</c:v>
                </c:pt>
                <c:pt idx="659">
                  <c:v>43719</c:v>
                </c:pt>
                <c:pt idx="660">
                  <c:v>43718</c:v>
                </c:pt>
                <c:pt idx="661">
                  <c:v>43717</c:v>
                </c:pt>
                <c:pt idx="662">
                  <c:v>43714</c:v>
                </c:pt>
                <c:pt idx="663">
                  <c:v>43713</c:v>
                </c:pt>
                <c:pt idx="664">
                  <c:v>43712</c:v>
                </c:pt>
                <c:pt idx="665">
                  <c:v>43711</c:v>
                </c:pt>
                <c:pt idx="666">
                  <c:v>43707</c:v>
                </c:pt>
                <c:pt idx="667">
                  <c:v>43706</c:v>
                </c:pt>
                <c:pt idx="668">
                  <c:v>43705</c:v>
                </c:pt>
                <c:pt idx="669">
                  <c:v>43704</c:v>
                </c:pt>
                <c:pt idx="670">
                  <c:v>43703</c:v>
                </c:pt>
                <c:pt idx="671">
                  <c:v>43700</c:v>
                </c:pt>
                <c:pt idx="672">
                  <c:v>43699</c:v>
                </c:pt>
                <c:pt idx="673">
                  <c:v>43698</c:v>
                </c:pt>
                <c:pt idx="674">
                  <c:v>43697</c:v>
                </c:pt>
                <c:pt idx="675">
                  <c:v>43696</c:v>
                </c:pt>
                <c:pt idx="676">
                  <c:v>43693</c:v>
                </c:pt>
                <c:pt idx="677">
                  <c:v>43692</c:v>
                </c:pt>
                <c:pt idx="678">
                  <c:v>43691</c:v>
                </c:pt>
                <c:pt idx="679">
                  <c:v>43690</c:v>
                </c:pt>
                <c:pt idx="680">
                  <c:v>43689</c:v>
                </c:pt>
                <c:pt idx="681">
                  <c:v>43686</c:v>
                </c:pt>
                <c:pt idx="682">
                  <c:v>43685</c:v>
                </c:pt>
                <c:pt idx="683">
                  <c:v>43684</c:v>
                </c:pt>
                <c:pt idx="684">
                  <c:v>43683</c:v>
                </c:pt>
                <c:pt idx="685">
                  <c:v>43682</c:v>
                </c:pt>
                <c:pt idx="686">
                  <c:v>43679</c:v>
                </c:pt>
                <c:pt idx="687">
                  <c:v>43678</c:v>
                </c:pt>
                <c:pt idx="688">
                  <c:v>43677</c:v>
                </c:pt>
                <c:pt idx="689">
                  <c:v>43676</c:v>
                </c:pt>
                <c:pt idx="690">
                  <c:v>43675</c:v>
                </c:pt>
                <c:pt idx="691">
                  <c:v>43672</c:v>
                </c:pt>
                <c:pt idx="692">
                  <c:v>43671</c:v>
                </c:pt>
                <c:pt idx="693">
                  <c:v>43670</c:v>
                </c:pt>
                <c:pt idx="694">
                  <c:v>43669</c:v>
                </c:pt>
                <c:pt idx="695">
                  <c:v>43668</c:v>
                </c:pt>
                <c:pt idx="696">
                  <c:v>43665</c:v>
                </c:pt>
                <c:pt idx="697">
                  <c:v>43664</c:v>
                </c:pt>
                <c:pt idx="698">
                  <c:v>43663</c:v>
                </c:pt>
                <c:pt idx="699">
                  <c:v>43662</c:v>
                </c:pt>
                <c:pt idx="700">
                  <c:v>43661</c:v>
                </c:pt>
                <c:pt idx="701">
                  <c:v>43658</c:v>
                </c:pt>
                <c:pt idx="702">
                  <c:v>43657</c:v>
                </c:pt>
                <c:pt idx="703">
                  <c:v>43656</c:v>
                </c:pt>
                <c:pt idx="704">
                  <c:v>43655</c:v>
                </c:pt>
                <c:pt idx="705">
                  <c:v>43654</c:v>
                </c:pt>
                <c:pt idx="706">
                  <c:v>43651</c:v>
                </c:pt>
                <c:pt idx="707">
                  <c:v>43649</c:v>
                </c:pt>
                <c:pt idx="708">
                  <c:v>43648</c:v>
                </c:pt>
                <c:pt idx="709">
                  <c:v>43647</c:v>
                </c:pt>
                <c:pt idx="710">
                  <c:v>43644</c:v>
                </c:pt>
                <c:pt idx="711">
                  <c:v>43643</c:v>
                </c:pt>
                <c:pt idx="712">
                  <c:v>43642</c:v>
                </c:pt>
                <c:pt idx="713">
                  <c:v>43641</c:v>
                </c:pt>
                <c:pt idx="714">
                  <c:v>43640</c:v>
                </c:pt>
                <c:pt idx="715">
                  <c:v>43637</c:v>
                </c:pt>
                <c:pt idx="716">
                  <c:v>43636</c:v>
                </c:pt>
                <c:pt idx="717">
                  <c:v>43635</c:v>
                </c:pt>
                <c:pt idx="718">
                  <c:v>43634</c:v>
                </c:pt>
                <c:pt idx="719">
                  <c:v>43633</c:v>
                </c:pt>
                <c:pt idx="720">
                  <c:v>43630</c:v>
                </c:pt>
                <c:pt idx="721">
                  <c:v>43629</c:v>
                </c:pt>
                <c:pt idx="722">
                  <c:v>43628</c:v>
                </c:pt>
                <c:pt idx="723">
                  <c:v>43627</c:v>
                </c:pt>
                <c:pt idx="724">
                  <c:v>43626</c:v>
                </c:pt>
                <c:pt idx="725">
                  <c:v>43623</c:v>
                </c:pt>
                <c:pt idx="726">
                  <c:v>43622</c:v>
                </c:pt>
                <c:pt idx="727">
                  <c:v>43621</c:v>
                </c:pt>
                <c:pt idx="728">
                  <c:v>43620</c:v>
                </c:pt>
                <c:pt idx="729">
                  <c:v>43619</c:v>
                </c:pt>
                <c:pt idx="730">
                  <c:v>43616</c:v>
                </c:pt>
                <c:pt idx="731">
                  <c:v>43615</c:v>
                </c:pt>
                <c:pt idx="732">
                  <c:v>43614</c:v>
                </c:pt>
                <c:pt idx="733">
                  <c:v>43613</c:v>
                </c:pt>
                <c:pt idx="734">
                  <c:v>43609</c:v>
                </c:pt>
                <c:pt idx="735">
                  <c:v>43608</c:v>
                </c:pt>
                <c:pt idx="736">
                  <c:v>43607</c:v>
                </c:pt>
                <c:pt idx="737">
                  <c:v>43606</c:v>
                </c:pt>
                <c:pt idx="738">
                  <c:v>43605</c:v>
                </c:pt>
                <c:pt idx="739">
                  <c:v>43602</c:v>
                </c:pt>
                <c:pt idx="740">
                  <c:v>43601</c:v>
                </c:pt>
                <c:pt idx="741">
                  <c:v>43600</c:v>
                </c:pt>
                <c:pt idx="742">
                  <c:v>43599</c:v>
                </c:pt>
                <c:pt idx="743">
                  <c:v>43598</c:v>
                </c:pt>
                <c:pt idx="744">
                  <c:v>43595</c:v>
                </c:pt>
                <c:pt idx="745">
                  <c:v>43594</c:v>
                </c:pt>
                <c:pt idx="746">
                  <c:v>43593</c:v>
                </c:pt>
                <c:pt idx="747">
                  <c:v>43592</c:v>
                </c:pt>
                <c:pt idx="748">
                  <c:v>43591</c:v>
                </c:pt>
                <c:pt idx="749">
                  <c:v>43588</c:v>
                </c:pt>
                <c:pt idx="750">
                  <c:v>43587</c:v>
                </c:pt>
                <c:pt idx="751">
                  <c:v>43586</c:v>
                </c:pt>
                <c:pt idx="752">
                  <c:v>43585</c:v>
                </c:pt>
                <c:pt idx="753">
                  <c:v>43584</c:v>
                </c:pt>
                <c:pt idx="754">
                  <c:v>43581</c:v>
                </c:pt>
                <c:pt idx="755">
                  <c:v>43580</c:v>
                </c:pt>
                <c:pt idx="756">
                  <c:v>43579</c:v>
                </c:pt>
                <c:pt idx="757">
                  <c:v>43578</c:v>
                </c:pt>
                <c:pt idx="758">
                  <c:v>43577</c:v>
                </c:pt>
                <c:pt idx="759">
                  <c:v>43573</c:v>
                </c:pt>
                <c:pt idx="760">
                  <c:v>43572</c:v>
                </c:pt>
                <c:pt idx="761">
                  <c:v>43571</c:v>
                </c:pt>
                <c:pt idx="762">
                  <c:v>43570</c:v>
                </c:pt>
                <c:pt idx="763">
                  <c:v>43567</c:v>
                </c:pt>
                <c:pt idx="764">
                  <c:v>43566</c:v>
                </c:pt>
                <c:pt idx="765">
                  <c:v>43565</c:v>
                </c:pt>
                <c:pt idx="766">
                  <c:v>43564</c:v>
                </c:pt>
                <c:pt idx="767">
                  <c:v>43563</c:v>
                </c:pt>
                <c:pt idx="768">
                  <c:v>43560</c:v>
                </c:pt>
                <c:pt idx="769">
                  <c:v>43559</c:v>
                </c:pt>
                <c:pt idx="770">
                  <c:v>43558</c:v>
                </c:pt>
                <c:pt idx="771">
                  <c:v>43557</c:v>
                </c:pt>
                <c:pt idx="772">
                  <c:v>43556</c:v>
                </c:pt>
                <c:pt idx="773">
                  <c:v>43553</c:v>
                </c:pt>
                <c:pt idx="774">
                  <c:v>43552</c:v>
                </c:pt>
                <c:pt idx="775">
                  <c:v>43551</c:v>
                </c:pt>
                <c:pt idx="776">
                  <c:v>43550</c:v>
                </c:pt>
                <c:pt idx="777">
                  <c:v>43549</c:v>
                </c:pt>
                <c:pt idx="778">
                  <c:v>43546</c:v>
                </c:pt>
                <c:pt idx="779">
                  <c:v>43545</c:v>
                </c:pt>
                <c:pt idx="780">
                  <c:v>43544</c:v>
                </c:pt>
                <c:pt idx="781">
                  <c:v>43543</c:v>
                </c:pt>
                <c:pt idx="782">
                  <c:v>43542</c:v>
                </c:pt>
                <c:pt idx="783">
                  <c:v>43539</c:v>
                </c:pt>
                <c:pt idx="784">
                  <c:v>43538</c:v>
                </c:pt>
                <c:pt idx="785">
                  <c:v>43537</c:v>
                </c:pt>
                <c:pt idx="786">
                  <c:v>43536</c:v>
                </c:pt>
                <c:pt idx="787">
                  <c:v>43535</c:v>
                </c:pt>
                <c:pt idx="788">
                  <c:v>43532</c:v>
                </c:pt>
                <c:pt idx="789">
                  <c:v>43531</c:v>
                </c:pt>
                <c:pt idx="790">
                  <c:v>43530</c:v>
                </c:pt>
                <c:pt idx="791">
                  <c:v>43529</c:v>
                </c:pt>
                <c:pt idx="792">
                  <c:v>43528</c:v>
                </c:pt>
                <c:pt idx="793">
                  <c:v>43525</c:v>
                </c:pt>
                <c:pt idx="794">
                  <c:v>43524</c:v>
                </c:pt>
                <c:pt idx="795">
                  <c:v>43523</c:v>
                </c:pt>
                <c:pt idx="796">
                  <c:v>43522</c:v>
                </c:pt>
                <c:pt idx="797">
                  <c:v>43521</c:v>
                </c:pt>
                <c:pt idx="798">
                  <c:v>43518</c:v>
                </c:pt>
                <c:pt idx="799">
                  <c:v>43517</c:v>
                </c:pt>
                <c:pt idx="800">
                  <c:v>43516</c:v>
                </c:pt>
                <c:pt idx="801">
                  <c:v>43515</c:v>
                </c:pt>
                <c:pt idx="802">
                  <c:v>43511</c:v>
                </c:pt>
                <c:pt idx="803">
                  <c:v>43510</c:v>
                </c:pt>
                <c:pt idx="804">
                  <c:v>43509</c:v>
                </c:pt>
                <c:pt idx="805">
                  <c:v>43508</c:v>
                </c:pt>
                <c:pt idx="806">
                  <c:v>43507</c:v>
                </c:pt>
                <c:pt idx="807">
                  <c:v>43504</c:v>
                </c:pt>
                <c:pt idx="808">
                  <c:v>43503</c:v>
                </c:pt>
                <c:pt idx="809">
                  <c:v>43502</c:v>
                </c:pt>
                <c:pt idx="810">
                  <c:v>43501</c:v>
                </c:pt>
                <c:pt idx="811">
                  <c:v>43500</c:v>
                </c:pt>
                <c:pt idx="812">
                  <c:v>43497</c:v>
                </c:pt>
                <c:pt idx="813">
                  <c:v>43496</c:v>
                </c:pt>
                <c:pt idx="814">
                  <c:v>43495</c:v>
                </c:pt>
                <c:pt idx="815">
                  <c:v>43494</c:v>
                </c:pt>
                <c:pt idx="816">
                  <c:v>43493</c:v>
                </c:pt>
                <c:pt idx="817">
                  <c:v>43490</c:v>
                </c:pt>
                <c:pt idx="818">
                  <c:v>43489</c:v>
                </c:pt>
                <c:pt idx="819">
                  <c:v>43488</c:v>
                </c:pt>
                <c:pt idx="820">
                  <c:v>43487</c:v>
                </c:pt>
                <c:pt idx="821">
                  <c:v>43483</c:v>
                </c:pt>
                <c:pt idx="822">
                  <c:v>43482</c:v>
                </c:pt>
                <c:pt idx="823">
                  <c:v>43481</c:v>
                </c:pt>
                <c:pt idx="824">
                  <c:v>43480</c:v>
                </c:pt>
                <c:pt idx="825">
                  <c:v>43479</c:v>
                </c:pt>
                <c:pt idx="826">
                  <c:v>43476</c:v>
                </c:pt>
                <c:pt idx="827">
                  <c:v>43475</c:v>
                </c:pt>
                <c:pt idx="828">
                  <c:v>43474</c:v>
                </c:pt>
                <c:pt idx="829">
                  <c:v>43473</c:v>
                </c:pt>
                <c:pt idx="830">
                  <c:v>43472</c:v>
                </c:pt>
                <c:pt idx="831">
                  <c:v>43469</c:v>
                </c:pt>
                <c:pt idx="832">
                  <c:v>43468</c:v>
                </c:pt>
                <c:pt idx="833">
                  <c:v>43467</c:v>
                </c:pt>
                <c:pt idx="834">
                  <c:v>43465</c:v>
                </c:pt>
                <c:pt idx="835">
                  <c:v>43462</c:v>
                </c:pt>
                <c:pt idx="836">
                  <c:v>43461</c:v>
                </c:pt>
                <c:pt idx="837">
                  <c:v>43460</c:v>
                </c:pt>
                <c:pt idx="838">
                  <c:v>43458</c:v>
                </c:pt>
                <c:pt idx="839">
                  <c:v>43455</c:v>
                </c:pt>
                <c:pt idx="840">
                  <c:v>43454</c:v>
                </c:pt>
                <c:pt idx="841">
                  <c:v>43453</c:v>
                </c:pt>
                <c:pt idx="842">
                  <c:v>43452</c:v>
                </c:pt>
                <c:pt idx="843">
                  <c:v>43451</c:v>
                </c:pt>
                <c:pt idx="844">
                  <c:v>43448</c:v>
                </c:pt>
                <c:pt idx="845">
                  <c:v>43447</c:v>
                </c:pt>
                <c:pt idx="846">
                  <c:v>43446</c:v>
                </c:pt>
                <c:pt idx="847">
                  <c:v>43445</c:v>
                </c:pt>
                <c:pt idx="848">
                  <c:v>43444</c:v>
                </c:pt>
                <c:pt idx="849">
                  <c:v>43441</c:v>
                </c:pt>
                <c:pt idx="850">
                  <c:v>43440</c:v>
                </c:pt>
                <c:pt idx="851">
                  <c:v>43438</c:v>
                </c:pt>
                <c:pt idx="852">
                  <c:v>43437</c:v>
                </c:pt>
                <c:pt idx="853">
                  <c:v>43434</c:v>
                </c:pt>
                <c:pt idx="854">
                  <c:v>43433</c:v>
                </c:pt>
                <c:pt idx="855">
                  <c:v>43432</c:v>
                </c:pt>
                <c:pt idx="856">
                  <c:v>43431</c:v>
                </c:pt>
                <c:pt idx="857">
                  <c:v>43430</c:v>
                </c:pt>
                <c:pt idx="858">
                  <c:v>43427</c:v>
                </c:pt>
                <c:pt idx="859">
                  <c:v>43425</c:v>
                </c:pt>
                <c:pt idx="860">
                  <c:v>43424</c:v>
                </c:pt>
                <c:pt idx="861">
                  <c:v>43423</c:v>
                </c:pt>
                <c:pt idx="862">
                  <c:v>43420</c:v>
                </c:pt>
                <c:pt idx="863">
                  <c:v>43419</c:v>
                </c:pt>
                <c:pt idx="864">
                  <c:v>43418</c:v>
                </c:pt>
                <c:pt idx="865">
                  <c:v>43417</c:v>
                </c:pt>
                <c:pt idx="866">
                  <c:v>43416</c:v>
                </c:pt>
                <c:pt idx="867">
                  <c:v>43413</c:v>
                </c:pt>
                <c:pt idx="868">
                  <c:v>43412</c:v>
                </c:pt>
                <c:pt idx="869">
                  <c:v>43411</c:v>
                </c:pt>
                <c:pt idx="870">
                  <c:v>43410</c:v>
                </c:pt>
                <c:pt idx="871">
                  <c:v>43409</c:v>
                </c:pt>
                <c:pt idx="872">
                  <c:v>43406</c:v>
                </c:pt>
                <c:pt idx="873">
                  <c:v>43405</c:v>
                </c:pt>
                <c:pt idx="874">
                  <c:v>43404</c:v>
                </c:pt>
                <c:pt idx="875">
                  <c:v>43403</c:v>
                </c:pt>
                <c:pt idx="876">
                  <c:v>43402</c:v>
                </c:pt>
                <c:pt idx="877">
                  <c:v>43399</c:v>
                </c:pt>
                <c:pt idx="878">
                  <c:v>43398</c:v>
                </c:pt>
                <c:pt idx="879">
                  <c:v>43397</c:v>
                </c:pt>
                <c:pt idx="880">
                  <c:v>43396</c:v>
                </c:pt>
                <c:pt idx="881">
                  <c:v>43395</c:v>
                </c:pt>
                <c:pt idx="882">
                  <c:v>43392</c:v>
                </c:pt>
                <c:pt idx="883">
                  <c:v>43391</c:v>
                </c:pt>
                <c:pt idx="884">
                  <c:v>43390</c:v>
                </c:pt>
                <c:pt idx="885">
                  <c:v>43389</c:v>
                </c:pt>
                <c:pt idx="886">
                  <c:v>43388</c:v>
                </c:pt>
                <c:pt idx="887">
                  <c:v>43385</c:v>
                </c:pt>
                <c:pt idx="888">
                  <c:v>43384</c:v>
                </c:pt>
                <c:pt idx="889">
                  <c:v>43383</c:v>
                </c:pt>
                <c:pt idx="890">
                  <c:v>43382</c:v>
                </c:pt>
                <c:pt idx="891">
                  <c:v>43381</c:v>
                </c:pt>
                <c:pt idx="892">
                  <c:v>43378</c:v>
                </c:pt>
                <c:pt idx="893">
                  <c:v>43377</c:v>
                </c:pt>
                <c:pt idx="894">
                  <c:v>43376</c:v>
                </c:pt>
                <c:pt idx="895">
                  <c:v>43375</c:v>
                </c:pt>
                <c:pt idx="896">
                  <c:v>43374</c:v>
                </c:pt>
                <c:pt idx="897">
                  <c:v>43371</c:v>
                </c:pt>
                <c:pt idx="898">
                  <c:v>43370</c:v>
                </c:pt>
                <c:pt idx="899">
                  <c:v>43369</c:v>
                </c:pt>
                <c:pt idx="900">
                  <c:v>43368</c:v>
                </c:pt>
                <c:pt idx="901">
                  <c:v>43367</c:v>
                </c:pt>
                <c:pt idx="902">
                  <c:v>43364</c:v>
                </c:pt>
                <c:pt idx="903">
                  <c:v>43363</c:v>
                </c:pt>
                <c:pt idx="904">
                  <c:v>43362</c:v>
                </c:pt>
                <c:pt idx="905">
                  <c:v>43361</c:v>
                </c:pt>
                <c:pt idx="906">
                  <c:v>43360</c:v>
                </c:pt>
                <c:pt idx="907">
                  <c:v>43357</c:v>
                </c:pt>
                <c:pt idx="908">
                  <c:v>43356</c:v>
                </c:pt>
                <c:pt idx="909">
                  <c:v>43355</c:v>
                </c:pt>
                <c:pt idx="910">
                  <c:v>43354</c:v>
                </c:pt>
                <c:pt idx="911">
                  <c:v>43353</c:v>
                </c:pt>
                <c:pt idx="912">
                  <c:v>43350</c:v>
                </c:pt>
                <c:pt idx="913">
                  <c:v>43349</c:v>
                </c:pt>
                <c:pt idx="914">
                  <c:v>43348</c:v>
                </c:pt>
                <c:pt idx="915">
                  <c:v>43347</c:v>
                </c:pt>
                <c:pt idx="916">
                  <c:v>43343</c:v>
                </c:pt>
                <c:pt idx="917">
                  <c:v>43342</c:v>
                </c:pt>
                <c:pt idx="918">
                  <c:v>43341</c:v>
                </c:pt>
                <c:pt idx="919">
                  <c:v>43340</c:v>
                </c:pt>
                <c:pt idx="920">
                  <c:v>43339</c:v>
                </c:pt>
                <c:pt idx="921">
                  <c:v>43336</c:v>
                </c:pt>
                <c:pt idx="922">
                  <c:v>43335</c:v>
                </c:pt>
                <c:pt idx="923">
                  <c:v>43334</c:v>
                </c:pt>
                <c:pt idx="924">
                  <c:v>43333</c:v>
                </c:pt>
                <c:pt idx="925">
                  <c:v>43332</c:v>
                </c:pt>
                <c:pt idx="926">
                  <c:v>43329</c:v>
                </c:pt>
                <c:pt idx="927">
                  <c:v>43328</c:v>
                </c:pt>
                <c:pt idx="928">
                  <c:v>43327</c:v>
                </c:pt>
                <c:pt idx="929">
                  <c:v>43326</c:v>
                </c:pt>
                <c:pt idx="930">
                  <c:v>43325</c:v>
                </c:pt>
                <c:pt idx="931">
                  <c:v>43322</c:v>
                </c:pt>
                <c:pt idx="932">
                  <c:v>43321</c:v>
                </c:pt>
                <c:pt idx="933">
                  <c:v>43320</c:v>
                </c:pt>
                <c:pt idx="934">
                  <c:v>43319</c:v>
                </c:pt>
                <c:pt idx="935">
                  <c:v>43318</c:v>
                </c:pt>
                <c:pt idx="936">
                  <c:v>43315</c:v>
                </c:pt>
                <c:pt idx="937">
                  <c:v>43314</c:v>
                </c:pt>
                <c:pt idx="938">
                  <c:v>43313</c:v>
                </c:pt>
                <c:pt idx="939">
                  <c:v>43312</c:v>
                </c:pt>
                <c:pt idx="940">
                  <c:v>43311</c:v>
                </c:pt>
                <c:pt idx="941">
                  <c:v>43308</c:v>
                </c:pt>
                <c:pt idx="942">
                  <c:v>43307</c:v>
                </c:pt>
                <c:pt idx="943">
                  <c:v>43306</c:v>
                </c:pt>
                <c:pt idx="944">
                  <c:v>43305</c:v>
                </c:pt>
                <c:pt idx="945">
                  <c:v>43304</c:v>
                </c:pt>
                <c:pt idx="946">
                  <c:v>43301</c:v>
                </c:pt>
                <c:pt idx="947">
                  <c:v>43300</c:v>
                </c:pt>
                <c:pt idx="948">
                  <c:v>43299</c:v>
                </c:pt>
                <c:pt idx="949">
                  <c:v>43298</c:v>
                </c:pt>
                <c:pt idx="950">
                  <c:v>43297</c:v>
                </c:pt>
                <c:pt idx="951">
                  <c:v>43294</c:v>
                </c:pt>
                <c:pt idx="952">
                  <c:v>43293</c:v>
                </c:pt>
                <c:pt idx="953">
                  <c:v>43292</c:v>
                </c:pt>
                <c:pt idx="954">
                  <c:v>43291</c:v>
                </c:pt>
                <c:pt idx="955">
                  <c:v>43290</c:v>
                </c:pt>
                <c:pt idx="956">
                  <c:v>43287</c:v>
                </c:pt>
                <c:pt idx="957">
                  <c:v>43286</c:v>
                </c:pt>
                <c:pt idx="958">
                  <c:v>43284</c:v>
                </c:pt>
                <c:pt idx="959">
                  <c:v>43283</c:v>
                </c:pt>
                <c:pt idx="960">
                  <c:v>43280</c:v>
                </c:pt>
                <c:pt idx="961">
                  <c:v>43279</c:v>
                </c:pt>
                <c:pt idx="962">
                  <c:v>43278</c:v>
                </c:pt>
                <c:pt idx="963">
                  <c:v>43277</c:v>
                </c:pt>
                <c:pt idx="964">
                  <c:v>43276</c:v>
                </c:pt>
                <c:pt idx="965">
                  <c:v>43273</c:v>
                </c:pt>
                <c:pt idx="966">
                  <c:v>43272</c:v>
                </c:pt>
                <c:pt idx="967">
                  <c:v>43271</c:v>
                </c:pt>
                <c:pt idx="968">
                  <c:v>43270</c:v>
                </c:pt>
                <c:pt idx="969">
                  <c:v>43269</c:v>
                </c:pt>
                <c:pt idx="970">
                  <c:v>43266</c:v>
                </c:pt>
                <c:pt idx="971">
                  <c:v>43265</c:v>
                </c:pt>
                <c:pt idx="972">
                  <c:v>43264</c:v>
                </c:pt>
                <c:pt idx="973">
                  <c:v>43263</c:v>
                </c:pt>
                <c:pt idx="974">
                  <c:v>43262</c:v>
                </c:pt>
                <c:pt idx="975">
                  <c:v>43259</c:v>
                </c:pt>
                <c:pt idx="976">
                  <c:v>43258</c:v>
                </c:pt>
                <c:pt idx="977">
                  <c:v>43257</c:v>
                </c:pt>
                <c:pt idx="978">
                  <c:v>43256</c:v>
                </c:pt>
                <c:pt idx="979">
                  <c:v>43255</c:v>
                </c:pt>
                <c:pt idx="980">
                  <c:v>43252</c:v>
                </c:pt>
                <c:pt idx="981">
                  <c:v>43251</c:v>
                </c:pt>
                <c:pt idx="982">
                  <c:v>43250</c:v>
                </c:pt>
                <c:pt idx="983">
                  <c:v>43249</c:v>
                </c:pt>
                <c:pt idx="984">
                  <c:v>43245</c:v>
                </c:pt>
                <c:pt idx="985">
                  <c:v>43244</c:v>
                </c:pt>
                <c:pt idx="986">
                  <c:v>43243</c:v>
                </c:pt>
                <c:pt idx="987">
                  <c:v>43242</c:v>
                </c:pt>
                <c:pt idx="988">
                  <c:v>43241</c:v>
                </c:pt>
                <c:pt idx="989">
                  <c:v>43238</c:v>
                </c:pt>
                <c:pt idx="990">
                  <c:v>43237</c:v>
                </c:pt>
                <c:pt idx="991">
                  <c:v>43236</c:v>
                </c:pt>
                <c:pt idx="992">
                  <c:v>43235</c:v>
                </c:pt>
                <c:pt idx="993">
                  <c:v>43234</c:v>
                </c:pt>
                <c:pt idx="994">
                  <c:v>43231</c:v>
                </c:pt>
                <c:pt idx="995">
                  <c:v>43230</c:v>
                </c:pt>
                <c:pt idx="996">
                  <c:v>43229</c:v>
                </c:pt>
                <c:pt idx="997">
                  <c:v>43228</c:v>
                </c:pt>
                <c:pt idx="998">
                  <c:v>43227</c:v>
                </c:pt>
                <c:pt idx="999">
                  <c:v>43224</c:v>
                </c:pt>
                <c:pt idx="1000">
                  <c:v>43223</c:v>
                </c:pt>
                <c:pt idx="1001">
                  <c:v>43222</c:v>
                </c:pt>
                <c:pt idx="1002">
                  <c:v>43221</c:v>
                </c:pt>
                <c:pt idx="1003">
                  <c:v>43220</c:v>
                </c:pt>
                <c:pt idx="1004">
                  <c:v>43217</c:v>
                </c:pt>
                <c:pt idx="1005">
                  <c:v>43216</c:v>
                </c:pt>
                <c:pt idx="1006">
                  <c:v>43215</c:v>
                </c:pt>
                <c:pt idx="1007">
                  <c:v>43214</c:v>
                </c:pt>
                <c:pt idx="1008">
                  <c:v>43213</c:v>
                </c:pt>
                <c:pt idx="1009">
                  <c:v>43210</c:v>
                </c:pt>
                <c:pt idx="1010">
                  <c:v>43209</c:v>
                </c:pt>
                <c:pt idx="1011">
                  <c:v>43208</c:v>
                </c:pt>
                <c:pt idx="1012">
                  <c:v>43207</c:v>
                </c:pt>
                <c:pt idx="1013">
                  <c:v>43206</c:v>
                </c:pt>
                <c:pt idx="1014">
                  <c:v>43203</c:v>
                </c:pt>
                <c:pt idx="1015">
                  <c:v>43202</c:v>
                </c:pt>
                <c:pt idx="1016">
                  <c:v>43201</c:v>
                </c:pt>
                <c:pt idx="1017">
                  <c:v>43200</c:v>
                </c:pt>
                <c:pt idx="1018">
                  <c:v>43199</c:v>
                </c:pt>
                <c:pt idx="1019">
                  <c:v>43196</c:v>
                </c:pt>
                <c:pt idx="1020">
                  <c:v>43195</c:v>
                </c:pt>
                <c:pt idx="1021">
                  <c:v>43194</c:v>
                </c:pt>
                <c:pt idx="1022">
                  <c:v>43193</c:v>
                </c:pt>
                <c:pt idx="1023">
                  <c:v>43192</c:v>
                </c:pt>
                <c:pt idx="1024">
                  <c:v>43188</c:v>
                </c:pt>
                <c:pt idx="1025">
                  <c:v>43187</c:v>
                </c:pt>
                <c:pt idx="1026">
                  <c:v>43186</c:v>
                </c:pt>
                <c:pt idx="1027">
                  <c:v>43185</c:v>
                </c:pt>
                <c:pt idx="1028">
                  <c:v>43182</c:v>
                </c:pt>
                <c:pt idx="1029">
                  <c:v>43181</c:v>
                </c:pt>
                <c:pt idx="1030">
                  <c:v>43180</c:v>
                </c:pt>
                <c:pt idx="1031">
                  <c:v>43179</c:v>
                </c:pt>
                <c:pt idx="1032">
                  <c:v>43178</c:v>
                </c:pt>
                <c:pt idx="1033">
                  <c:v>43175</c:v>
                </c:pt>
                <c:pt idx="1034">
                  <c:v>43174</c:v>
                </c:pt>
                <c:pt idx="1035">
                  <c:v>43173</c:v>
                </c:pt>
                <c:pt idx="1036">
                  <c:v>43172</c:v>
                </c:pt>
                <c:pt idx="1037">
                  <c:v>43171</c:v>
                </c:pt>
                <c:pt idx="1038">
                  <c:v>43168</c:v>
                </c:pt>
                <c:pt idx="1039">
                  <c:v>43167</c:v>
                </c:pt>
                <c:pt idx="1040">
                  <c:v>43166</c:v>
                </c:pt>
                <c:pt idx="1041">
                  <c:v>43165</c:v>
                </c:pt>
                <c:pt idx="1042">
                  <c:v>43164</c:v>
                </c:pt>
                <c:pt idx="1043">
                  <c:v>43161</c:v>
                </c:pt>
                <c:pt idx="1044">
                  <c:v>43160</c:v>
                </c:pt>
                <c:pt idx="1045">
                  <c:v>43159</c:v>
                </c:pt>
                <c:pt idx="1046">
                  <c:v>43158</c:v>
                </c:pt>
                <c:pt idx="1047">
                  <c:v>43157</c:v>
                </c:pt>
                <c:pt idx="1048">
                  <c:v>43154</c:v>
                </c:pt>
                <c:pt idx="1049">
                  <c:v>43153</c:v>
                </c:pt>
                <c:pt idx="1050">
                  <c:v>43152</c:v>
                </c:pt>
                <c:pt idx="1051">
                  <c:v>43151</c:v>
                </c:pt>
                <c:pt idx="1052">
                  <c:v>43147</c:v>
                </c:pt>
                <c:pt idx="1053">
                  <c:v>43146</c:v>
                </c:pt>
                <c:pt idx="1054">
                  <c:v>43145</c:v>
                </c:pt>
                <c:pt idx="1055">
                  <c:v>43144</c:v>
                </c:pt>
                <c:pt idx="1056">
                  <c:v>43143</c:v>
                </c:pt>
                <c:pt idx="1057">
                  <c:v>43140</c:v>
                </c:pt>
                <c:pt idx="1058">
                  <c:v>43139</c:v>
                </c:pt>
                <c:pt idx="1059">
                  <c:v>43138</c:v>
                </c:pt>
                <c:pt idx="1060">
                  <c:v>43137</c:v>
                </c:pt>
                <c:pt idx="1061">
                  <c:v>43136</c:v>
                </c:pt>
                <c:pt idx="1062">
                  <c:v>43133</c:v>
                </c:pt>
                <c:pt idx="1063">
                  <c:v>43132</c:v>
                </c:pt>
                <c:pt idx="1064">
                  <c:v>43131</c:v>
                </c:pt>
                <c:pt idx="1065">
                  <c:v>43130</c:v>
                </c:pt>
                <c:pt idx="1066">
                  <c:v>43129</c:v>
                </c:pt>
                <c:pt idx="1067">
                  <c:v>43126</c:v>
                </c:pt>
                <c:pt idx="1068">
                  <c:v>43125</c:v>
                </c:pt>
                <c:pt idx="1069">
                  <c:v>43124</c:v>
                </c:pt>
                <c:pt idx="1070">
                  <c:v>43123</c:v>
                </c:pt>
                <c:pt idx="1071">
                  <c:v>43122</c:v>
                </c:pt>
                <c:pt idx="1072">
                  <c:v>43119</c:v>
                </c:pt>
                <c:pt idx="1073">
                  <c:v>43118</c:v>
                </c:pt>
                <c:pt idx="1074">
                  <c:v>43117</c:v>
                </c:pt>
                <c:pt idx="1075">
                  <c:v>43116</c:v>
                </c:pt>
                <c:pt idx="1076">
                  <c:v>43112</c:v>
                </c:pt>
                <c:pt idx="1077">
                  <c:v>43111</c:v>
                </c:pt>
                <c:pt idx="1078">
                  <c:v>43110</c:v>
                </c:pt>
                <c:pt idx="1079">
                  <c:v>43109</c:v>
                </c:pt>
                <c:pt idx="1080">
                  <c:v>43108</c:v>
                </c:pt>
                <c:pt idx="1081">
                  <c:v>43105</c:v>
                </c:pt>
                <c:pt idx="1082">
                  <c:v>43104</c:v>
                </c:pt>
                <c:pt idx="1083">
                  <c:v>43103</c:v>
                </c:pt>
                <c:pt idx="1084">
                  <c:v>43102</c:v>
                </c:pt>
                <c:pt idx="1085">
                  <c:v>43098</c:v>
                </c:pt>
                <c:pt idx="1086">
                  <c:v>43097</c:v>
                </c:pt>
                <c:pt idx="1087">
                  <c:v>43096</c:v>
                </c:pt>
                <c:pt idx="1088">
                  <c:v>43095</c:v>
                </c:pt>
                <c:pt idx="1089">
                  <c:v>43091</c:v>
                </c:pt>
                <c:pt idx="1090">
                  <c:v>43090</c:v>
                </c:pt>
                <c:pt idx="1091">
                  <c:v>43089</c:v>
                </c:pt>
                <c:pt idx="1092">
                  <c:v>43088</c:v>
                </c:pt>
                <c:pt idx="1093">
                  <c:v>43087</c:v>
                </c:pt>
                <c:pt idx="1094">
                  <c:v>43084</c:v>
                </c:pt>
                <c:pt idx="1095">
                  <c:v>43083</c:v>
                </c:pt>
                <c:pt idx="1096">
                  <c:v>43082</c:v>
                </c:pt>
                <c:pt idx="1097">
                  <c:v>43081</c:v>
                </c:pt>
                <c:pt idx="1098">
                  <c:v>43080</c:v>
                </c:pt>
                <c:pt idx="1099">
                  <c:v>43077</c:v>
                </c:pt>
                <c:pt idx="1100">
                  <c:v>43076</c:v>
                </c:pt>
                <c:pt idx="1101">
                  <c:v>43075</c:v>
                </c:pt>
                <c:pt idx="1102">
                  <c:v>43074</c:v>
                </c:pt>
                <c:pt idx="1103">
                  <c:v>43073</c:v>
                </c:pt>
                <c:pt idx="1104">
                  <c:v>43070</c:v>
                </c:pt>
                <c:pt idx="1105">
                  <c:v>43069</c:v>
                </c:pt>
                <c:pt idx="1106">
                  <c:v>43068</c:v>
                </c:pt>
                <c:pt idx="1107">
                  <c:v>43067</c:v>
                </c:pt>
                <c:pt idx="1108">
                  <c:v>43066</c:v>
                </c:pt>
                <c:pt idx="1109">
                  <c:v>43063</c:v>
                </c:pt>
                <c:pt idx="1110">
                  <c:v>43061</c:v>
                </c:pt>
                <c:pt idx="1111">
                  <c:v>43060</c:v>
                </c:pt>
                <c:pt idx="1112">
                  <c:v>43059</c:v>
                </c:pt>
                <c:pt idx="1113">
                  <c:v>43056</c:v>
                </c:pt>
                <c:pt idx="1114">
                  <c:v>43055</c:v>
                </c:pt>
                <c:pt idx="1115">
                  <c:v>43054</c:v>
                </c:pt>
                <c:pt idx="1116">
                  <c:v>43053</c:v>
                </c:pt>
                <c:pt idx="1117">
                  <c:v>43052</c:v>
                </c:pt>
                <c:pt idx="1118">
                  <c:v>43049</c:v>
                </c:pt>
                <c:pt idx="1119">
                  <c:v>43048</c:v>
                </c:pt>
                <c:pt idx="1120">
                  <c:v>43047</c:v>
                </c:pt>
                <c:pt idx="1121">
                  <c:v>43046</c:v>
                </c:pt>
                <c:pt idx="1122">
                  <c:v>43045</c:v>
                </c:pt>
                <c:pt idx="1123">
                  <c:v>43042</c:v>
                </c:pt>
                <c:pt idx="1124">
                  <c:v>43041</c:v>
                </c:pt>
                <c:pt idx="1125">
                  <c:v>43040</c:v>
                </c:pt>
                <c:pt idx="1126">
                  <c:v>43039</c:v>
                </c:pt>
                <c:pt idx="1127">
                  <c:v>43038</c:v>
                </c:pt>
                <c:pt idx="1128">
                  <c:v>43035</c:v>
                </c:pt>
                <c:pt idx="1129">
                  <c:v>43034</c:v>
                </c:pt>
                <c:pt idx="1130">
                  <c:v>43033</c:v>
                </c:pt>
                <c:pt idx="1131">
                  <c:v>43032</c:v>
                </c:pt>
                <c:pt idx="1132">
                  <c:v>43031</c:v>
                </c:pt>
                <c:pt idx="1133">
                  <c:v>43028</c:v>
                </c:pt>
                <c:pt idx="1134">
                  <c:v>43027</c:v>
                </c:pt>
                <c:pt idx="1135">
                  <c:v>43026</c:v>
                </c:pt>
                <c:pt idx="1136">
                  <c:v>43025</c:v>
                </c:pt>
                <c:pt idx="1137">
                  <c:v>43024</c:v>
                </c:pt>
                <c:pt idx="1138">
                  <c:v>43021</c:v>
                </c:pt>
                <c:pt idx="1139">
                  <c:v>43020</c:v>
                </c:pt>
                <c:pt idx="1140">
                  <c:v>43019</c:v>
                </c:pt>
                <c:pt idx="1141">
                  <c:v>43018</c:v>
                </c:pt>
                <c:pt idx="1142">
                  <c:v>43017</c:v>
                </c:pt>
                <c:pt idx="1143">
                  <c:v>43014</c:v>
                </c:pt>
                <c:pt idx="1144">
                  <c:v>43013</c:v>
                </c:pt>
                <c:pt idx="1145">
                  <c:v>43012</c:v>
                </c:pt>
                <c:pt idx="1146">
                  <c:v>43011</c:v>
                </c:pt>
                <c:pt idx="1147">
                  <c:v>43010</c:v>
                </c:pt>
                <c:pt idx="1148">
                  <c:v>43007</c:v>
                </c:pt>
                <c:pt idx="1149">
                  <c:v>43006</c:v>
                </c:pt>
                <c:pt idx="1150">
                  <c:v>43005</c:v>
                </c:pt>
                <c:pt idx="1151">
                  <c:v>43004</c:v>
                </c:pt>
                <c:pt idx="1152">
                  <c:v>43003</c:v>
                </c:pt>
                <c:pt idx="1153">
                  <c:v>43000</c:v>
                </c:pt>
                <c:pt idx="1154">
                  <c:v>42999</c:v>
                </c:pt>
                <c:pt idx="1155">
                  <c:v>42998</c:v>
                </c:pt>
                <c:pt idx="1156">
                  <c:v>42997</c:v>
                </c:pt>
                <c:pt idx="1157">
                  <c:v>42996</c:v>
                </c:pt>
                <c:pt idx="1158">
                  <c:v>42993</c:v>
                </c:pt>
                <c:pt idx="1159">
                  <c:v>42992</c:v>
                </c:pt>
                <c:pt idx="1160">
                  <c:v>42991</c:v>
                </c:pt>
                <c:pt idx="1161">
                  <c:v>42990</c:v>
                </c:pt>
                <c:pt idx="1162">
                  <c:v>42989</c:v>
                </c:pt>
                <c:pt idx="1163">
                  <c:v>42986</c:v>
                </c:pt>
                <c:pt idx="1164">
                  <c:v>42985</c:v>
                </c:pt>
                <c:pt idx="1165">
                  <c:v>42984</c:v>
                </c:pt>
                <c:pt idx="1166">
                  <c:v>42983</c:v>
                </c:pt>
                <c:pt idx="1167">
                  <c:v>42979</c:v>
                </c:pt>
                <c:pt idx="1168">
                  <c:v>42978</c:v>
                </c:pt>
                <c:pt idx="1169">
                  <c:v>42977</c:v>
                </c:pt>
                <c:pt idx="1170">
                  <c:v>42976</c:v>
                </c:pt>
                <c:pt idx="1171">
                  <c:v>42975</c:v>
                </c:pt>
                <c:pt idx="1172">
                  <c:v>42972</c:v>
                </c:pt>
                <c:pt idx="1173">
                  <c:v>42971</c:v>
                </c:pt>
                <c:pt idx="1174">
                  <c:v>42970</c:v>
                </c:pt>
                <c:pt idx="1175">
                  <c:v>42969</c:v>
                </c:pt>
                <c:pt idx="1176">
                  <c:v>42968</c:v>
                </c:pt>
                <c:pt idx="1177">
                  <c:v>42965</c:v>
                </c:pt>
                <c:pt idx="1178">
                  <c:v>42964</c:v>
                </c:pt>
                <c:pt idx="1179">
                  <c:v>42963</c:v>
                </c:pt>
                <c:pt idx="1180">
                  <c:v>42962</c:v>
                </c:pt>
                <c:pt idx="1181">
                  <c:v>42961</c:v>
                </c:pt>
                <c:pt idx="1182">
                  <c:v>42958</c:v>
                </c:pt>
                <c:pt idx="1183">
                  <c:v>42957</c:v>
                </c:pt>
                <c:pt idx="1184">
                  <c:v>42956</c:v>
                </c:pt>
                <c:pt idx="1185">
                  <c:v>42955</c:v>
                </c:pt>
                <c:pt idx="1186">
                  <c:v>42954</c:v>
                </c:pt>
                <c:pt idx="1187">
                  <c:v>42951</c:v>
                </c:pt>
                <c:pt idx="1188">
                  <c:v>42950</c:v>
                </c:pt>
                <c:pt idx="1189">
                  <c:v>42949</c:v>
                </c:pt>
                <c:pt idx="1190">
                  <c:v>42948</c:v>
                </c:pt>
                <c:pt idx="1191">
                  <c:v>42947</c:v>
                </c:pt>
                <c:pt idx="1192">
                  <c:v>42944</c:v>
                </c:pt>
                <c:pt idx="1193">
                  <c:v>42943</c:v>
                </c:pt>
                <c:pt idx="1194">
                  <c:v>42942</c:v>
                </c:pt>
                <c:pt idx="1195">
                  <c:v>42941</c:v>
                </c:pt>
                <c:pt idx="1196">
                  <c:v>42940</c:v>
                </c:pt>
                <c:pt idx="1197">
                  <c:v>42937</c:v>
                </c:pt>
                <c:pt idx="1198">
                  <c:v>42936</c:v>
                </c:pt>
                <c:pt idx="1199">
                  <c:v>42935</c:v>
                </c:pt>
                <c:pt idx="1200">
                  <c:v>42934</c:v>
                </c:pt>
                <c:pt idx="1201">
                  <c:v>42933</c:v>
                </c:pt>
                <c:pt idx="1202">
                  <c:v>42930</c:v>
                </c:pt>
                <c:pt idx="1203">
                  <c:v>42929</c:v>
                </c:pt>
                <c:pt idx="1204">
                  <c:v>42928</c:v>
                </c:pt>
                <c:pt idx="1205">
                  <c:v>42927</c:v>
                </c:pt>
                <c:pt idx="1206">
                  <c:v>42926</c:v>
                </c:pt>
                <c:pt idx="1207">
                  <c:v>42923</c:v>
                </c:pt>
                <c:pt idx="1208">
                  <c:v>42922</c:v>
                </c:pt>
                <c:pt idx="1209">
                  <c:v>42921</c:v>
                </c:pt>
                <c:pt idx="1210">
                  <c:v>42919</c:v>
                </c:pt>
                <c:pt idx="1211">
                  <c:v>42916</c:v>
                </c:pt>
                <c:pt idx="1212">
                  <c:v>42915</c:v>
                </c:pt>
                <c:pt idx="1213">
                  <c:v>42914</c:v>
                </c:pt>
                <c:pt idx="1214">
                  <c:v>42913</c:v>
                </c:pt>
                <c:pt idx="1215">
                  <c:v>42912</c:v>
                </c:pt>
                <c:pt idx="1216">
                  <c:v>42909</c:v>
                </c:pt>
                <c:pt idx="1217">
                  <c:v>42908</c:v>
                </c:pt>
                <c:pt idx="1218">
                  <c:v>42907</c:v>
                </c:pt>
                <c:pt idx="1219">
                  <c:v>42906</c:v>
                </c:pt>
                <c:pt idx="1220">
                  <c:v>42905</c:v>
                </c:pt>
                <c:pt idx="1221">
                  <c:v>42902</c:v>
                </c:pt>
                <c:pt idx="1222">
                  <c:v>42901</c:v>
                </c:pt>
                <c:pt idx="1223">
                  <c:v>42900</c:v>
                </c:pt>
                <c:pt idx="1224">
                  <c:v>42899</c:v>
                </c:pt>
                <c:pt idx="1225">
                  <c:v>42898</c:v>
                </c:pt>
                <c:pt idx="1226">
                  <c:v>42895</c:v>
                </c:pt>
                <c:pt idx="1227">
                  <c:v>42894</c:v>
                </c:pt>
                <c:pt idx="1228">
                  <c:v>42893</c:v>
                </c:pt>
                <c:pt idx="1229">
                  <c:v>42892</c:v>
                </c:pt>
                <c:pt idx="1230">
                  <c:v>42891</c:v>
                </c:pt>
                <c:pt idx="1231">
                  <c:v>42888</c:v>
                </c:pt>
                <c:pt idx="1232">
                  <c:v>42887</c:v>
                </c:pt>
                <c:pt idx="1233">
                  <c:v>42886</c:v>
                </c:pt>
                <c:pt idx="1234">
                  <c:v>42885</c:v>
                </c:pt>
                <c:pt idx="1235">
                  <c:v>42881</c:v>
                </c:pt>
                <c:pt idx="1236">
                  <c:v>42880</c:v>
                </c:pt>
                <c:pt idx="1237">
                  <c:v>42879</c:v>
                </c:pt>
                <c:pt idx="1238">
                  <c:v>42878</c:v>
                </c:pt>
                <c:pt idx="1239">
                  <c:v>42877</c:v>
                </c:pt>
                <c:pt idx="1240">
                  <c:v>42874</c:v>
                </c:pt>
                <c:pt idx="1241">
                  <c:v>42873</c:v>
                </c:pt>
                <c:pt idx="1242">
                  <c:v>42872</c:v>
                </c:pt>
                <c:pt idx="1243">
                  <c:v>42871</c:v>
                </c:pt>
                <c:pt idx="1244">
                  <c:v>42870</c:v>
                </c:pt>
                <c:pt idx="1245">
                  <c:v>42867</c:v>
                </c:pt>
                <c:pt idx="1246">
                  <c:v>42866</c:v>
                </c:pt>
                <c:pt idx="1247">
                  <c:v>42865</c:v>
                </c:pt>
                <c:pt idx="1248">
                  <c:v>42864</c:v>
                </c:pt>
                <c:pt idx="1249">
                  <c:v>42863</c:v>
                </c:pt>
                <c:pt idx="1250">
                  <c:v>42860</c:v>
                </c:pt>
                <c:pt idx="1251">
                  <c:v>42859</c:v>
                </c:pt>
                <c:pt idx="1252">
                  <c:v>42858</c:v>
                </c:pt>
                <c:pt idx="1253">
                  <c:v>42857</c:v>
                </c:pt>
                <c:pt idx="1254">
                  <c:v>42856</c:v>
                </c:pt>
                <c:pt idx="1255">
                  <c:v>42853</c:v>
                </c:pt>
                <c:pt idx="1256">
                  <c:v>42852</c:v>
                </c:pt>
                <c:pt idx="1257">
                  <c:v>42851</c:v>
                </c:pt>
                <c:pt idx="1258">
                  <c:v>42850</c:v>
                </c:pt>
                <c:pt idx="1259">
                  <c:v>42849</c:v>
                </c:pt>
              </c:numCache>
            </c:numRef>
          </c:cat>
          <c:val>
            <c:numRef>
              <c:f>Historicos!$B$2:$B$1261</c:f>
              <c:numCache>
                <c:formatCode>_(* #,##0.00_);_(* \(#,##0.00\);_(* "-"??_);_(@_)</c:formatCode>
                <c:ptCount val="1260"/>
                <c:pt idx="0">
                  <c:v>161.79</c:v>
                </c:pt>
                <c:pt idx="1">
                  <c:v>166.42</c:v>
                </c:pt>
                <c:pt idx="2">
                  <c:v>167.23</c:v>
                </c:pt>
                <c:pt idx="3">
                  <c:v>167.4</c:v>
                </c:pt>
                <c:pt idx="4">
                  <c:v>165.07</c:v>
                </c:pt>
                <c:pt idx="5">
                  <c:v>165.29</c:v>
                </c:pt>
                <c:pt idx="6">
                  <c:v>170.4</c:v>
                </c:pt>
                <c:pt idx="7">
                  <c:v>167.66</c:v>
                </c:pt>
                <c:pt idx="8">
                  <c:v>165.75</c:v>
                </c:pt>
                <c:pt idx="9">
                  <c:v>170.09</c:v>
                </c:pt>
                <c:pt idx="10">
                  <c:v>172.14</c:v>
                </c:pt>
                <c:pt idx="11">
                  <c:v>171.83</c:v>
                </c:pt>
                <c:pt idx="12">
                  <c:v>175.06</c:v>
                </c:pt>
                <c:pt idx="13">
                  <c:v>178.44</c:v>
                </c:pt>
                <c:pt idx="14">
                  <c:v>174.31</c:v>
                </c:pt>
                <c:pt idx="15">
                  <c:v>174.61</c:v>
                </c:pt>
                <c:pt idx="16">
                  <c:v>177.77</c:v>
                </c:pt>
                <c:pt idx="17">
                  <c:v>178.96</c:v>
                </c:pt>
                <c:pt idx="18">
                  <c:v>175.6</c:v>
                </c:pt>
                <c:pt idx="19">
                  <c:v>174.72</c:v>
                </c:pt>
                <c:pt idx="20">
                  <c:v>174.07</c:v>
                </c:pt>
                <c:pt idx="21">
                  <c:v>170.21</c:v>
                </c:pt>
                <c:pt idx="22">
                  <c:v>168.82</c:v>
                </c:pt>
                <c:pt idx="23">
                  <c:v>165.38</c:v>
                </c:pt>
                <c:pt idx="24">
                  <c:v>163.98</c:v>
                </c:pt>
                <c:pt idx="25">
                  <c:v>160.62</c:v>
                </c:pt>
                <c:pt idx="26">
                  <c:v>159.59</c:v>
                </c:pt>
                <c:pt idx="27">
                  <c:v>155.09</c:v>
                </c:pt>
                <c:pt idx="28">
                  <c:v>150.62</c:v>
                </c:pt>
                <c:pt idx="29">
                  <c:v>154.72999999999999</c:v>
                </c:pt>
                <c:pt idx="30">
                  <c:v>158.52000000000001</c:v>
                </c:pt>
                <c:pt idx="31">
                  <c:v>162.94999999999999</c:v>
                </c:pt>
                <c:pt idx="32">
                  <c:v>157.44</c:v>
                </c:pt>
                <c:pt idx="33">
                  <c:v>159.30000000000001</c:v>
                </c:pt>
                <c:pt idx="34">
                  <c:v>163.16999999999999</c:v>
                </c:pt>
                <c:pt idx="35">
                  <c:v>166.23</c:v>
                </c:pt>
                <c:pt idx="36">
                  <c:v>166.56</c:v>
                </c:pt>
                <c:pt idx="37">
                  <c:v>163.19999999999999</c:v>
                </c:pt>
                <c:pt idx="38">
                  <c:v>165.12</c:v>
                </c:pt>
                <c:pt idx="39">
                  <c:v>164.85</c:v>
                </c:pt>
                <c:pt idx="40">
                  <c:v>162.74</c:v>
                </c:pt>
                <c:pt idx="41">
                  <c:v>160.07</c:v>
                </c:pt>
                <c:pt idx="42">
                  <c:v>164.32</c:v>
                </c:pt>
                <c:pt idx="43">
                  <c:v>167.3</c:v>
                </c:pt>
                <c:pt idx="44">
                  <c:v>168.88</c:v>
                </c:pt>
                <c:pt idx="45">
                  <c:v>172.55</c:v>
                </c:pt>
                <c:pt idx="46">
                  <c:v>172.79</c:v>
                </c:pt>
                <c:pt idx="47">
                  <c:v>168.88</c:v>
                </c:pt>
                <c:pt idx="48">
                  <c:v>168.64</c:v>
                </c:pt>
                <c:pt idx="49">
                  <c:v>172.12</c:v>
                </c:pt>
                <c:pt idx="50">
                  <c:v>176.28</c:v>
                </c:pt>
                <c:pt idx="51">
                  <c:v>174.83</c:v>
                </c:pt>
                <c:pt idx="52">
                  <c:v>171.66</c:v>
                </c:pt>
                <c:pt idx="53">
                  <c:v>172.39</c:v>
                </c:pt>
                <c:pt idx="54">
                  <c:v>172.9</c:v>
                </c:pt>
                <c:pt idx="55">
                  <c:v>175.84</c:v>
                </c:pt>
                <c:pt idx="56">
                  <c:v>174.61</c:v>
                </c:pt>
                <c:pt idx="57">
                  <c:v>174.78</c:v>
                </c:pt>
                <c:pt idx="58">
                  <c:v>170.33</c:v>
                </c:pt>
                <c:pt idx="59">
                  <c:v>159.22</c:v>
                </c:pt>
                <c:pt idx="60">
                  <c:v>159.69</c:v>
                </c:pt>
                <c:pt idx="61">
                  <c:v>159.78</c:v>
                </c:pt>
                <c:pt idx="62">
                  <c:v>161.62</c:v>
                </c:pt>
                <c:pt idx="63">
                  <c:v>162.41</c:v>
                </c:pt>
                <c:pt idx="64">
                  <c:v>164.51</c:v>
                </c:pt>
                <c:pt idx="65">
                  <c:v>166.23</c:v>
                </c:pt>
                <c:pt idx="66">
                  <c:v>169.8</c:v>
                </c:pt>
                <c:pt idx="67">
                  <c:v>173.07</c:v>
                </c:pt>
                <c:pt idx="68">
                  <c:v>172.19</c:v>
                </c:pt>
                <c:pt idx="69">
                  <c:v>175.53</c:v>
                </c:pt>
                <c:pt idx="70">
                  <c:v>175.08</c:v>
                </c:pt>
                <c:pt idx="71">
                  <c:v>172.19</c:v>
                </c:pt>
                <c:pt idx="72">
                  <c:v>172.17</c:v>
                </c:pt>
                <c:pt idx="73">
                  <c:v>172</c:v>
                </c:pt>
                <c:pt idx="74">
                  <c:v>174.92</c:v>
                </c:pt>
                <c:pt idx="75">
                  <c:v>179.7</c:v>
                </c:pt>
                <c:pt idx="76">
                  <c:v>182.01</c:v>
                </c:pt>
                <c:pt idx="77">
                  <c:v>177.57</c:v>
                </c:pt>
                <c:pt idx="78">
                  <c:v>178.2</c:v>
                </c:pt>
                <c:pt idx="79">
                  <c:v>179.38</c:v>
                </c:pt>
                <c:pt idx="80">
                  <c:v>179.29</c:v>
                </c:pt>
                <c:pt idx="81">
                  <c:v>180.33</c:v>
                </c:pt>
                <c:pt idx="82">
                  <c:v>176.28</c:v>
                </c:pt>
                <c:pt idx="83">
                  <c:v>175.64</c:v>
                </c:pt>
                <c:pt idx="84">
                  <c:v>172.99</c:v>
                </c:pt>
                <c:pt idx="85">
                  <c:v>169.75</c:v>
                </c:pt>
                <c:pt idx="86">
                  <c:v>171.14</c:v>
                </c:pt>
                <c:pt idx="87">
                  <c:v>172.26</c:v>
                </c:pt>
                <c:pt idx="88">
                  <c:v>179.3</c:v>
                </c:pt>
                <c:pt idx="89">
                  <c:v>174.33</c:v>
                </c:pt>
                <c:pt idx="90">
                  <c:v>175.74</c:v>
                </c:pt>
                <c:pt idx="91">
                  <c:v>179.45</c:v>
                </c:pt>
                <c:pt idx="92">
                  <c:v>174.56</c:v>
                </c:pt>
                <c:pt idx="93">
                  <c:v>175.08</c:v>
                </c:pt>
                <c:pt idx="94">
                  <c:v>171.18</c:v>
                </c:pt>
                <c:pt idx="95">
                  <c:v>165.32</c:v>
                </c:pt>
                <c:pt idx="96">
                  <c:v>161.84</c:v>
                </c:pt>
                <c:pt idx="97">
                  <c:v>163.76</c:v>
                </c:pt>
                <c:pt idx="98">
                  <c:v>164.77</c:v>
                </c:pt>
                <c:pt idx="99">
                  <c:v>165.3</c:v>
                </c:pt>
                <c:pt idx="100">
                  <c:v>160.24</c:v>
                </c:pt>
                <c:pt idx="101">
                  <c:v>156.81</c:v>
                </c:pt>
                <c:pt idx="102">
                  <c:v>161.94</c:v>
                </c:pt>
                <c:pt idx="103">
                  <c:v>161.41</c:v>
                </c:pt>
                <c:pt idx="104">
                  <c:v>161.02000000000001</c:v>
                </c:pt>
                <c:pt idx="105">
                  <c:v>160.55000000000001</c:v>
                </c:pt>
                <c:pt idx="106">
                  <c:v>157.87</c:v>
                </c:pt>
                <c:pt idx="107">
                  <c:v>153.49</c:v>
                </c:pt>
                <c:pt idx="108">
                  <c:v>151</c:v>
                </c:pt>
                <c:pt idx="109">
                  <c:v>150</c:v>
                </c:pt>
                <c:pt idx="110">
                  <c:v>149.99</c:v>
                </c:pt>
                <c:pt idx="111">
                  <c:v>147.87</c:v>
                </c:pt>
                <c:pt idx="112">
                  <c:v>147.91999999999999</c:v>
                </c:pt>
                <c:pt idx="113">
                  <c:v>150.81</c:v>
                </c:pt>
                <c:pt idx="114">
                  <c:v>150.44</c:v>
                </c:pt>
                <c:pt idx="115">
                  <c:v>151.28</c:v>
                </c:pt>
                <c:pt idx="116">
                  <c:v>150.96</c:v>
                </c:pt>
                <c:pt idx="117">
                  <c:v>151.49</c:v>
                </c:pt>
                <c:pt idx="118">
                  <c:v>150.02000000000001</c:v>
                </c:pt>
                <c:pt idx="119">
                  <c:v>148.96</c:v>
                </c:pt>
                <c:pt idx="120">
                  <c:v>149.80000000000001</c:v>
                </c:pt>
                <c:pt idx="121">
                  <c:v>152.57</c:v>
                </c:pt>
                <c:pt idx="122">
                  <c:v>148.85</c:v>
                </c:pt>
                <c:pt idx="123">
                  <c:v>149.32</c:v>
                </c:pt>
                <c:pt idx="124">
                  <c:v>148.63999999999999</c:v>
                </c:pt>
                <c:pt idx="125">
                  <c:v>148.69</c:v>
                </c:pt>
                <c:pt idx="126">
                  <c:v>149.47999999999999</c:v>
                </c:pt>
                <c:pt idx="127">
                  <c:v>149.26</c:v>
                </c:pt>
                <c:pt idx="128">
                  <c:v>148.76</c:v>
                </c:pt>
                <c:pt idx="129">
                  <c:v>146.55000000000001</c:v>
                </c:pt>
                <c:pt idx="130">
                  <c:v>144.84</c:v>
                </c:pt>
                <c:pt idx="131">
                  <c:v>143.76</c:v>
                </c:pt>
                <c:pt idx="132">
                  <c:v>140.91</c:v>
                </c:pt>
                <c:pt idx="133">
                  <c:v>141.51</c:v>
                </c:pt>
                <c:pt idx="134">
                  <c:v>142.81</c:v>
                </c:pt>
                <c:pt idx="135">
                  <c:v>142.9</c:v>
                </c:pt>
                <c:pt idx="136">
                  <c:v>143.29</c:v>
                </c:pt>
                <c:pt idx="137">
                  <c:v>142</c:v>
                </c:pt>
                <c:pt idx="138">
                  <c:v>141.11000000000001</c:v>
                </c:pt>
                <c:pt idx="139">
                  <c:v>139.13999999999999</c:v>
                </c:pt>
                <c:pt idx="140">
                  <c:v>142.65</c:v>
                </c:pt>
                <c:pt idx="141">
                  <c:v>141.5</c:v>
                </c:pt>
                <c:pt idx="142">
                  <c:v>142.83000000000001</c:v>
                </c:pt>
                <c:pt idx="143">
                  <c:v>141.91</c:v>
                </c:pt>
                <c:pt idx="144">
                  <c:v>145.37</c:v>
                </c:pt>
                <c:pt idx="145">
                  <c:v>146.91999999999999</c:v>
                </c:pt>
                <c:pt idx="146">
                  <c:v>146.83000000000001</c:v>
                </c:pt>
                <c:pt idx="147">
                  <c:v>145.85</c:v>
                </c:pt>
                <c:pt idx="148">
                  <c:v>143.43</c:v>
                </c:pt>
                <c:pt idx="149">
                  <c:v>142.94</c:v>
                </c:pt>
                <c:pt idx="150">
                  <c:v>146.06</c:v>
                </c:pt>
                <c:pt idx="151">
                  <c:v>148.79</c:v>
                </c:pt>
                <c:pt idx="152">
                  <c:v>149.03</c:v>
                </c:pt>
                <c:pt idx="153">
                  <c:v>148.12</c:v>
                </c:pt>
                <c:pt idx="154">
                  <c:v>149.55000000000001</c:v>
                </c:pt>
                <c:pt idx="155">
                  <c:v>148.97</c:v>
                </c:pt>
                <c:pt idx="156">
                  <c:v>154.07</c:v>
                </c:pt>
                <c:pt idx="157">
                  <c:v>155.11000000000001</c:v>
                </c:pt>
                <c:pt idx="158">
                  <c:v>156.69</c:v>
                </c:pt>
                <c:pt idx="159">
                  <c:v>154.30000000000001</c:v>
                </c:pt>
                <c:pt idx="160">
                  <c:v>153.65</c:v>
                </c:pt>
                <c:pt idx="161">
                  <c:v>152.51</c:v>
                </c:pt>
                <c:pt idx="162">
                  <c:v>151.83000000000001</c:v>
                </c:pt>
                <c:pt idx="163">
                  <c:v>153.12</c:v>
                </c:pt>
                <c:pt idx="164">
                  <c:v>148.6</c:v>
                </c:pt>
                <c:pt idx="165">
                  <c:v>147.54</c:v>
                </c:pt>
                <c:pt idx="166">
                  <c:v>148.36000000000001</c:v>
                </c:pt>
                <c:pt idx="167">
                  <c:v>149.62</c:v>
                </c:pt>
                <c:pt idx="168">
                  <c:v>149.71</c:v>
                </c:pt>
                <c:pt idx="169">
                  <c:v>148.19</c:v>
                </c:pt>
                <c:pt idx="170">
                  <c:v>146.69999999999999</c:v>
                </c:pt>
                <c:pt idx="171">
                  <c:v>146.36000000000001</c:v>
                </c:pt>
                <c:pt idx="172">
                  <c:v>150.19</c:v>
                </c:pt>
                <c:pt idx="173">
                  <c:v>151.12</c:v>
                </c:pt>
                <c:pt idx="174">
                  <c:v>149.1</c:v>
                </c:pt>
                <c:pt idx="175">
                  <c:v>148.88999999999999</c:v>
                </c:pt>
                <c:pt idx="176">
                  <c:v>145.86000000000001</c:v>
                </c:pt>
                <c:pt idx="177">
                  <c:v>145.6</c:v>
                </c:pt>
                <c:pt idx="178">
                  <c:v>146.09</c:v>
                </c:pt>
                <c:pt idx="179">
                  <c:v>146.13999999999999</c:v>
                </c:pt>
                <c:pt idx="180">
                  <c:v>147.06</c:v>
                </c:pt>
                <c:pt idx="181">
                  <c:v>146.94999999999999</c:v>
                </c:pt>
                <c:pt idx="182">
                  <c:v>147.36000000000001</c:v>
                </c:pt>
                <c:pt idx="183">
                  <c:v>145.52000000000001</c:v>
                </c:pt>
                <c:pt idx="184">
                  <c:v>145.86000000000001</c:v>
                </c:pt>
                <c:pt idx="185">
                  <c:v>145.63999999999999</c:v>
                </c:pt>
                <c:pt idx="186">
                  <c:v>144.97999999999999</c:v>
                </c:pt>
                <c:pt idx="187">
                  <c:v>146.77000000000001</c:v>
                </c:pt>
                <c:pt idx="188">
                  <c:v>148.99</c:v>
                </c:pt>
                <c:pt idx="189">
                  <c:v>148.56</c:v>
                </c:pt>
                <c:pt idx="190">
                  <c:v>146.80000000000001</c:v>
                </c:pt>
                <c:pt idx="191">
                  <c:v>145.4</c:v>
                </c:pt>
                <c:pt idx="192">
                  <c:v>146.15</c:v>
                </c:pt>
                <c:pt idx="193">
                  <c:v>142.44999999999999</c:v>
                </c:pt>
                <c:pt idx="194">
                  <c:v>146.38999999999999</c:v>
                </c:pt>
                <c:pt idx="195">
                  <c:v>148.47999999999999</c:v>
                </c:pt>
                <c:pt idx="196">
                  <c:v>149.15</c:v>
                </c:pt>
                <c:pt idx="197">
                  <c:v>145.63999999999999</c:v>
                </c:pt>
                <c:pt idx="198">
                  <c:v>144.5</c:v>
                </c:pt>
                <c:pt idx="199">
                  <c:v>145.11000000000001</c:v>
                </c:pt>
                <c:pt idx="200">
                  <c:v>143.24</c:v>
                </c:pt>
                <c:pt idx="201">
                  <c:v>144.57</c:v>
                </c:pt>
                <c:pt idx="202">
                  <c:v>142.02000000000001</c:v>
                </c:pt>
                <c:pt idx="203">
                  <c:v>139.96</c:v>
                </c:pt>
                <c:pt idx="204">
                  <c:v>137.27000000000001</c:v>
                </c:pt>
                <c:pt idx="205">
                  <c:v>136.96</c:v>
                </c:pt>
                <c:pt idx="206">
                  <c:v>136.33000000000001</c:v>
                </c:pt>
                <c:pt idx="207">
                  <c:v>134.78</c:v>
                </c:pt>
                <c:pt idx="208">
                  <c:v>133.11000000000001</c:v>
                </c:pt>
                <c:pt idx="209">
                  <c:v>133.41</c:v>
                </c:pt>
                <c:pt idx="210">
                  <c:v>133.69999999999999</c:v>
                </c:pt>
                <c:pt idx="211">
                  <c:v>133.97999999999999</c:v>
                </c:pt>
                <c:pt idx="212">
                  <c:v>132.30000000000001</c:v>
                </c:pt>
                <c:pt idx="213">
                  <c:v>130.46</c:v>
                </c:pt>
                <c:pt idx="214">
                  <c:v>131.79</c:v>
                </c:pt>
                <c:pt idx="215">
                  <c:v>130.15</c:v>
                </c:pt>
                <c:pt idx="216">
                  <c:v>129.63999999999999</c:v>
                </c:pt>
                <c:pt idx="217">
                  <c:v>130.47999999999999</c:v>
                </c:pt>
                <c:pt idx="218">
                  <c:v>127.35</c:v>
                </c:pt>
                <c:pt idx="219">
                  <c:v>126.11</c:v>
                </c:pt>
                <c:pt idx="220">
                  <c:v>127.13</c:v>
                </c:pt>
                <c:pt idx="221">
                  <c:v>126.74</c:v>
                </c:pt>
                <c:pt idx="222">
                  <c:v>125.9</c:v>
                </c:pt>
                <c:pt idx="223">
                  <c:v>125.89</c:v>
                </c:pt>
                <c:pt idx="224">
                  <c:v>123.54</c:v>
                </c:pt>
                <c:pt idx="225">
                  <c:v>125.06</c:v>
                </c:pt>
                <c:pt idx="226">
                  <c:v>124.28</c:v>
                </c:pt>
                <c:pt idx="227">
                  <c:v>124.61</c:v>
                </c:pt>
                <c:pt idx="228">
                  <c:v>125.28</c:v>
                </c:pt>
                <c:pt idx="229">
                  <c:v>126.85</c:v>
                </c:pt>
                <c:pt idx="230">
                  <c:v>126.9</c:v>
                </c:pt>
                <c:pt idx="231">
                  <c:v>127.1</c:v>
                </c:pt>
                <c:pt idx="232">
                  <c:v>125.43</c:v>
                </c:pt>
                <c:pt idx="233">
                  <c:v>127.31</c:v>
                </c:pt>
                <c:pt idx="234">
                  <c:v>124.69</c:v>
                </c:pt>
                <c:pt idx="235">
                  <c:v>124.85</c:v>
                </c:pt>
                <c:pt idx="236">
                  <c:v>126.27</c:v>
                </c:pt>
                <c:pt idx="237">
                  <c:v>127.45</c:v>
                </c:pt>
                <c:pt idx="238">
                  <c:v>124.97</c:v>
                </c:pt>
                <c:pt idx="239">
                  <c:v>122.77</c:v>
                </c:pt>
                <c:pt idx="240">
                  <c:v>125.91</c:v>
                </c:pt>
                <c:pt idx="241">
                  <c:v>126.85</c:v>
                </c:pt>
                <c:pt idx="242">
                  <c:v>130.21</c:v>
                </c:pt>
                <c:pt idx="243">
                  <c:v>129.74</c:v>
                </c:pt>
                <c:pt idx="244">
                  <c:v>128.1</c:v>
                </c:pt>
                <c:pt idx="245">
                  <c:v>127.85</c:v>
                </c:pt>
                <c:pt idx="246">
                  <c:v>132.54</c:v>
                </c:pt>
                <c:pt idx="247">
                  <c:v>131.46</c:v>
                </c:pt>
                <c:pt idx="248">
                  <c:v>133.47999999999999</c:v>
                </c:pt>
                <c:pt idx="249">
                  <c:v>133.58000000000001</c:v>
                </c:pt>
                <c:pt idx="250">
                  <c:v>134.38999999999999</c:v>
                </c:pt>
                <c:pt idx="251">
                  <c:v>134.72</c:v>
                </c:pt>
                <c:pt idx="252">
                  <c:v>134.32</c:v>
                </c:pt>
                <c:pt idx="253">
                  <c:v>131.94</c:v>
                </c:pt>
                <c:pt idx="254">
                  <c:v>133.5</c:v>
                </c:pt>
                <c:pt idx="255">
                  <c:v>133.11000000000001</c:v>
                </c:pt>
                <c:pt idx="256">
                  <c:v>134.84</c:v>
                </c:pt>
                <c:pt idx="257">
                  <c:v>134.16</c:v>
                </c:pt>
                <c:pt idx="258">
                  <c:v>134.5</c:v>
                </c:pt>
                <c:pt idx="259">
                  <c:v>132.03</c:v>
                </c:pt>
                <c:pt idx="260">
                  <c:v>134.43</c:v>
                </c:pt>
                <c:pt idx="261">
                  <c:v>131.24</c:v>
                </c:pt>
                <c:pt idx="262">
                  <c:v>133</c:v>
                </c:pt>
                <c:pt idx="263">
                  <c:v>130.36000000000001</c:v>
                </c:pt>
                <c:pt idx="264">
                  <c:v>127.9</c:v>
                </c:pt>
                <c:pt idx="265">
                  <c:v>126.21</c:v>
                </c:pt>
                <c:pt idx="266">
                  <c:v>125.9</c:v>
                </c:pt>
                <c:pt idx="267">
                  <c:v>123</c:v>
                </c:pt>
                <c:pt idx="268">
                  <c:v>122.15</c:v>
                </c:pt>
                <c:pt idx="269">
                  <c:v>119.9</c:v>
                </c:pt>
                <c:pt idx="270">
                  <c:v>121.39</c:v>
                </c:pt>
                <c:pt idx="271">
                  <c:v>121.21</c:v>
                </c:pt>
                <c:pt idx="272">
                  <c:v>120.59</c:v>
                </c:pt>
                <c:pt idx="273">
                  <c:v>120.09</c:v>
                </c:pt>
                <c:pt idx="274">
                  <c:v>122.54</c:v>
                </c:pt>
                <c:pt idx="275">
                  <c:v>123.39</c:v>
                </c:pt>
                <c:pt idx="276">
                  <c:v>119.99</c:v>
                </c:pt>
                <c:pt idx="277">
                  <c:v>120.53</c:v>
                </c:pt>
                <c:pt idx="278">
                  <c:v>124.76</c:v>
                </c:pt>
                <c:pt idx="279">
                  <c:v>125.57</c:v>
                </c:pt>
                <c:pt idx="280">
                  <c:v>123.99</c:v>
                </c:pt>
                <c:pt idx="281">
                  <c:v>121.03</c:v>
                </c:pt>
                <c:pt idx="282">
                  <c:v>121.96</c:v>
                </c:pt>
                <c:pt idx="283">
                  <c:v>119.98</c:v>
                </c:pt>
                <c:pt idx="284">
                  <c:v>121.09</c:v>
                </c:pt>
                <c:pt idx="285">
                  <c:v>116.36</c:v>
                </c:pt>
                <c:pt idx="286">
                  <c:v>121.42</c:v>
                </c:pt>
                <c:pt idx="287">
                  <c:v>120.13</c:v>
                </c:pt>
                <c:pt idx="288">
                  <c:v>122.06</c:v>
                </c:pt>
                <c:pt idx="289">
                  <c:v>125.12</c:v>
                </c:pt>
                <c:pt idx="290">
                  <c:v>127.79</c:v>
                </c:pt>
                <c:pt idx="291">
                  <c:v>121.26</c:v>
                </c:pt>
                <c:pt idx="292">
                  <c:v>120.99</c:v>
                </c:pt>
                <c:pt idx="293">
                  <c:v>125.35</c:v>
                </c:pt>
                <c:pt idx="294">
                  <c:v>125.86</c:v>
                </c:pt>
                <c:pt idx="295">
                  <c:v>126</c:v>
                </c:pt>
                <c:pt idx="296">
                  <c:v>129.87</c:v>
                </c:pt>
                <c:pt idx="297">
                  <c:v>129.71</c:v>
                </c:pt>
                <c:pt idx="298">
                  <c:v>130.84</c:v>
                </c:pt>
                <c:pt idx="299">
                  <c:v>133.19</c:v>
                </c:pt>
                <c:pt idx="300">
                  <c:v>135.37</c:v>
                </c:pt>
                <c:pt idx="301">
                  <c:v>135.13</c:v>
                </c:pt>
                <c:pt idx="302">
                  <c:v>135.38999999999999</c:v>
                </c:pt>
                <c:pt idx="303">
                  <c:v>136.01</c:v>
                </c:pt>
                <c:pt idx="304">
                  <c:v>136.91</c:v>
                </c:pt>
                <c:pt idx="305">
                  <c:v>136.76</c:v>
                </c:pt>
                <c:pt idx="306">
                  <c:v>137.38999999999999</c:v>
                </c:pt>
                <c:pt idx="307">
                  <c:v>133.94</c:v>
                </c:pt>
                <c:pt idx="308">
                  <c:v>134.99</c:v>
                </c:pt>
                <c:pt idx="309">
                  <c:v>134.13999999999999</c:v>
                </c:pt>
                <c:pt idx="310">
                  <c:v>131.96</c:v>
                </c:pt>
                <c:pt idx="311">
                  <c:v>137.09</c:v>
                </c:pt>
                <c:pt idx="312">
                  <c:v>142.06</c:v>
                </c:pt>
                <c:pt idx="313">
                  <c:v>143.16</c:v>
                </c:pt>
                <c:pt idx="314">
                  <c:v>142.91999999999999</c:v>
                </c:pt>
                <c:pt idx="315">
                  <c:v>139.07</c:v>
                </c:pt>
                <c:pt idx="316">
                  <c:v>136.87</c:v>
                </c:pt>
                <c:pt idx="317">
                  <c:v>132.03</c:v>
                </c:pt>
                <c:pt idx="318">
                  <c:v>127.83</c:v>
                </c:pt>
                <c:pt idx="319">
                  <c:v>127.14</c:v>
                </c:pt>
                <c:pt idx="320">
                  <c:v>128.91</c:v>
                </c:pt>
                <c:pt idx="321">
                  <c:v>130.88999999999999</c:v>
                </c:pt>
                <c:pt idx="322">
                  <c:v>128.80000000000001</c:v>
                </c:pt>
                <c:pt idx="323">
                  <c:v>128.97999999999999</c:v>
                </c:pt>
                <c:pt idx="324">
                  <c:v>132.05000000000001</c:v>
                </c:pt>
                <c:pt idx="325">
                  <c:v>130.91999999999999</c:v>
                </c:pt>
                <c:pt idx="326">
                  <c:v>126.6</c:v>
                </c:pt>
                <c:pt idx="327">
                  <c:v>131.01</c:v>
                </c:pt>
                <c:pt idx="328">
                  <c:v>129.41</c:v>
                </c:pt>
                <c:pt idx="329">
                  <c:v>132.69</c:v>
                </c:pt>
                <c:pt idx="330">
                  <c:v>133.72</c:v>
                </c:pt>
                <c:pt idx="331">
                  <c:v>134.87</c:v>
                </c:pt>
                <c:pt idx="332">
                  <c:v>136.69</c:v>
                </c:pt>
                <c:pt idx="333">
                  <c:v>131.97</c:v>
                </c:pt>
                <c:pt idx="334">
                  <c:v>130.96</c:v>
                </c:pt>
                <c:pt idx="335">
                  <c:v>131.88</c:v>
                </c:pt>
                <c:pt idx="336">
                  <c:v>128.22999999999999</c:v>
                </c:pt>
                <c:pt idx="337">
                  <c:v>126.66</c:v>
                </c:pt>
                <c:pt idx="338">
                  <c:v>128.69999999999999</c:v>
                </c:pt>
                <c:pt idx="339">
                  <c:v>127.81</c:v>
                </c:pt>
                <c:pt idx="340">
                  <c:v>127.88</c:v>
                </c:pt>
                <c:pt idx="341">
                  <c:v>121.78</c:v>
                </c:pt>
                <c:pt idx="342">
                  <c:v>122.41</c:v>
                </c:pt>
                <c:pt idx="343">
                  <c:v>123.24</c:v>
                </c:pt>
                <c:pt idx="344">
                  <c:v>121.78</c:v>
                </c:pt>
                <c:pt idx="345">
                  <c:v>124.38</c:v>
                </c:pt>
                <c:pt idx="346">
                  <c:v>123.75</c:v>
                </c:pt>
                <c:pt idx="347">
                  <c:v>122.25</c:v>
                </c:pt>
                <c:pt idx="348">
                  <c:v>122.94</c:v>
                </c:pt>
                <c:pt idx="349">
                  <c:v>123.08</c:v>
                </c:pt>
                <c:pt idx="350">
                  <c:v>122.72</c:v>
                </c:pt>
                <c:pt idx="351">
                  <c:v>119.05</c:v>
                </c:pt>
                <c:pt idx="352">
                  <c:v>116.59</c:v>
                </c:pt>
                <c:pt idx="353">
                  <c:v>116.03</c:v>
                </c:pt>
                <c:pt idx="354">
                  <c:v>115.17</c:v>
                </c:pt>
                <c:pt idx="355">
                  <c:v>113.85</c:v>
                </c:pt>
                <c:pt idx="356">
                  <c:v>117.34</c:v>
                </c:pt>
                <c:pt idx="357">
                  <c:v>118.64</c:v>
                </c:pt>
                <c:pt idx="358">
                  <c:v>118.03</c:v>
                </c:pt>
                <c:pt idx="359">
                  <c:v>119.39</c:v>
                </c:pt>
                <c:pt idx="360">
                  <c:v>120.3</c:v>
                </c:pt>
                <c:pt idx="361">
                  <c:v>119.26</c:v>
                </c:pt>
                <c:pt idx="362">
                  <c:v>119.21</c:v>
                </c:pt>
                <c:pt idx="363">
                  <c:v>119.49</c:v>
                </c:pt>
                <c:pt idx="364">
                  <c:v>115.97</c:v>
                </c:pt>
                <c:pt idx="365">
                  <c:v>116.32</c:v>
                </c:pt>
                <c:pt idx="366">
                  <c:v>118.69</c:v>
                </c:pt>
                <c:pt idx="367">
                  <c:v>119.03</c:v>
                </c:pt>
                <c:pt idx="368">
                  <c:v>114.95</c:v>
                </c:pt>
                <c:pt idx="369">
                  <c:v>110.44</c:v>
                </c:pt>
                <c:pt idx="370">
                  <c:v>108.77</c:v>
                </c:pt>
                <c:pt idx="371">
                  <c:v>108.86</c:v>
                </c:pt>
                <c:pt idx="372">
                  <c:v>115.32</c:v>
                </c:pt>
                <c:pt idx="373">
                  <c:v>111.2</c:v>
                </c:pt>
                <c:pt idx="374">
                  <c:v>116.6</c:v>
                </c:pt>
                <c:pt idx="375">
                  <c:v>115.05</c:v>
                </c:pt>
                <c:pt idx="376">
                  <c:v>115.04</c:v>
                </c:pt>
                <c:pt idx="377">
                  <c:v>115.75</c:v>
                </c:pt>
                <c:pt idx="378">
                  <c:v>116.87</c:v>
                </c:pt>
                <c:pt idx="379">
                  <c:v>117.51</c:v>
                </c:pt>
                <c:pt idx="380">
                  <c:v>115.98</c:v>
                </c:pt>
                <c:pt idx="381">
                  <c:v>119.02</c:v>
                </c:pt>
                <c:pt idx="382">
                  <c:v>120.71</c:v>
                </c:pt>
                <c:pt idx="383">
                  <c:v>121.19</c:v>
                </c:pt>
                <c:pt idx="384">
                  <c:v>121.1</c:v>
                </c:pt>
                <c:pt idx="385">
                  <c:v>124.4</c:v>
                </c:pt>
                <c:pt idx="386">
                  <c:v>116.97</c:v>
                </c:pt>
                <c:pt idx="387">
                  <c:v>114.97</c:v>
                </c:pt>
                <c:pt idx="388">
                  <c:v>115.08</c:v>
                </c:pt>
                <c:pt idx="389">
                  <c:v>113.16</c:v>
                </c:pt>
                <c:pt idx="390">
                  <c:v>116.5</c:v>
                </c:pt>
                <c:pt idx="391">
                  <c:v>113.02</c:v>
                </c:pt>
                <c:pt idx="392">
                  <c:v>116.79</c:v>
                </c:pt>
                <c:pt idx="393">
                  <c:v>115.81</c:v>
                </c:pt>
                <c:pt idx="394">
                  <c:v>114.09</c:v>
                </c:pt>
                <c:pt idx="395">
                  <c:v>114.96</c:v>
                </c:pt>
                <c:pt idx="396">
                  <c:v>112.28</c:v>
                </c:pt>
                <c:pt idx="397">
                  <c:v>108.22</c:v>
                </c:pt>
                <c:pt idx="398">
                  <c:v>107.12</c:v>
                </c:pt>
                <c:pt idx="399">
                  <c:v>111.81</c:v>
                </c:pt>
                <c:pt idx="400">
                  <c:v>110.08</c:v>
                </c:pt>
                <c:pt idx="401">
                  <c:v>106.84</c:v>
                </c:pt>
                <c:pt idx="402">
                  <c:v>110.34</c:v>
                </c:pt>
                <c:pt idx="403">
                  <c:v>112.13</c:v>
                </c:pt>
                <c:pt idx="404">
                  <c:v>115.54</c:v>
                </c:pt>
                <c:pt idx="405">
                  <c:v>115.36</c:v>
                </c:pt>
                <c:pt idx="406">
                  <c:v>112</c:v>
                </c:pt>
                <c:pt idx="407">
                  <c:v>113.49</c:v>
                </c:pt>
                <c:pt idx="408">
                  <c:v>117.32</c:v>
                </c:pt>
                <c:pt idx="409">
                  <c:v>112.82</c:v>
                </c:pt>
                <c:pt idx="410">
                  <c:v>120.96</c:v>
                </c:pt>
                <c:pt idx="411">
                  <c:v>120.88</c:v>
                </c:pt>
                <c:pt idx="412">
                  <c:v>131.4</c:v>
                </c:pt>
                <c:pt idx="413">
                  <c:v>134.18</c:v>
                </c:pt>
                <c:pt idx="414">
                  <c:v>129.04</c:v>
                </c:pt>
                <c:pt idx="415">
                  <c:v>124.81</c:v>
                </c:pt>
                <c:pt idx="416">
                  <c:v>125.01</c:v>
                </c:pt>
                <c:pt idx="417">
                  <c:v>126.52</c:v>
                </c:pt>
                <c:pt idx="418">
                  <c:v>124.82</c:v>
                </c:pt>
                <c:pt idx="419">
                  <c:v>125.86</c:v>
                </c:pt>
                <c:pt idx="420">
                  <c:v>124.37</c:v>
                </c:pt>
                <c:pt idx="421">
                  <c:v>118.28</c:v>
                </c:pt>
                <c:pt idx="422">
                  <c:v>115.71</c:v>
                </c:pt>
                <c:pt idx="423">
                  <c:v>115.56</c:v>
                </c:pt>
                <c:pt idx="424">
                  <c:v>114.61</c:v>
                </c:pt>
                <c:pt idx="425">
                  <c:v>114.91</c:v>
                </c:pt>
                <c:pt idx="426">
                  <c:v>115.01</c:v>
                </c:pt>
                <c:pt idx="427">
                  <c:v>113.01</c:v>
                </c:pt>
                <c:pt idx="428">
                  <c:v>109.38</c:v>
                </c:pt>
                <c:pt idx="429">
                  <c:v>112.73</c:v>
                </c:pt>
                <c:pt idx="430">
                  <c:v>111.11</c:v>
                </c:pt>
                <c:pt idx="431">
                  <c:v>113.9</c:v>
                </c:pt>
                <c:pt idx="432">
                  <c:v>110.06</c:v>
                </c:pt>
                <c:pt idx="433">
                  <c:v>109.67</c:v>
                </c:pt>
                <c:pt idx="434">
                  <c:v>108.94</c:v>
                </c:pt>
                <c:pt idx="435">
                  <c:v>106.26</c:v>
                </c:pt>
                <c:pt idx="436">
                  <c:v>96.19</c:v>
                </c:pt>
                <c:pt idx="437">
                  <c:v>95.04</c:v>
                </c:pt>
                <c:pt idx="438">
                  <c:v>93.25</c:v>
                </c:pt>
                <c:pt idx="439">
                  <c:v>94.81</c:v>
                </c:pt>
                <c:pt idx="440">
                  <c:v>92.61</c:v>
                </c:pt>
                <c:pt idx="441">
                  <c:v>92.85</c:v>
                </c:pt>
                <c:pt idx="442">
                  <c:v>97.27</c:v>
                </c:pt>
                <c:pt idx="443">
                  <c:v>97</c:v>
                </c:pt>
                <c:pt idx="444">
                  <c:v>98.36</c:v>
                </c:pt>
                <c:pt idx="445">
                  <c:v>96.33</c:v>
                </c:pt>
                <c:pt idx="446">
                  <c:v>96.52</c:v>
                </c:pt>
                <c:pt idx="447">
                  <c:v>97.72</c:v>
                </c:pt>
                <c:pt idx="448">
                  <c:v>97.06</c:v>
                </c:pt>
                <c:pt idx="449">
                  <c:v>95.48</c:v>
                </c:pt>
                <c:pt idx="450">
                  <c:v>95.92</c:v>
                </c:pt>
                <c:pt idx="451">
                  <c:v>95.75</c:v>
                </c:pt>
                <c:pt idx="452">
                  <c:v>95.34</c:v>
                </c:pt>
                <c:pt idx="453">
                  <c:v>93.17</c:v>
                </c:pt>
                <c:pt idx="454">
                  <c:v>93.46</c:v>
                </c:pt>
                <c:pt idx="455">
                  <c:v>91.03</c:v>
                </c:pt>
                <c:pt idx="456">
                  <c:v>91.03</c:v>
                </c:pt>
                <c:pt idx="457">
                  <c:v>91.2</c:v>
                </c:pt>
                <c:pt idx="458">
                  <c:v>90.44</c:v>
                </c:pt>
                <c:pt idx="459">
                  <c:v>88.41</c:v>
                </c:pt>
                <c:pt idx="460">
                  <c:v>91.21</c:v>
                </c:pt>
                <c:pt idx="461">
                  <c:v>90.01</c:v>
                </c:pt>
                <c:pt idx="462">
                  <c:v>91.63</c:v>
                </c:pt>
                <c:pt idx="463">
                  <c:v>89.72</c:v>
                </c:pt>
                <c:pt idx="464">
                  <c:v>87.43</c:v>
                </c:pt>
                <c:pt idx="465">
                  <c:v>87.93</c:v>
                </c:pt>
                <c:pt idx="466">
                  <c:v>87.9</c:v>
                </c:pt>
                <c:pt idx="467">
                  <c:v>88.02</c:v>
                </c:pt>
                <c:pt idx="468">
                  <c:v>85.75</c:v>
                </c:pt>
                <c:pt idx="469">
                  <c:v>84.7</c:v>
                </c:pt>
                <c:pt idx="470">
                  <c:v>83.97</c:v>
                </c:pt>
                <c:pt idx="471">
                  <c:v>88.21</c:v>
                </c:pt>
                <c:pt idx="472">
                  <c:v>86</c:v>
                </c:pt>
                <c:pt idx="473">
                  <c:v>83.36</c:v>
                </c:pt>
                <c:pt idx="474">
                  <c:v>82.88</c:v>
                </c:pt>
                <c:pt idx="475">
                  <c:v>80.58</c:v>
                </c:pt>
                <c:pt idx="476">
                  <c:v>81.28</c:v>
                </c:pt>
                <c:pt idx="477">
                  <c:v>80.83</c:v>
                </c:pt>
                <c:pt idx="478">
                  <c:v>80.459999999999994</c:v>
                </c:pt>
                <c:pt idx="479">
                  <c:v>79.489999999999995</c:v>
                </c:pt>
                <c:pt idx="480">
                  <c:v>79.56</c:v>
                </c:pt>
                <c:pt idx="481">
                  <c:v>79.53</c:v>
                </c:pt>
                <c:pt idx="482">
                  <c:v>79.180000000000007</c:v>
                </c:pt>
                <c:pt idx="483">
                  <c:v>79.72</c:v>
                </c:pt>
                <c:pt idx="484">
                  <c:v>79.209999999999994</c:v>
                </c:pt>
                <c:pt idx="485">
                  <c:v>79.81</c:v>
                </c:pt>
                <c:pt idx="486">
                  <c:v>78.290000000000006</c:v>
                </c:pt>
                <c:pt idx="487">
                  <c:v>78.739999999999995</c:v>
                </c:pt>
                <c:pt idx="488">
                  <c:v>76.930000000000007</c:v>
                </c:pt>
                <c:pt idx="489">
                  <c:v>77.39</c:v>
                </c:pt>
                <c:pt idx="490">
                  <c:v>76.91</c:v>
                </c:pt>
                <c:pt idx="491">
                  <c:v>77.849999999999994</c:v>
                </c:pt>
                <c:pt idx="492">
                  <c:v>78.75</c:v>
                </c:pt>
                <c:pt idx="493">
                  <c:v>77.53</c:v>
                </c:pt>
                <c:pt idx="494">
                  <c:v>75.930000000000007</c:v>
                </c:pt>
                <c:pt idx="495">
                  <c:v>75.16</c:v>
                </c:pt>
                <c:pt idx="496">
                  <c:v>74.39</c:v>
                </c:pt>
                <c:pt idx="497">
                  <c:v>73.290000000000006</c:v>
                </c:pt>
                <c:pt idx="498">
                  <c:v>72.27</c:v>
                </c:pt>
                <c:pt idx="499">
                  <c:v>73.45</c:v>
                </c:pt>
                <c:pt idx="500">
                  <c:v>71.930000000000007</c:v>
                </c:pt>
                <c:pt idx="501">
                  <c:v>69.64</c:v>
                </c:pt>
                <c:pt idx="502">
                  <c:v>70.790000000000006</c:v>
                </c:pt>
                <c:pt idx="503">
                  <c:v>70.739999999999995</c:v>
                </c:pt>
                <c:pt idx="504">
                  <c:v>68.760000000000005</c:v>
                </c:pt>
                <c:pt idx="505">
                  <c:v>69.03</c:v>
                </c:pt>
                <c:pt idx="506">
                  <c:v>67.09</c:v>
                </c:pt>
                <c:pt idx="507">
                  <c:v>69.23</c:v>
                </c:pt>
                <c:pt idx="508">
                  <c:v>70.7</c:v>
                </c:pt>
                <c:pt idx="509">
                  <c:v>71.67</c:v>
                </c:pt>
                <c:pt idx="510">
                  <c:v>71.11</c:v>
                </c:pt>
                <c:pt idx="511">
                  <c:v>71.760000000000005</c:v>
                </c:pt>
                <c:pt idx="512">
                  <c:v>68.31</c:v>
                </c:pt>
                <c:pt idx="513">
                  <c:v>67</c:v>
                </c:pt>
                <c:pt idx="514">
                  <c:v>66.52</c:v>
                </c:pt>
                <c:pt idx="515">
                  <c:v>64.86</c:v>
                </c:pt>
                <c:pt idx="516">
                  <c:v>65.62</c:v>
                </c:pt>
                <c:pt idx="517">
                  <c:v>60.35</c:v>
                </c:pt>
                <c:pt idx="518">
                  <c:v>61.23</c:v>
                </c:pt>
                <c:pt idx="519">
                  <c:v>60.23</c:v>
                </c:pt>
                <c:pt idx="520">
                  <c:v>63.57</c:v>
                </c:pt>
                <c:pt idx="521">
                  <c:v>63.7</c:v>
                </c:pt>
                <c:pt idx="522">
                  <c:v>61.94</c:v>
                </c:pt>
                <c:pt idx="523">
                  <c:v>64.61</c:v>
                </c:pt>
                <c:pt idx="524">
                  <c:v>61.38</c:v>
                </c:pt>
                <c:pt idx="525">
                  <c:v>61.72</c:v>
                </c:pt>
                <c:pt idx="526">
                  <c:v>56.09</c:v>
                </c:pt>
                <c:pt idx="527">
                  <c:v>57.31</c:v>
                </c:pt>
                <c:pt idx="528">
                  <c:v>61.2</c:v>
                </c:pt>
                <c:pt idx="529">
                  <c:v>61.67</c:v>
                </c:pt>
                <c:pt idx="530">
                  <c:v>63.22</c:v>
                </c:pt>
                <c:pt idx="531">
                  <c:v>60.55</c:v>
                </c:pt>
                <c:pt idx="532">
                  <c:v>69.489999999999995</c:v>
                </c:pt>
                <c:pt idx="533">
                  <c:v>62.06</c:v>
                </c:pt>
                <c:pt idx="534">
                  <c:v>68.86</c:v>
                </c:pt>
                <c:pt idx="535">
                  <c:v>71.33</c:v>
                </c:pt>
                <c:pt idx="536">
                  <c:v>66.540000000000006</c:v>
                </c:pt>
                <c:pt idx="537">
                  <c:v>72.260000000000005</c:v>
                </c:pt>
                <c:pt idx="538">
                  <c:v>73.23</c:v>
                </c:pt>
                <c:pt idx="539">
                  <c:v>75.680000000000007</c:v>
                </c:pt>
                <c:pt idx="540">
                  <c:v>72.33</c:v>
                </c:pt>
                <c:pt idx="541">
                  <c:v>74.7</c:v>
                </c:pt>
                <c:pt idx="542">
                  <c:v>68.34</c:v>
                </c:pt>
                <c:pt idx="543">
                  <c:v>68.38</c:v>
                </c:pt>
                <c:pt idx="544">
                  <c:v>73.16</c:v>
                </c:pt>
                <c:pt idx="545">
                  <c:v>72.02</c:v>
                </c:pt>
                <c:pt idx="546">
                  <c:v>74.540000000000006</c:v>
                </c:pt>
                <c:pt idx="547">
                  <c:v>78.260000000000005</c:v>
                </c:pt>
                <c:pt idx="548">
                  <c:v>80.069999999999993</c:v>
                </c:pt>
                <c:pt idx="549">
                  <c:v>80.900000000000006</c:v>
                </c:pt>
                <c:pt idx="550">
                  <c:v>79.75</c:v>
                </c:pt>
                <c:pt idx="551">
                  <c:v>81.239999999999995</c:v>
                </c:pt>
                <c:pt idx="552">
                  <c:v>81.22</c:v>
                </c:pt>
                <c:pt idx="553">
                  <c:v>81.8</c:v>
                </c:pt>
                <c:pt idx="554">
                  <c:v>79.900000000000006</c:v>
                </c:pt>
                <c:pt idx="555">
                  <c:v>80.39</c:v>
                </c:pt>
                <c:pt idx="556">
                  <c:v>80.010000000000005</c:v>
                </c:pt>
                <c:pt idx="557">
                  <c:v>81.3</c:v>
                </c:pt>
                <c:pt idx="558">
                  <c:v>80.36</c:v>
                </c:pt>
                <c:pt idx="559">
                  <c:v>79.709999999999994</c:v>
                </c:pt>
                <c:pt idx="560">
                  <c:v>77.17</c:v>
                </c:pt>
                <c:pt idx="561">
                  <c:v>77.38</c:v>
                </c:pt>
                <c:pt idx="562">
                  <c:v>80.97</c:v>
                </c:pt>
                <c:pt idx="563">
                  <c:v>81.08</c:v>
                </c:pt>
                <c:pt idx="564">
                  <c:v>79.42</c:v>
                </c:pt>
                <c:pt idx="565">
                  <c:v>77.239999999999995</c:v>
                </c:pt>
                <c:pt idx="566">
                  <c:v>79.58</c:v>
                </c:pt>
                <c:pt idx="567">
                  <c:v>79.81</c:v>
                </c:pt>
                <c:pt idx="568">
                  <c:v>79.430000000000007</c:v>
                </c:pt>
                <c:pt idx="569">
                  <c:v>79.14</c:v>
                </c:pt>
                <c:pt idx="570">
                  <c:v>79.680000000000007</c:v>
                </c:pt>
                <c:pt idx="571">
                  <c:v>78.81</c:v>
                </c:pt>
                <c:pt idx="572">
                  <c:v>77.83</c:v>
                </c:pt>
                <c:pt idx="573">
                  <c:v>78.17</c:v>
                </c:pt>
                <c:pt idx="574">
                  <c:v>79.239999999999995</c:v>
                </c:pt>
                <c:pt idx="575">
                  <c:v>77.58</c:v>
                </c:pt>
                <c:pt idx="576">
                  <c:v>77.41</c:v>
                </c:pt>
                <c:pt idx="577">
                  <c:v>75.8</c:v>
                </c:pt>
                <c:pt idx="578">
                  <c:v>74.599999999999994</c:v>
                </c:pt>
                <c:pt idx="579">
                  <c:v>74.95</c:v>
                </c:pt>
                <c:pt idx="580">
                  <c:v>74.36</c:v>
                </c:pt>
                <c:pt idx="581">
                  <c:v>75.09</c:v>
                </c:pt>
                <c:pt idx="582">
                  <c:v>73.41</c:v>
                </c:pt>
                <c:pt idx="583">
                  <c:v>72.88</c:v>
                </c:pt>
                <c:pt idx="584">
                  <c:v>72.45</c:v>
                </c:pt>
                <c:pt idx="585">
                  <c:v>72.48</c:v>
                </c:pt>
                <c:pt idx="586">
                  <c:v>71.069999999999993</c:v>
                </c:pt>
                <c:pt idx="587">
                  <c:v>71</c:v>
                </c:pt>
                <c:pt idx="588">
                  <c:v>69.86</c:v>
                </c:pt>
                <c:pt idx="589">
                  <c:v>70</c:v>
                </c:pt>
                <c:pt idx="590">
                  <c:v>69.930000000000007</c:v>
                </c:pt>
                <c:pt idx="591">
                  <c:v>70.099999999999994</c:v>
                </c:pt>
                <c:pt idx="592">
                  <c:v>69.959999999999994</c:v>
                </c:pt>
                <c:pt idx="593">
                  <c:v>68.790000000000006</c:v>
                </c:pt>
                <c:pt idx="594">
                  <c:v>67.86</c:v>
                </c:pt>
                <c:pt idx="595">
                  <c:v>67.69</c:v>
                </c:pt>
                <c:pt idx="596">
                  <c:v>67.12</c:v>
                </c:pt>
                <c:pt idx="597">
                  <c:v>66.73</c:v>
                </c:pt>
                <c:pt idx="598">
                  <c:v>67.680000000000007</c:v>
                </c:pt>
                <c:pt idx="599">
                  <c:v>66.39</c:v>
                </c:pt>
                <c:pt idx="600">
                  <c:v>65.430000000000007</c:v>
                </c:pt>
                <c:pt idx="601">
                  <c:v>64.86</c:v>
                </c:pt>
                <c:pt idx="602">
                  <c:v>66.040000000000006</c:v>
                </c:pt>
                <c:pt idx="603">
                  <c:v>66.81</c:v>
                </c:pt>
                <c:pt idx="604">
                  <c:v>66.959999999999994</c:v>
                </c:pt>
                <c:pt idx="605">
                  <c:v>66.069999999999993</c:v>
                </c:pt>
                <c:pt idx="606">
                  <c:v>66.59</c:v>
                </c:pt>
                <c:pt idx="607">
                  <c:v>65.44</c:v>
                </c:pt>
                <c:pt idx="608">
                  <c:v>65.5</c:v>
                </c:pt>
                <c:pt idx="609">
                  <c:v>65.8</c:v>
                </c:pt>
                <c:pt idx="610">
                  <c:v>66.569999999999993</c:v>
                </c:pt>
                <c:pt idx="611">
                  <c:v>66.78</c:v>
                </c:pt>
                <c:pt idx="612">
                  <c:v>66.44</c:v>
                </c:pt>
                <c:pt idx="613">
                  <c:v>65.66</c:v>
                </c:pt>
                <c:pt idx="614">
                  <c:v>66.12</c:v>
                </c:pt>
                <c:pt idx="615">
                  <c:v>65.489999999999995</c:v>
                </c:pt>
                <c:pt idx="616">
                  <c:v>65.55</c:v>
                </c:pt>
                <c:pt idx="617">
                  <c:v>65.040000000000006</c:v>
                </c:pt>
                <c:pt idx="618">
                  <c:v>64.86</c:v>
                </c:pt>
                <c:pt idx="619">
                  <c:v>64.31</c:v>
                </c:pt>
                <c:pt idx="620">
                  <c:v>64.28</c:v>
                </c:pt>
                <c:pt idx="621">
                  <c:v>64.38</c:v>
                </c:pt>
                <c:pt idx="622">
                  <c:v>63.96</c:v>
                </c:pt>
                <c:pt idx="623">
                  <c:v>62.19</c:v>
                </c:pt>
                <c:pt idx="624">
                  <c:v>60.81</c:v>
                </c:pt>
                <c:pt idx="625">
                  <c:v>60.82</c:v>
                </c:pt>
                <c:pt idx="626">
                  <c:v>62.26</c:v>
                </c:pt>
                <c:pt idx="627">
                  <c:v>61.65</c:v>
                </c:pt>
                <c:pt idx="628">
                  <c:v>60.9</c:v>
                </c:pt>
                <c:pt idx="629">
                  <c:v>60.79</c:v>
                </c:pt>
                <c:pt idx="630">
                  <c:v>59.99</c:v>
                </c:pt>
                <c:pt idx="631">
                  <c:v>60.13</c:v>
                </c:pt>
                <c:pt idx="632">
                  <c:v>59.1</c:v>
                </c:pt>
                <c:pt idx="633">
                  <c:v>58.82</c:v>
                </c:pt>
                <c:pt idx="634">
                  <c:v>58.59</c:v>
                </c:pt>
                <c:pt idx="635">
                  <c:v>58.83</c:v>
                </c:pt>
                <c:pt idx="636">
                  <c:v>58.97</c:v>
                </c:pt>
                <c:pt idx="637">
                  <c:v>59.05</c:v>
                </c:pt>
                <c:pt idx="638">
                  <c:v>57.52</c:v>
                </c:pt>
                <c:pt idx="639">
                  <c:v>56.76</c:v>
                </c:pt>
                <c:pt idx="640">
                  <c:v>56.1</c:v>
                </c:pt>
                <c:pt idx="641">
                  <c:v>56.76</c:v>
                </c:pt>
                <c:pt idx="642">
                  <c:v>56.75</c:v>
                </c:pt>
                <c:pt idx="643">
                  <c:v>55.21</c:v>
                </c:pt>
                <c:pt idx="644">
                  <c:v>54.74</c:v>
                </c:pt>
                <c:pt idx="645">
                  <c:v>56.15</c:v>
                </c:pt>
                <c:pt idx="646">
                  <c:v>55.99</c:v>
                </c:pt>
                <c:pt idx="647">
                  <c:v>54.71</c:v>
                </c:pt>
                <c:pt idx="648">
                  <c:v>54.97</c:v>
                </c:pt>
                <c:pt idx="649">
                  <c:v>55.26</c:v>
                </c:pt>
                <c:pt idx="650">
                  <c:v>54.42</c:v>
                </c:pt>
                <c:pt idx="651">
                  <c:v>54.68</c:v>
                </c:pt>
                <c:pt idx="652">
                  <c:v>54.43</c:v>
                </c:pt>
                <c:pt idx="653">
                  <c:v>55.24</c:v>
                </c:pt>
                <c:pt idx="654">
                  <c:v>55.69</c:v>
                </c:pt>
                <c:pt idx="655">
                  <c:v>55.17</c:v>
                </c:pt>
                <c:pt idx="656">
                  <c:v>54.97</c:v>
                </c:pt>
                <c:pt idx="657">
                  <c:v>54.69</c:v>
                </c:pt>
                <c:pt idx="658">
                  <c:v>55.77</c:v>
                </c:pt>
                <c:pt idx="659">
                  <c:v>55.9</c:v>
                </c:pt>
                <c:pt idx="660">
                  <c:v>54.17</c:v>
                </c:pt>
                <c:pt idx="661">
                  <c:v>53.54</c:v>
                </c:pt>
                <c:pt idx="662">
                  <c:v>53.31</c:v>
                </c:pt>
                <c:pt idx="663">
                  <c:v>53.32</c:v>
                </c:pt>
                <c:pt idx="664">
                  <c:v>52.3</c:v>
                </c:pt>
                <c:pt idx="665">
                  <c:v>51.42</c:v>
                </c:pt>
                <c:pt idx="666">
                  <c:v>52.19</c:v>
                </c:pt>
                <c:pt idx="667">
                  <c:v>52.25</c:v>
                </c:pt>
                <c:pt idx="668">
                  <c:v>51.38</c:v>
                </c:pt>
                <c:pt idx="669">
                  <c:v>51.04</c:v>
                </c:pt>
                <c:pt idx="670">
                  <c:v>51.62</c:v>
                </c:pt>
                <c:pt idx="671">
                  <c:v>50.66</c:v>
                </c:pt>
                <c:pt idx="672">
                  <c:v>53.12</c:v>
                </c:pt>
                <c:pt idx="673">
                  <c:v>53.16</c:v>
                </c:pt>
                <c:pt idx="674">
                  <c:v>52.59</c:v>
                </c:pt>
                <c:pt idx="675">
                  <c:v>52.59</c:v>
                </c:pt>
                <c:pt idx="676">
                  <c:v>51.62</c:v>
                </c:pt>
                <c:pt idx="677">
                  <c:v>50.44</c:v>
                </c:pt>
                <c:pt idx="678">
                  <c:v>50.69</c:v>
                </c:pt>
                <c:pt idx="679">
                  <c:v>52.24</c:v>
                </c:pt>
                <c:pt idx="680">
                  <c:v>50.12</c:v>
                </c:pt>
                <c:pt idx="681">
                  <c:v>50.25</c:v>
                </c:pt>
                <c:pt idx="682">
                  <c:v>50.86</c:v>
                </c:pt>
                <c:pt idx="683">
                  <c:v>49.76</c:v>
                </c:pt>
                <c:pt idx="684">
                  <c:v>49.25</c:v>
                </c:pt>
                <c:pt idx="685">
                  <c:v>48.33</c:v>
                </c:pt>
                <c:pt idx="686">
                  <c:v>51.01</c:v>
                </c:pt>
                <c:pt idx="687">
                  <c:v>52.11</c:v>
                </c:pt>
                <c:pt idx="688">
                  <c:v>53.26</c:v>
                </c:pt>
                <c:pt idx="689">
                  <c:v>52.2</c:v>
                </c:pt>
                <c:pt idx="690">
                  <c:v>52.42</c:v>
                </c:pt>
                <c:pt idx="691">
                  <c:v>51.94</c:v>
                </c:pt>
                <c:pt idx="692">
                  <c:v>51.76</c:v>
                </c:pt>
                <c:pt idx="693">
                  <c:v>52.17</c:v>
                </c:pt>
                <c:pt idx="694">
                  <c:v>52.21</c:v>
                </c:pt>
                <c:pt idx="695">
                  <c:v>51.8</c:v>
                </c:pt>
                <c:pt idx="696">
                  <c:v>50.65</c:v>
                </c:pt>
                <c:pt idx="697">
                  <c:v>51.42</c:v>
                </c:pt>
                <c:pt idx="698">
                  <c:v>50.84</c:v>
                </c:pt>
                <c:pt idx="699">
                  <c:v>51.12</c:v>
                </c:pt>
                <c:pt idx="700">
                  <c:v>51.3</c:v>
                </c:pt>
                <c:pt idx="701">
                  <c:v>50.83</c:v>
                </c:pt>
                <c:pt idx="702">
                  <c:v>50.44</c:v>
                </c:pt>
                <c:pt idx="703">
                  <c:v>50.81</c:v>
                </c:pt>
                <c:pt idx="704">
                  <c:v>50.31</c:v>
                </c:pt>
                <c:pt idx="705">
                  <c:v>50.01</c:v>
                </c:pt>
                <c:pt idx="706">
                  <c:v>51.06</c:v>
                </c:pt>
                <c:pt idx="707">
                  <c:v>51.1</c:v>
                </c:pt>
                <c:pt idx="708">
                  <c:v>50.68</c:v>
                </c:pt>
                <c:pt idx="709">
                  <c:v>50.39</c:v>
                </c:pt>
                <c:pt idx="710">
                  <c:v>49.48</c:v>
                </c:pt>
                <c:pt idx="711">
                  <c:v>49.94</c:v>
                </c:pt>
                <c:pt idx="712">
                  <c:v>49.95</c:v>
                </c:pt>
                <c:pt idx="713">
                  <c:v>48.89</c:v>
                </c:pt>
                <c:pt idx="714">
                  <c:v>49.65</c:v>
                </c:pt>
                <c:pt idx="715">
                  <c:v>49.7</c:v>
                </c:pt>
                <c:pt idx="716">
                  <c:v>49.87</c:v>
                </c:pt>
                <c:pt idx="717">
                  <c:v>49.47</c:v>
                </c:pt>
                <c:pt idx="718">
                  <c:v>49.61</c:v>
                </c:pt>
                <c:pt idx="719">
                  <c:v>48.47</c:v>
                </c:pt>
                <c:pt idx="720">
                  <c:v>48.19</c:v>
                </c:pt>
                <c:pt idx="721">
                  <c:v>48.54</c:v>
                </c:pt>
                <c:pt idx="722">
                  <c:v>48.55</c:v>
                </c:pt>
                <c:pt idx="723">
                  <c:v>48.7</c:v>
                </c:pt>
                <c:pt idx="724">
                  <c:v>48.15</c:v>
                </c:pt>
                <c:pt idx="725">
                  <c:v>47.54</c:v>
                </c:pt>
                <c:pt idx="726">
                  <c:v>46.3</c:v>
                </c:pt>
                <c:pt idx="727">
                  <c:v>45.63</c:v>
                </c:pt>
                <c:pt idx="728">
                  <c:v>44.91</c:v>
                </c:pt>
                <c:pt idx="729">
                  <c:v>43.33</c:v>
                </c:pt>
                <c:pt idx="730">
                  <c:v>43.77</c:v>
                </c:pt>
                <c:pt idx="731">
                  <c:v>44.58</c:v>
                </c:pt>
                <c:pt idx="732">
                  <c:v>44.35</c:v>
                </c:pt>
                <c:pt idx="733">
                  <c:v>44.56</c:v>
                </c:pt>
                <c:pt idx="734">
                  <c:v>44.74</c:v>
                </c:pt>
                <c:pt idx="735">
                  <c:v>44.92</c:v>
                </c:pt>
                <c:pt idx="736">
                  <c:v>45.7</c:v>
                </c:pt>
                <c:pt idx="737">
                  <c:v>46.65</c:v>
                </c:pt>
                <c:pt idx="738">
                  <c:v>45.77</c:v>
                </c:pt>
                <c:pt idx="739">
                  <c:v>47.25</c:v>
                </c:pt>
                <c:pt idx="740">
                  <c:v>47.52</c:v>
                </c:pt>
                <c:pt idx="741">
                  <c:v>47.73</c:v>
                </c:pt>
                <c:pt idx="742">
                  <c:v>47.17</c:v>
                </c:pt>
                <c:pt idx="743">
                  <c:v>46.43</c:v>
                </c:pt>
                <c:pt idx="744">
                  <c:v>49.29</c:v>
                </c:pt>
                <c:pt idx="745">
                  <c:v>50.18</c:v>
                </c:pt>
                <c:pt idx="746">
                  <c:v>50.72</c:v>
                </c:pt>
                <c:pt idx="747">
                  <c:v>50.72</c:v>
                </c:pt>
                <c:pt idx="748">
                  <c:v>52.12</c:v>
                </c:pt>
                <c:pt idx="749">
                  <c:v>52.94</c:v>
                </c:pt>
                <c:pt idx="750">
                  <c:v>52.29</c:v>
                </c:pt>
                <c:pt idx="751">
                  <c:v>52.63</c:v>
                </c:pt>
                <c:pt idx="752">
                  <c:v>50.17</c:v>
                </c:pt>
                <c:pt idx="753">
                  <c:v>51.15</c:v>
                </c:pt>
                <c:pt idx="754">
                  <c:v>51.08</c:v>
                </c:pt>
                <c:pt idx="755">
                  <c:v>51.32</c:v>
                </c:pt>
                <c:pt idx="756">
                  <c:v>51.79</c:v>
                </c:pt>
                <c:pt idx="757">
                  <c:v>51.87</c:v>
                </c:pt>
                <c:pt idx="758">
                  <c:v>51.13</c:v>
                </c:pt>
                <c:pt idx="759">
                  <c:v>50.97</c:v>
                </c:pt>
                <c:pt idx="760">
                  <c:v>50.78</c:v>
                </c:pt>
                <c:pt idx="761">
                  <c:v>49.81</c:v>
                </c:pt>
                <c:pt idx="762">
                  <c:v>49.81</c:v>
                </c:pt>
                <c:pt idx="763">
                  <c:v>49.72</c:v>
                </c:pt>
                <c:pt idx="764">
                  <c:v>49.74</c:v>
                </c:pt>
                <c:pt idx="765">
                  <c:v>50.15</c:v>
                </c:pt>
                <c:pt idx="766">
                  <c:v>49.88</c:v>
                </c:pt>
                <c:pt idx="767">
                  <c:v>50.03</c:v>
                </c:pt>
                <c:pt idx="768">
                  <c:v>49.25</c:v>
                </c:pt>
                <c:pt idx="769">
                  <c:v>48.92</c:v>
                </c:pt>
                <c:pt idx="770">
                  <c:v>48.84</c:v>
                </c:pt>
                <c:pt idx="771">
                  <c:v>48.51</c:v>
                </c:pt>
                <c:pt idx="772">
                  <c:v>47.81</c:v>
                </c:pt>
                <c:pt idx="773">
                  <c:v>47.49</c:v>
                </c:pt>
                <c:pt idx="774">
                  <c:v>47.18</c:v>
                </c:pt>
                <c:pt idx="775">
                  <c:v>47.12</c:v>
                </c:pt>
                <c:pt idx="776">
                  <c:v>46.7</c:v>
                </c:pt>
                <c:pt idx="777">
                  <c:v>47.19</c:v>
                </c:pt>
                <c:pt idx="778">
                  <c:v>47.76</c:v>
                </c:pt>
                <c:pt idx="779">
                  <c:v>48.77</c:v>
                </c:pt>
                <c:pt idx="780">
                  <c:v>47.04</c:v>
                </c:pt>
                <c:pt idx="781">
                  <c:v>46.63</c:v>
                </c:pt>
                <c:pt idx="782">
                  <c:v>47.01</c:v>
                </c:pt>
                <c:pt idx="783">
                  <c:v>46.53</c:v>
                </c:pt>
                <c:pt idx="784">
                  <c:v>45.93</c:v>
                </c:pt>
                <c:pt idx="785">
                  <c:v>45.43</c:v>
                </c:pt>
                <c:pt idx="786">
                  <c:v>45.23</c:v>
                </c:pt>
                <c:pt idx="787">
                  <c:v>44.72</c:v>
                </c:pt>
                <c:pt idx="788">
                  <c:v>43.23</c:v>
                </c:pt>
                <c:pt idx="789">
                  <c:v>43.12</c:v>
                </c:pt>
                <c:pt idx="790">
                  <c:v>43.63</c:v>
                </c:pt>
                <c:pt idx="791">
                  <c:v>43.88</c:v>
                </c:pt>
                <c:pt idx="792">
                  <c:v>43.96</c:v>
                </c:pt>
                <c:pt idx="793">
                  <c:v>43.74</c:v>
                </c:pt>
                <c:pt idx="794">
                  <c:v>43.29</c:v>
                </c:pt>
                <c:pt idx="795">
                  <c:v>43.72</c:v>
                </c:pt>
                <c:pt idx="796">
                  <c:v>43.58</c:v>
                </c:pt>
                <c:pt idx="797">
                  <c:v>43.56</c:v>
                </c:pt>
                <c:pt idx="798">
                  <c:v>43.24</c:v>
                </c:pt>
                <c:pt idx="799">
                  <c:v>42.76</c:v>
                </c:pt>
                <c:pt idx="800">
                  <c:v>43.01</c:v>
                </c:pt>
                <c:pt idx="801">
                  <c:v>42.73</c:v>
                </c:pt>
                <c:pt idx="802">
                  <c:v>42.6</c:v>
                </c:pt>
                <c:pt idx="803">
                  <c:v>42.7</c:v>
                </c:pt>
                <c:pt idx="804">
                  <c:v>42.54</c:v>
                </c:pt>
                <c:pt idx="805">
                  <c:v>42.72</c:v>
                </c:pt>
                <c:pt idx="806">
                  <c:v>42.36</c:v>
                </c:pt>
                <c:pt idx="807">
                  <c:v>42.6</c:v>
                </c:pt>
                <c:pt idx="808">
                  <c:v>42.74</c:v>
                </c:pt>
                <c:pt idx="809">
                  <c:v>43.56</c:v>
                </c:pt>
                <c:pt idx="810">
                  <c:v>43.54</c:v>
                </c:pt>
                <c:pt idx="811">
                  <c:v>42.81</c:v>
                </c:pt>
                <c:pt idx="812">
                  <c:v>41.63</c:v>
                </c:pt>
                <c:pt idx="813">
                  <c:v>41.61</c:v>
                </c:pt>
                <c:pt idx="814">
                  <c:v>41.31</c:v>
                </c:pt>
                <c:pt idx="815">
                  <c:v>38.67</c:v>
                </c:pt>
                <c:pt idx="816">
                  <c:v>39.08</c:v>
                </c:pt>
                <c:pt idx="817">
                  <c:v>39.44</c:v>
                </c:pt>
                <c:pt idx="818">
                  <c:v>38.17</c:v>
                </c:pt>
                <c:pt idx="819">
                  <c:v>38.479999999999997</c:v>
                </c:pt>
                <c:pt idx="820">
                  <c:v>38.33</c:v>
                </c:pt>
                <c:pt idx="821">
                  <c:v>39.21</c:v>
                </c:pt>
                <c:pt idx="822">
                  <c:v>38.97</c:v>
                </c:pt>
                <c:pt idx="823">
                  <c:v>38.74</c:v>
                </c:pt>
                <c:pt idx="824">
                  <c:v>38.270000000000003</c:v>
                </c:pt>
                <c:pt idx="825">
                  <c:v>37.5</c:v>
                </c:pt>
                <c:pt idx="826">
                  <c:v>38.07</c:v>
                </c:pt>
                <c:pt idx="827">
                  <c:v>38.450000000000003</c:v>
                </c:pt>
                <c:pt idx="828">
                  <c:v>38.33</c:v>
                </c:pt>
                <c:pt idx="829">
                  <c:v>37.69</c:v>
                </c:pt>
                <c:pt idx="830">
                  <c:v>36.979999999999997</c:v>
                </c:pt>
                <c:pt idx="831">
                  <c:v>37.06</c:v>
                </c:pt>
                <c:pt idx="832">
                  <c:v>35.549999999999997</c:v>
                </c:pt>
                <c:pt idx="833">
                  <c:v>39.479999999999997</c:v>
                </c:pt>
                <c:pt idx="834">
                  <c:v>39.44</c:v>
                </c:pt>
                <c:pt idx="835">
                  <c:v>39.06</c:v>
                </c:pt>
                <c:pt idx="836">
                  <c:v>39.04</c:v>
                </c:pt>
                <c:pt idx="837">
                  <c:v>39.29</c:v>
                </c:pt>
                <c:pt idx="838">
                  <c:v>36.71</c:v>
                </c:pt>
                <c:pt idx="839">
                  <c:v>37.68</c:v>
                </c:pt>
                <c:pt idx="840">
                  <c:v>39.21</c:v>
                </c:pt>
                <c:pt idx="841">
                  <c:v>40.22</c:v>
                </c:pt>
                <c:pt idx="842">
                  <c:v>41.52</c:v>
                </c:pt>
                <c:pt idx="843">
                  <c:v>40.99</c:v>
                </c:pt>
                <c:pt idx="844">
                  <c:v>41.37</c:v>
                </c:pt>
                <c:pt idx="845">
                  <c:v>42.74</c:v>
                </c:pt>
                <c:pt idx="846">
                  <c:v>42.28</c:v>
                </c:pt>
                <c:pt idx="847">
                  <c:v>42.16</c:v>
                </c:pt>
                <c:pt idx="848">
                  <c:v>42.4</c:v>
                </c:pt>
                <c:pt idx="849">
                  <c:v>42.12</c:v>
                </c:pt>
                <c:pt idx="850">
                  <c:v>43.68</c:v>
                </c:pt>
                <c:pt idx="851">
                  <c:v>44.17</c:v>
                </c:pt>
                <c:pt idx="852">
                  <c:v>46.21</c:v>
                </c:pt>
                <c:pt idx="853">
                  <c:v>44.65</c:v>
                </c:pt>
                <c:pt idx="854">
                  <c:v>44.89</c:v>
                </c:pt>
                <c:pt idx="855">
                  <c:v>45.24</c:v>
                </c:pt>
                <c:pt idx="856">
                  <c:v>43.56</c:v>
                </c:pt>
                <c:pt idx="857">
                  <c:v>43.65</c:v>
                </c:pt>
                <c:pt idx="858">
                  <c:v>43.07</c:v>
                </c:pt>
                <c:pt idx="859">
                  <c:v>44.2</c:v>
                </c:pt>
                <c:pt idx="860">
                  <c:v>44.24</c:v>
                </c:pt>
                <c:pt idx="861">
                  <c:v>46.47</c:v>
                </c:pt>
                <c:pt idx="862">
                  <c:v>48.38</c:v>
                </c:pt>
                <c:pt idx="863">
                  <c:v>47.85</c:v>
                </c:pt>
                <c:pt idx="864">
                  <c:v>46.7</c:v>
                </c:pt>
                <c:pt idx="865">
                  <c:v>48.06</c:v>
                </c:pt>
                <c:pt idx="866">
                  <c:v>48.54</c:v>
                </c:pt>
                <c:pt idx="867">
                  <c:v>51.12</c:v>
                </c:pt>
                <c:pt idx="868">
                  <c:v>52.12</c:v>
                </c:pt>
                <c:pt idx="869">
                  <c:v>52.49</c:v>
                </c:pt>
                <c:pt idx="870">
                  <c:v>50.94</c:v>
                </c:pt>
                <c:pt idx="871">
                  <c:v>50.4</c:v>
                </c:pt>
                <c:pt idx="872">
                  <c:v>51.87</c:v>
                </c:pt>
                <c:pt idx="873">
                  <c:v>55.55</c:v>
                </c:pt>
                <c:pt idx="874">
                  <c:v>54.72</c:v>
                </c:pt>
                <c:pt idx="875">
                  <c:v>53.33</c:v>
                </c:pt>
                <c:pt idx="876">
                  <c:v>53.06</c:v>
                </c:pt>
                <c:pt idx="877">
                  <c:v>54.08</c:v>
                </c:pt>
                <c:pt idx="878">
                  <c:v>54.95</c:v>
                </c:pt>
                <c:pt idx="879">
                  <c:v>53.77</c:v>
                </c:pt>
                <c:pt idx="880">
                  <c:v>55.68</c:v>
                </c:pt>
                <c:pt idx="881">
                  <c:v>55.16</c:v>
                </c:pt>
                <c:pt idx="882">
                  <c:v>54.83</c:v>
                </c:pt>
                <c:pt idx="883">
                  <c:v>54.01</c:v>
                </c:pt>
                <c:pt idx="884">
                  <c:v>55.3</c:v>
                </c:pt>
                <c:pt idx="885">
                  <c:v>55.54</c:v>
                </c:pt>
                <c:pt idx="886">
                  <c:v>54.34</c:v>
                </c:pt>
                <c:pt idx="887">
                  <c:v>55.53</c:v>
                </c:pt>
                <c:pt idx="888">
                  <c:v>53.61</c:v>
                </c:pt>
                <c:pt idx="889">
                  <c:v>54.09</c:v>
                </c:pt>
                <c:pt idx="890">
                  <c:v>56.72</c:v>
                </c:pt>
                <c:pt idx="891">
                  <c:v>55.94</c:v>
                </c:pt>
                <c:pt idx="892">
                  <c:v>56.07</c:v>
                </c:pt>
                <c:pt idx="893">
                  <c:v>57</c:v>
                </c:pt>
                <c:pt idx="894">
                  <c:v>58.02</c:v>
                </c:pt>
                <c:pt idx="895">
                  <c:v>57.32</c:v>
                </c:pt>
                <c:pt idx="896">
                  <c:v>56.81</c:v>
                </c:pt>
                <c:pt idx="897">
                  <c:v>56.44</c:v>
                </c:pt>
                <c:pt idx="898">
                  <c:v>56.24</c:v>
                </c:pt>
                <c:pt idx="899">
                  <c:v>55.1</c:v>
                </c:pt>
                <c:pt idx="900">
                  <c:v>55.55</c:v>
                </c:pt>
                <c:pt idx="901">
                  <c:v>55.2</c:v>
                </c:pt>
                <c:pt idx="902">
                  <c:v>54.42</c:v>
                </c:pt>
                <c:pt idx="903">
                  <c:v>55.01</c:v>
                </c:pt>
                <c:pt idx="904">
                  <c:v>54.59</c:v>
                </c:pt>
                <c:pt idx="905">
                  <c:v>54.56</c:v>
                </c:pt>
                <c:pt idx="906">
                  <c:v>54.47</c:v>
                </c:pt>
                <c:pt idx="907">
                  <c:v>55.96</c:v>
                </c:pt>
                <c:pt idx="908">
                  <c:v>56.6</c:v>
                </c:pt>
                <c:pt idx="909">
                  <c:v>55.27</c:v>
                </c:pt>
                <c:pt idx="910">
                  <c:v>55.96</c:v>
                </c:pt>
                <c:pt idx="911">
                  <c:v>54.58</c:v>
                </c:pt>
                <c:pt idx="912">
                  <c:v>55.33</c:v>
                </c:pt>
                <c:pt idx="913">
                  <c:v>55.78</c:v>
                </c:pt>
                <c:pt idx="914">
                  <c:v>56.72</c:v>
                </c:pt>
                <c:pt idx="915">
                  <c:v>57.09</c:v>
                </c:pt>
                <c:pt idx="916">
                  <c:v>56.91</c:v>
                </c:pt>
                <c:pt idx="917">
                  <c:v>56.26</c:v>
                </c:pt>
                <c:pt idx="918">
                  <c:v>55.74</c:v>
                </c:pt>
                <c:pt idx="919">
                  <c:v>54.92</c:v>
                </c:pt>
                <c:pt idx="920">
                  <c:v>54.49</c:v>
                </c:pt>
                <c:pt idx="921">
                  <c:v>54.04</c:v>
                </c:pt>
                <c:pt idx="922">
                  <c:v>53.87</c:v>
                </c:pt>
                <c:pt idx="923">
                  <c:v>53.76</c:v>
                </c:pt>
                <c:pt idx="924">
                  <c:v>53.76</c:v>
                </c:pt>
                <c:pt idx="925">
                  <c:v>53.87</c:v>
                </c:pt>
                <c:pt idx="926">
                  <c:v>54.4</c:v>
                </c:pt>
                <c:pt idx="927">
                  <c:v>53.33</c:v>
                </c:pt>
                <c:pt idx="928">
                  <c:v>52.56</c:v>
                </c:pt>
                <c:pt idx="929">
                  <c:v>52.44</c:v>
                </c:pt>
                <c:pt idx="930">
                  <c:v>52.22</c:v>
                </c:pt>
                <c:pt idx="931">
                  <c:v>51.88</c:v>
                </c:pt>
                <c:pt idx="932">
                  <c:v>52.22</c:v>
                </c:pt>
                <c:pt idx="933">
                  <c:v>51.81</c:v>
                </c:pt>
                <c:pt idx="934">
                  <c:v>51.78</c:v>
                </c:pt>
                <c:pt idx="935">
                  <c:v>52.27</c:v>
                </c:pt>
                <c:pt idx="936">
                  <c:v>52</c:v>
                </c:pt>
                <c:pt idx="937">
                  <c:v>51.85</c:v>
                </c:pt>
                <c:pt idx="938">
                  <c:v>50.38</c:v>
                </c:pt>
                <c:pt idx="939">
                  <c:v>47.57</c:v>
                </c:pt>
                <c:pt idx="940">
                  <c:v>47.48</c:v>
                </c:pt>
                <c:pt idx="941">
                  <c:v>47.74</c:v>
                </c:pt>
                <c:pt idx="942">
                  <c:v>48.55</c:v>
                </c:pt>
                <c:pt idx="943">
                  <c:v>48.71</c:v>
                </c:pt>
                <c:pt idx="944">
                  <c:v>48.25</c:v>
                </c:pt>
                <c:pt idx="945">
                  <c:v>47.9</c:v>
                </c:pt>
                <c:pt idx="946">
                  <c:v>47.86</c:v>
                </c:pt>
                <c:pt idx="947">
                  <c:v>47.97</c:v>
                </c:pt>
                <c:pt idx="948">
                  <c:v>47.6</c:v>
                </c:pt>
                <c:pt idx="949">
                  <c:v>47.86</c:v>
                </c:pt>
                <c:pt idx="950">
                  <c:v>47.73</c:v>
                </c:pt>
                <c:pt idx="951">
                  <c:v>47.83</c:v>
                </c:pt>
                <c:pt idx="952">
                  <c:v>47.76</c:v>
                </c:pt>
                <c:pt idx="953">
                  <c:v>46.97</c:v>
                </c:pt>
                <c:pt idx="954">
                  <c:v>47.59</c:v>
                </c:pt>
                <c:pt idx="955">
                  <c:v>47.65</c:v>
                </c:pt>
                <c:pt idx="956">
                  <c:v>46.99</c:v>
                </c:pt>
                <c:pt idx="957">
                  <c:v>46.35</c:v>
                </c:pt>
                <c:pt idx="958">
                  <c:v>45.98</c:v>
                </c:pt>
                <c:pt idx="959">
                  <c:v>46.79</c:v>
                </c:pt>
                <c:pt idx="960">
                  <c:v>46.28</c:v>
                </c:pt>
                <c:pt idx="961">
                  <c:v>46.38</c:v>
                </c:pt>
                <c:pt idx="962">
                  <c:v>46.04</c:v>
                </c:pt>
                <c:pt idx="963">
                  <c:v>46.11</c:v>
                </c:pt>
                <c:pt idx="964">
                  <c:v>45.54</c:v>
                </c:pt>
                <c:pt idx="965">
                  <c:v>46.23</c:v>
                </c:pt>
                <c:pt idx="966">
                  <c:v>46.37</c:v>
                </c:pt>
                <c:pt idx="967">
                  <c:v>46.62</c:v>
                </c:pt>
                <c:pt idx="968">
                  <c:v>46.42</c:v>
                </c:pt>
                <c:pt idx="969">
                  <c:v>47.19</c:v>
                </c:pt>
                <c:pt idx="970">
                  <c:v>47.21</c:v>
                </c:pt>
                <c:pt idx="971">
                  <c:v>47.7</c:v>
                </c:pt>
                <c:pt idx="972">
                  <c:v>47.67</c:v>
                </c:pt>
                <c:pt idx="973">
                  <c:v>48.07</c:v>
                </c:pt>
                <c:pt idx="974">
                  <c:v>47.81</c:v>
                </c:pt>
                <c:pt idx="975">
                  <c:v>47.92</c:v>
                </c:pt>
                <c:pt idx="976">
                  <c:v>48.37</c:v>
                </c:pt>
                <c:pt idx="977">
                  <c:v>48.49</c:v>
                </c:pt>
                <c:pt idx="978">
                  <c:v>48.33</c:v>
                </c:pt>
                <c:pt idx="979">
                  <c:v>47.96</c:v>
                </c:pt>
                <c:pt idx="980">
                  <c:v>47.56</c:v>
                </c:pt>
                <c:pt idx="981">
                  <c:v>46.72</c:v>
                </c:pt>
                <c:pt idx="982">
                  <c:v>46.88</c:v>
                </c:pt>
                <c:pt idx="983">
                  <c:v>46.97</c:v>
                </c:pt>
                <c:pt idx="984">
                  <c:v>47.15</c:v>
                </c:pt>
                <c:pt idx="985">
                  <c:v>47.04</c:v>
                </c:pt>
                <c:pt idx="986">
                  <c:v>47.09</c:v>
                </c:pt>
                <c:pt idx="987">
                  <c:v>46.79</c:v>
                </c:pt>
                <c:pt idx="988">
                  <c:v>46.91</c:v>
                </c:pt>
                <c:pt idx="989">
                  <c:v>46.58</c:v>
                </c:pt>
                <c:pt idx="990">
                  <c:v>46.75</c:v>
                </c:pt>
                <c:pt idx="991">
                  <c:v>47.04</c:v>
                </c:pt>
                <c:pt idx="992">
                  <c:v>46.61</c:v>
                </c:pt>
                <c:pt idx="993">
                  <c:v>47.04</c:v>
                </c:pt>
                <c:pt idx="994">
                  <c:v>47.15</c:v>
                </c:pt>
                <c:pt idx="995">
                  <c:v>47.51</c:v>
                </c:pt>
                <c:pt idx="996">
                  <c:v>46.84</c:v>
                </c:pt>
                <c:pt idx="997">
                  <c:v>46.51</c:v>
                </c:pt>
                <c:pt idx="998">
                  <c:v>46.29</c:v>
                </c:pt>
                <c:pt idx="999">
                  <c:v>45.96</c:v>
                </c:pt>
                <c:pt idx="1000">
                  <c:v>44.22</c:v>
                </c:pt>
                <c:pt idx="1001">
                  <c:v>44.14</c:v>
                </c:pt>
                <c:pt idx="1002">
                  <c:v>42.28</c:v>
                </c:pt>
                <c:pt idx="1003">
                  <c:v>41.31</c:v>
                </c:pt>
                <c:pt idx="1004">
                  <c:v>40.58</c:v>
                </c:pt>
                <c:pt idx="1005">
                  <c:v>41.05</c:v>
                </c:pt>
                <c:pt idx="1006">
                  <c:v>40.909999999999997</c:v>
                </c:pt>
                <c:pt idx="1007">
                  <c:v>40.74</c:v>
                </c:pt>
                <c:pt idx="1008">
                  <c:v>41.31</c:v>
                </c:pt>
                <c:pt idx="1009">
                  <c:v>41.43</c:v>
                </c:pt>
                <c:pt idx="1010">
                  <c:v>43.2</c:v>
                </c:pt>
                <c:pt idx="1011">
                  <c:v>44.46</c:v>
                </c:pt>
                <c:pt idx="1012">
                  <c:v>44.56</c:v>
                </c:pt>
                <c:pt idx="1013">
                  <c:v>43.96</c:v>
                </c:pt>
                <c:pt idx="1014">
                  <c:v>43.68</c:v>
                </c:pt>
                <c:pt idx="1015">
                  <c:v>43.53</c:v>
                </c:pt>
                <c:pt idx="1016">
                  <c:v>43.11</c:v>
                </c:pt>
                <c:pt idx="1017">
                  <c:v>43.31</c:v>
                </c:pt>
                <c:pt idx="1018">
                  <c:v>42.51</c:v>
                </c:pt>
                <c:pt idx="1019">
                  <c:v>42.1</c:v>
                </c:pt>
                <c:pt idx="1020">
                  <c:v>43.2</c:v>
                </c:pt>
                <c:pt idx="1021">
                  <c:v>42.9</c:v>
                </c:pt>
                <c:pt idx="1022">
                  <c:v>42.1</c:v>
                </c:pt>
                <c:pt idx="1023">
                  <c:v>41.67</c:v>
                </c:pt>
                <c:pt idx="1024">
                  <c:v>41.95</c:v>
                </c:pt>
                <c:pt idx="1025">
                  <c:v>41.62</c:v>
                </c:pt>
                <c:pt idx="1026">
                  <c:v>42.08</c:v>
                </c:pt>
                <c:pt idx="1027">
                  <c:v>43.19</c:v>
                </c:pt>
                <c:pt idx="1028">
                  <c:v>41.24</c:v>
                </c:pt>
                <c:pt idx="1029">
                  <c:v>42.21</c:v>
                </c:pt>
                <c:pt idx="1030">
                  <c:v>42.82</c:v>
                </c:pt>
                <c:pt idx="1031">
                  <c:v>43.81</c:v>
                </c:pt>
                <c:pt idx="1032">
                  <c:v>43.83</c:v>
                </c:pt>
                <c:pt idx="1033">
                  <c:v>44.51</c:v>
                </c:pt>
                <c:pt idx="1034">
                  <c:v>44.66</c:v>
                </c:pt>
                <c:pt idx="1035">
                  <c:v>44.61</c:v>
                </c:pt>
                <c:pt idx="1036">
                  <c:v>44.99</c:v>
                </c:pt>
                <c:pt idx="1037">
                  <c:v>45.43</c:v>
                </c:pt>
                <c:pt idx="1038">
                  <c:v>44.99</c:v>
                </c:pt>
                <c:pt idx="1039">
                  <c:v>44.24</c:v>
                </c:pt>
                <c:pt idx="1040">
                  <c:v>43.76</c:v>
                </c:pt>
                <c:pt idx="1041">
                  <c:v>44.17</c:v>
                </c:pt>
                <c:pt idx="1042">
                  <c:v>44.21</c:v>
                </c:pt>
                <c:pt idx="1043">
                  <c:v>44.05</c:v>
                </c:pt>
                <c:pt idx="1044">
                  <c:v>43.75</c:v>
                </c:pt>
                <c:pt idx="1045">
                  <c:v>44.53</c:v>
                </c:pt>
                <c:pt idx="1046">
                  <c:v>44.6</c:v>
                </c:pt>
                <c:pt idx="1047">
                  <c:v>44.74</c:v>
                </c:pt>
                <c:pt idx="1048">
                  <c:v>43.88</c:v>
                </c:pt>
                <c:pt idx="1049">
                  <c:v>43.12</c:v>
                </c:pt>
                <c:pt idx="1050">
                  <c:v>42.77</c:v>
                </c:pt>
                <c:pt idx="1051">
                  <c:v>42.96</c:v>
                </c:pt>
                <c:pt idx="1052">
                  <c:v>43.11</c:v>
                </c:pt>
                <c:pt idx="1053">
                  <c:v>43.25</c:v>
                </c:pt>
                <c:pt idx="1054">
                  <c:v>41.84</c:v>
                </c:pt>
                <c:pt idx="1055">
                  <c:v>41.08</c:v>
                </c:pt>
                <c:pt idx="1056">
                  <c:v>40.68</c:v>
                </c:pt>
                <c:pt idx="1057">
                  <c:v>39.1</c:v>
                </c:pt>
                <c:pt idx="1058">
                  <c:v>38.79</c:v>
                </c:pt>
                <c:pt idx="1059">
                  <c:v>39.880000000000003</c:v>
                </c:pt>
                <c:pt idx="1060">
                  <c:v>40.76</c:v>
                </c:pt>
                <c:pt idx="1061">
                  <c:v>39.119999999999997</c:v>
                </c:pt>
                <c:pt idx="1062">
                  <c:v>40.119999999999997</c:v>
                </c:pt>
                <c:pt idx="1063">
                  <c:v>41.95</c:v>
                </c:pt>
                <c:pt idx="1064">
                  <c:v>41.86</c:v>
                </c:pt>
                <c:pt idx="1065">
                  <c:v>41.74</c:v>
                </c:pt>
                <c:pt idx="1066">
                  <c:v>41.99</c:v>
                </c:pt>
                <c:pt idx="1067">
                  <c:v>42.88</c:v>
                </c:pt>
                <c:pt idx="1068">
                  <c:v>42.78</c:v>
                </c:pt>
                <c:pt idx="1069">
                  <c:v>43.55</c:v>
                </c:pt>
                <c:pt idx="1070">
                  <c:v>44.26</c:v>
                </c:pt>
                <c:pt idx="1071">
                  <c:v>44.25</c:v>
                </c:pt>
                <c:pt idx="1072">
                  <c:v>44.62</c:v>
                </c:pt>
                <c:pt idx="1073">
                  <c:v>44.81</c:v>
                </c:pt>
                <c:pt idx="1074">
                  <c:v>44.78</c:v>
                </c:pt>
                <c:pt idx="1075">
                  <c:v>44.05</c:v>
                </c:pt>
                <c:pt idx="1076">
                  <c:v>44.27</c:v>
                </c:pt>
                <c:pt idx="1077">
                  <c:v>43.82</c:v>
                </c:pt>
                <c:pt idx="1078">
                  <c:v>43.57</c:v>
                </c:pt>
                <c:pt idx="1079">
                  <c:v>43.58</c:v>
                </c:pt>
                <c:pt idx="1080">
                  <c:v>43.59</c:v>
                </c:pt>
                <c:pt idx="1081">
                  <c:v>43.75</c:v>
                </c:pt>
                <c:pt idx="1082">
                  <c:v>43.26</c:v>
                </c:pt>
                <c:pt idx="1083">
                  <c:v>43.06</c:v>
                </c:pt>
                <c:pt idx="1084">
                  <c:v>43.06</c:v>
                </c:pt>
                <c:pt idx="1085">
                  <c:v>42.31</c:v>
                </c:pt>
                <c:pt idx="1086">
                  <c:v>42.77</c:v>
                </c:pt>
                <c:pt idx="1087">
                  <c:v>42.65</c:v>
                </c:pt>
                <c:pt idx="1088">
                  <c:v>42.64</c:v>
                </c:pt>
                <c:pt idx="1089">
                  <c:v>43.75</c:v>
                </c:pt>
                <c:pt idx="1090">
                  <c:v>43.75</c:v>
                </c:pt>
                <c:pt idx="1091">
                  <c:v>43.59</c:v>
                </c:pt>
                <c:pt idx="1092">
                  <c:v>43.63</c:v>
                </c:pt>
                <c:pt idx="1093">
                  <c:v>44.1</c:v>
                </c:pt>
                <c:pt idx="1094">
                  <c:v>43.49</c:v>
                </c:pt>
                <c:pt idx="1095">
                  <c:v>43.05</c:v>
                </c:pt>
                <c:pt idx="1096">
                  <c:v>43.07</c:v>
                </c:pt>
                <c:pt idx="1097">
                  <c:v>42.92</c:v>
                </c:pt>
                <c:pt idx="1098">
                  <c:v>43.17</c:v>
                </c:pt>
                <c:pt idx="1099">
                  <c:v>42.34</c:v>
                </c:pt>
                <c:pt idx="1100">
                  <c:v>42.33</c:v>
                </c:pt>
                <c:pt idx="1101">
                  <c:v>42.25</c:v>
                </c:pt>
                <c:pt idx="1102">
                  <c:v>42.41</c:v>
                </c:pt>
                <c:pt idx="1103">
                  <c:v>42.45</c:v>
                </c:pt>
                <c:pt idx="1104">
                  <c:v>42.76</c:v>
                </c:pt>
                <c:pt idx="1105">
                  <c:v>42.96</c:v>
                </c:pt>
                <c:pt idx="1106">
                  <c:v>42.37</c:v>
                </c:pt>
                <c:pt idx="1107">
                  <c:v>43.27</c:v>
                </c:pt>
                <c:pt idx="1108">
                  <c:v>43.52</c:v>
                </c:pt>
                <c:pt idx="1109">
                  <c:v>43.74</c:v>
                </c:pt>
                <c:pt idx="1110">
                  <c:v>43.74</c:v>
                </c:pt>
                <c:pt idx="1111">
                  <c:v>43.28</c:v>
                </c:pt>
                <c:pt idx="1112">
                  <c:v>42.49</c:v>
                </c:pt>
                <c:pt idx="1113">
                  <c:v>42.54</c:v>
                </c:pt>
                <c:pt idx="1114">
                  <c:v>42.78</c:v>
                </c:pt>
                <c:pt idx="1115">
                  <c:v>42.27</c:v>
                </c:pt>
                <c:pt idx="1116">
                  <c:v>42.83</c:v>
                </c:pt>
                <c:pt idx="1117">
                  <c:v>43.49</c:v>
                </c:pt>
                <c:pt idx="1118">
                  <c:v>43.67</c:v>
                </c:pt>
                <c:pt idx="1119">
                  <c:v>43.97</c:v>
                </c:pt>
                <c:pt idx="1120">
                  <c:v>44.06</c:v>
                </c:pt>
                <c:pt idx="1121">
                  <c:v>43.7</c:v>
                </c:pt>
                <c:pt idx="1122">
                  <c:v>43.56</c:v>
                </c:pt>
                <c:pt idx="1123">
                  <c:v>43.12</c:v>
                </c:pt>
                <c:pt idx="1124">
                  <c:v>42.03</c:v>
                </c:pt>
                <c:pt idx="1125">
                  <c:v>41.72</c:v>
                </c:pt>
                <c:pt idx="1126">
                  <c:v>42.26</c:v>
                </c:pt>
                <c:pt idx="1127">
                  <c:v>41.68</c:v>
                </c:pt>
                <c:pt idx="1128">
                  <c:v>40.76</c:v>
                </c:pt>
                <c:pt idx="1129">
                  <c:v>39.35</c:v>
                </c:pt>
                <c:pt idx="1130">
                  <c:v>39.1</c:v>
                </c:pt>
                <c:pt idx="1131">
                  <c:v>39.28</c:v>
                </c:pt>
                <c:pt idx="1132">
                  <c:v>39.04</c:v>
                </c:pt>
                <c:pt idx="1133">
                  <c:v>39.06</c:v>
                </c:pt>
                <c:pt idx="1134">
                  <c:v>38.99</c:v>
                </c:pt>
                <c:pt idx="1135">
                  <c:v>39.94</c:v>
                </c:pt>
                <c:pt idx="1136">
                  <c:v>40.119999999999997</c:v>
                </c:pt>
                <c:pt idx="1137">
                  <c:v>39.97</c:v>
                </c:pt>
                <c:pt idx="1138">
                  <c:v>39.25</c:v>
                </c:pt>
                <c:pt idx="1139">
                  <c:v>39</c:v>
                </c:pt>
                <c:pt idx="1140">
                  <c:v>39.14</c:v>
                </c:pt>
                <c:pt idx="1141">
                  <c:v>38.97</c:v>
                </c:pt>
                <c:pt idx="1142">
                  <c:v>38.96</c:v>
                </c:pt>
                <c:pt idx="1143">
                  <c:v>38.83</c:v>
                </c:pt>
                <c:pt idx="1144">
                  <c:v>38.85</c:v>
                </c:pt>
                <c:pt idx="1145">
                  <c:v>38.369999999999997</c:v>
                </c:pt>
                <c:pt idx="1146">
                  <c:v>38.619999999999997</c:v>
                </c:pt>
                <c:pt idx="1147">
                  <c:v>38.450000000000003</c:v>
                </c:pt>
                <c:pt idx="1148">
                  <c:v>38.53</c:v>
                </c:pt>
                <c:pt idx="1149">
                  <c:v>38.32</c:v>
                </c:pt>
                <c:pt idx="1150">
                  <c:v>38.56</c:v>
                </c:pt>
                <c:pt idx="1151">
                  <c:v>38.28</c:v>
                </c:pt>
                <c:pt idx="1152">
                  <c:v>37.64</c:v>
                </c:pt>
                <c:pt idx="1153">
                  <c:v>37.97</c:v>
                </c:pt>
                <c:pt idx="1154">
                  <c:v>38.35</c:v>
                </c:pt>
                <c:pt idx="1155">
                  <c:v>39.020000000000003</c:v>
                </c:pt>
                <c:pt idx="1156">
                  <c:v>39.68</c:v>
                </c:pt>
                <c:pt idx="1157">
                  <c:v>39.67</c:v>
                </c:pt>
                <c:pt idx="1158">
                  <c:v>39.97</c:v>
                </c:pt>
                <c:pt idx="1159">
                  <c:v>39.57</c:v>
                </c:pt>
                <c:pt idx="1160">
                  <c:v>39.909999999999997</c:v>
                </c:pt>
                <c:pt idx="1161">
                  <c:v>40.22</c:v>
                </c:pt>
                <c:pt idx="1162">
                  <c:v>40.380000000000003</c:v>
                </c:pt>
                <c:pt idx="1163">
                  <c:v>39.659999999999997</c:v>
                </c:pt>
                <c:pt idx="1164">
                  <c:v>40.31</c:v>
                </c:pt>
                <c:pt idx="1165">
                  <c:v>40.479999999999997</c:v>
                </c:pt>
                <c:pt idx="1166">
                  <c:v>40.520000000000003</c:v>
                </c:pt>
                <c:pt idx="1167">
                  <c:v>41.01</c:v>
                </c:pt>
                <c:pt idx="1168">
                  <c:v>41</c:v>
                </c:pt>
                <c:pt idx="1169">
                  <c:v>40.840000000000003</c:v>
                </c:pt>
                <c:pt idx="1170">
                  <c:v>40.729999999999997</c:v>
                </c:pt>
                <c:pt idx="1171">
                  <c:v>40.369999999999997</c:v>
                </c:pt>
                <c:pt idx="1172">
                  <c:v>39.97</c:v>
                </c:pt>
                <c:pt idx="1173">
                  <c:v>39.82</c:v>
                </c:pt>
                <c:pt idx="1174">
                  <c:v>39.99</c:v>
                </c:pt>
                <c:pt idx="1175">
                  <c:v>39.950000000000003</c:v>
                </c:pt>
                <c:pt idx="1176">
                  <c:v>39.299999999999997</c:v>
                </c:pt>
                <c:pt idx="1177">
                  <c:v>39.380000000000003</c:v>
                </c:pt>
                <c:pt idx="1178">
                  <c:v>39.47</c:v>
                </c:pt>
                <c:pt idx="1179">
                  <c:v>40.24</c:v>
                </c:pt>
                <c:pt idx="1180">
                  <c:v>40.4</c:v>
                </c:pt>
                <c:pt idx="1181">
                  <c:v>39.96</c:v>
                </c:pt>
                <c:pt idx="1182">
                  <c:v>39.369999999999997</c:v>
                </c:pt>
                <c:pt idx="1183">
                  <c:v>38.83</c:v>
                </c:pt>
                <c:pt idx="1184">
                  <c:v>40.26</c:v>
                </c:pt>
                <c:pt idx="1185">
                  <c:v>40.020000000000003</c:v>
                </c:pt>
                <c:pt idx="1186">
                  <c:v>39.700000000000003</c:v>
                </c:pt>
                <c:pt idx="1187">
                  <c:v>39.1</c:v>
                </c:pt>
                <c:pt idx="1188">
                  <c:v>38.89</c:v>
                </c:pt>
                <c:pt idx="1189">
                  <c:v>39.28</c:v>
                </c:pt>
                <c:pt idx="1190">
                  <c:v>37.51</c:v>
                </c:pt>
                <c:pt idx="1191">
                  <c:v>37.18</c:v>
                </c:pt>
                <c:pt idx="1192">
                  <c:v>37.380000000000003</c:v>
                </c:pt>
                <c:pt idx="1193">
                  <c:v>37.64</c:v>
                </c:pt>
                <c:pt idx="1194">
                  <c:v>38.369999999999997</c:v>
                </c:pt>
                <c:pt idx="1195">
                  <c:v>38.19</c:v>
                </c:pt>
                <c:pt idx="1196">
                  <c:v>38.020000000000003</c:v>
                </c:pt>
                <c:pt idx="1197">
                  <c:v>37.57</c:v>
                </c:pt>
                <c:pt idx="1198">
                  <c:v>37.58</c:v>
                </c:pt>
                <c:pt idx="1199">
                  <c:v>37.76</c:v>
                </c:pt>
                <c:pt idx="1200">
                  <c:v>37.520000000000003</c:v>
                </c:pt>
                <c:pt idx="1201">
                  <c:v>37.39</c:v>
                </c:pt>
                <c:pt idx="1202">
                  <c:v>37.26</c:v>
                </c:pt>
                <c:pt idx="1203">
                  <c:v>36.94</c:v>
                </c:pt>
                <c:pt idx="1204">
                  <c:v>36.44</c:v>
                </c:pt>
                <c:pt idx="1205">
                  <c:v>36.380000000000003</c:v>
                </c:pt>
                <c:pt idx="1206">
                  <c:v>36.26</c:v>
                </c:pt>
                <c:pt idx="1207">
                  <c:v>36.04</c:v>
                </c:pt>
                <c:pt idx="1208">
                  <c:v>35.68</c:v>
                </c:pt>
                <c:pt idx="1209">
                  <c:v>36.020000000000003</c:v>
                </c:pt>
                <c:pt idx="1210">
                  <c:v>35.880000000000003</c:v>
                </c:pt>
                <c:pt idx="1211">
                  <c:v>36.01</c:v>
                </c:pt>
                <c:pt idx="1212">
                  <c:v>35.92</c:v>
                </c:pt>
                <c:pt idx="1213">
                  <c:v>36.46</c:v>
                </c:pt>
                <c:pt idx="1214">
                  <c:v>35.93</c:v>
                </c:pt>
                <c:pt idx="1215">
                  <c:v>36.46</c:v>
                </c:pt>
                <c:pt idx="1216">
                  <c:v>36.57</c:v>
                </c:pt>
                <c:pt idx="1217">
                  <c:v>36.409999999999997</c:v>
                </c:pt>
                <c:pt idx="1218">
                  <c:v>36.47</c:v>
                </c:pt>
                <c:pt idx="1219">
                  <c:v>36.25</c:v>
                </c:pt>
                <c:pt idx="1220">
                  <c:v>36.58</c:v>
                </c:pt>
                <c:pt idx="1221">
                  <c:v>35.57</c:v>
                </c:pt>
                <c:pt idx="1222">
                  <c:v>36.07</c:v>
                </c:pt>
                <c:pt idx="1223">
                  <c:v>36.29</c:v>
                </c:pt>
                <c:pt idx="1224">
                  <c:v>36.65</c:v>
                </c:pt>
                <c:pt idx="1225">
                  <c:v>36.35</c:v>
                </c:pt>
                <c:pt idx="1226">
                  <c:v>37.24</c:v>
                </c:pt>
                <c:pt idx="1227">
                  <c:v>38.75</c:v>
                </c:pt>
                <c:pt idx="1228">
                  <c:v>38.840000000000003</c:v>
                </c:pt>
                <c:pt idx="1229">
                  <c:v>38.61</c:v>
                </c:pt>
                <c:pt idx="1230">
                  <c:v>38.479999999999997</c:v>
                </c:pt>
                <c:pt idx="1231">
                  <c:v>38.86</c:v>
                </c:pt>
                <c:pt idx="1232">
                  <c:v>38.29</c:v>
                </c:pt>
                <c:pt idx="1233">
                  <c:v>38.19</c:v>
                </c:pt>
                <c:pt idx="1234">
                  <c:v>38.42</c:v>
                </c:pt>
                <c:pt idx="1235">
                  <c:v>38.4</c:v>
                </c:pt>
                <c:pt idx="1236">
                  <c:v>38.47</c:v>
                </c:pt>
                <c:pt idx="1237">
                  <c:v>38.33</c:v>
                </c:pt>
                <c:pt idx="1238">
                  <c:v>38.450000000000003</c:v>
                </c:pt>
                <c:pt idx="1239">
                  <c:v>38.5</c:v>
                </c:pt>
                <c:pt idx="1240">
                  <c:v>38.26</c:v>
                </c:pt>
                <c:pt idx="1241">
                  <c:v>38.130000000000003</c:v>
                </c:pt>
                <c:pt idx="1242">
                  <c:v>37.56</c:v>
                </c:pt>
                <c:pt idx="1243">
                  <c:v>38.869999999999997</c:v>
                </c:pt>
                <c:pt idx="1244">
                  <c:v>38.92</c:v>
                </c:pt>
                <c:pt idx="1245">
                  <c:v>39.03</c:v>
                </c:pt>
                <c:pt idx="1246">
                  <c:v>38.49</c:v>
                </c:pt>
                <c:pt idx="1247">
                  <c:v>38.31</c:v>
                </c:pt>
                <c:pt idx="1248">
                  <c:v>38.5</c:v>
                </c:pt>
                <c:pt idx="1249">
                  <c:v>38.25</c:v>
                </c:pt>
                <c:pt idx="1250">
                  <c:v>37.24</c:v>
                </c:pt>
                <c:pt idx="1251">
                  <c:v>36.630000000000003</c:v>
                </c:pt>
                <c:pt idx="1252">
                  <c:v>36.76</c:v>
                </c:pt>
                <c:pt idx="1253">
                  <c:v>36.880000000000003</c:v>
                </c:pt>
                <c:pt idx="1254">
                  <c:v>36.65</c:v>
                </c:pt>
                <c:pt idx="1255">
                  <c:v>35.909999999999997</c:v>
                </c:pt>
                <c:pt idx="1256">
                  <c:v>35.950000000000003</c:v>
                </c:pt>
                <c:pt idx="1257">
                  <c:v>35.92</c:v>
                </c:pt>
                <c:pt idx="1258">
                  <c:v>36.130000000000003</c:v>
                </c:pt>
                <c:pt idx="1259">
                  <c:v>35.909999999999997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3-4E8C-B41A-D8CFD05D4817}"/>
            </c:ext>
          </c:extLst>
        </c:ser>
        <c:ser>
          <c:idx val="1"/>
          <c:order val="1"/>
          <c:tx>
            <c:strRef>
              <c:f>Historicos!$K$1</c:f>
              <c:strCache>
                <c:ptCount val="1"/>
                <c:pt idx="0">
                  <c:v>Bmk (Base 100)</c:v>
                </c:pt>
              </c:strCache>
            </c:strRef>
          </c:tx>
          <c:spPr>
            <a:ln>
              <a:solidFill>
                <a:srgbClr val="5F3F1F"/>
              </a:solidFill>
              <a:prstDash val="sysDash"/>
            </a:ln>
          </c:spPr>
          <c:marker>
            <c:symbol val="none"/>
          </c:marker>
          <c:val>
            <c:numRef>
              <c:f>Historicos!$K$2:$K$1261</c:f>
              <c:numCache>
                <c:formatCode>_(* #,##0.00_);_(* \(#,##0.00\);_(* "-"??_);_(@_)</c:formatCode>
                <c:ptCount val="1260"/>
                <c:pt idx="0">
                  <c:v>214.56678175479871</c:v>
                </c:pt>
                <c:pt idx="1">
                  <c:v>220.17122841261929</c:v>
                </c:pt>
                <c:pt idx="2">
                  <c:v>224.82410901397427</c:v>
                </c:pt>
                <c:pt idx="3">
                  <c:v>227.60811655430803</c:v>
                </c:pt>
                <c:pt idx="4">
                  <c:v>222.8068357671186</c:v>
                </c:pt>
                <c:pt idx="5">
                  <c:v>223.11967940212099</c:v>
                </c:pt>
                <c:pt idx="6">
                  <c:v>228.00802831635971</c:v>
                </c:pt>
                <c:pt idx="7">
                  <c:v>223.46210280389442</c:v>
                </c:pt>
                <c:pt idx="8">
                  <c:v>224.13708968518429</c:v>
                </c:pt>
                <c:pt idx="9">
                  <c:v>229.13456621355581</c:v>
                </c:pt>
                <c:pt idx="10">
                  <c:v>232.24796200420457</c:v>
                </c:pt>
                <c:pt idx="11">
                  <c:v>232.10624651142572</c:v>
                </c:pt>
                <c:pt idx="12">
                  <c:v>237.3762913991396</c:v>
                </c:pt>
                <c:pt idx="13">
                  <c:v>242.86409016313982</c:v>
                </c:pt>
                <c:pt idx="14">
                  <c:v>238.33437503133442</c:v>
                </c:pt>
                <c:pt idx="15">
                  <c:v>237.64952822778756</c:v>
                </c:pt>
                <c:pt idx="16">
                  <c:v>241.35535494048949</c:v>
                </c:pt>
                <c:pt idx="17">
                  <c:v>244.31951495867185</c:v>
                </c:pt>
                <c:pt idx="18">
                  <c:v>239.89525085981862</c:v>
                </c:pt>
                <c:pt idx="19">
                  <c:v>236.79355328201717</c:v>
                </c:pt>
                <c:pt idx="20">
                  <c:v>237.17023573570063</c:v>
                </c:pt>
                <c:pt idx="21">
                  <c:v>232.67076883997183</c:v>
                </c:pt>
                <c:pt idx="22">
                  <c:v>235.78282769200948</c:v>
                </c:pt>
                <c:pt idx="23">
                  <c:v>231.26464365572497</c:v>
                </c:pt>
                <c:pt idx="24">
                  <c:v>232.19013940927371</c:v>
                </c:pt>
                <c:pt idx="25">
                  <c:v>227.52656329902976</c:v>
                </c:pt>
                <c:pt idx="26">
                  <c:v>224.54803119077781</c:v>
                </c:pt>
                <c:pt idx="27">
                  <c:v>216.39387548422249</c:v>
                </c:pt>
                <c:pt idx="28">
                  <c:v>210.25398491264778</c:v>
                </c:pt>
                <c:pt idx="29">
                  <c:v>214.64231878632714</c:v>
                </c:pt>
                <c:pt idx="30">
                  <c:v>219.4243810809817</c:v>
                </c:pt>
                <c:pt idx="31">
                  <c:v>221.52320758311578</c:v>
                </c:pt>
                <c:pt idx="32">
                  <c:v>213.83581056916819</c:v>
                </c:pt>
                <c:pt idx="33">
                  <c:v>214.42757302191578</c:v>
                </c:pt>
                <c:pt idx="34">
                  <c:v>222.49064978558849</c:v>
                </c:pt>
                <c:pt idx="35">
                  <c:v>226.2424337630477</c:v>
                </c:pt>
                <c:pt idx="36">
                  <c:v>229.82008148640836</c:v>
                </c:pt>
                <c:pt idx="37">
                  <c:v>226.15085346818589</c:v>
                </c:pt>
                <c:pt idx="38">
                  <c:v>229.80972021217215</c:v>
                </c:pt>
                <c:pt idx="39">
                  <c:v>228.86082803292879</c:v>
                </c:pt>
                <c:pt idx="40">
                  <c:v>225.16703376772696</c:v>
                </c:pt>
                <c:pt idx="41">
                  <c:v>217.87904716385182</c:v>
                </c:pt>
                <c:pt idx="42">
                  <c:v>223.62838454365271</c:v>
                </c:pt>
                <c:pt idx="43">
                  <c:v>226.41172361468091</c:v>
                </c:pt>
                <c:pt idx="44">
                  <c:v>229.23015732425102</c:v>
                </c:pt>
                <c:pt idx="45">
                  <c:v>236.0380158494072</c:v>
                </c:pt>
                <c:pt idx="46">
                  <c:v>236.29988869986059</c:v>
                </c:pt>
                <c:pt idx="47">
                  <c:v>230.47016788606606</c:v>
                </c:pt>
                <c:pt idx="48">
                  <c:v>230.47401158457302</c:v>
                </c:pt>
                <c:pt idx="49">
                  <c:v>237.06662299333865</c:v>
                </c:pt>
                <c:pt idx="50">
                  <c:v>242.15918928042618</c:v>
                </c:pt>
                <c:pt idx="51">
                  <c:v>237.21385335788838</c:v>
                </c:pt>
                <c:pt idx="52">
                  <c:v>234.226129796685</c:v>
                </c:pt>
                <c:pt idx="53">
                  <c:v>235.60217386218162</c:v>
                </c:pt>
                <c:pt idx="54">
                  <c:v>231.93912918503557</c:v>
                </c:pt>
                <c:pt idx="55">
                  <c:v>240.94224090965295</c:v>
                </c:pt>
                <c:pt idx="56">
                  <c:v>239.74651643933134</c:v>
                </c:pt>
                <c:pt idx="57">
                  <c:v>237.97306737167889</c:v>
                </c:pt>
                <c:pt idx="58">
                  <c:v>230.13008412686202</c:v>
                </c:pt>
                <c:pt idx="59">
                  <c:v>223.14808934760734</c:v>
                </c:pt>
                <c:pt idx="60">
                  <c:v>226.31228880547872</c:v>
                </c:pt>
                <c:pt idx="61">
                  <c:v>226.26499460211031</c:v>
                </c:pt>
                <c:pt idx="62">
                  <c:v>231.54322823881725</c:v>
                </c:pt>
                <c:pt idx="63">
                  <c:v>230.10250976800765</c:v>
                </c:pt>
                <c:pt idx="64">
                  <c:v>236.53819800729292</c:v>
                </c:pt>
                <c:pt idx="65">
                  <c:v>239.65059109398337</c:v>
                </c:pt>
                <c:pt idx="66">
                  <c:v>242.43543422094905</c:v>
                </c:pt>
                <c:pt idx="67">
                  <c:v>248.90036799235259</c:v>
                </c:pt>
                <c:pt idx="68">
                  <c:v>247.44744995671647</c:v>
                </c:pt>
                <c:pt idx="69">
                  <c:v>253.82431289711238</c:v>
                </c:pt>
                <c:pt idx="70">
                  <c:v>253.24040495870514</c:v>
                </c:pt>
                <c:pt idx="71">
                  <c:v>249.72057983027548</c:v>
                </c:pt>
                <c:pt idx="72">
                  <c:v>249.60476752308708</c:v>
                </c:pt>
                <c:pt idx="73">
                  <c:v>252.02730028643893</c:v>
                </c:pt>
                <c:pt idx="74">
                  <c:v>252.35000384369835</c:v>
                </c:pt>
                <c:pt idx="75">
                  <c:v>261.08271973421643</c:v>
                </c:pt>
                <c:pt idx="76">
                  <c:v>264.59352052702098</c:v>
                </c:pt>
                <c:pt idx="77">
                  <c:v>261.45455578543448</c:v>
                </c:pt>
                <c:pt idx="78">
                  <c:v>263.06874204103707</c:v>
                </c:pt>
                <c:pt idx="79">
                  <c:v>263.48085336791524</c:v>
                </c:pt>
                <c:pt idx="80">
                  <c:v>263.73988522382001</c:v>
                </c:pt>
                <c:pt idx="81">
                  <c:v>265.23625376431755</c:v>
                </c:pt>
                <c:pt idx="82">
                  <c:v>261.59493433960222</c:v>
                </c:pt>
                <c:pt idx="83">
                  <c:v>259.39767573222434</c:v>
                </c:pt>
                <c:pt idx="84">
                  <c:v>256.37619447109017</c:v>
                </c:pt>
                <c:pt idx="85">
                  <c:v>250.3574639611484</c:v>
                </c:pt>
                <c:pt idx="86">
                  <c:v>253.5116363794364</c:v>
                </c:pt>
                <c:pt idx="87">
                  <c:v>253.69128750530584</c:v>
                </c:pt>
                <c:pt idx="88">
                  <c:v>260.12781133122303</c:v>
                </c:pt>
                <c:pt idx="89">
                  <c:v>254.64736572958392</c:v>
                </c:pt>
                <c:pt idx="90">
                  <c:v>257.58261445030081</c:v>
                </c:pt>
                <c:pt idx="91">
                  <c:v>261.21440818741189</c:v>
                </c:pt>
                <c:pt idx="92">
                  <c:v>259.32213870069603</c:v>
                </c:pt>
                <c:pt idx="93">
                  <c:v>263.82795605482767</c:v>
                </c:pt>
                <c:pt idx="94">
                  <c:v>262.15561296964125</c:v>
                </c:pt>
                <c:pt idx="95">
                  <c:v>254.43863618892257</c:v>
                </c:pt>
                <c:pt idx="96">
                  <c:v>252.1043413739047</c:v>
                </c:pt>
                <c:pt idx="97">
                  <c:v>257.04850747515775</c:v>
                </c:pt>
                <c:pt idx="98">
                  <c:v>254.9216052621901</c:v>
                </c:pt>
                <c:pt idx="99">
                  <c:v>259.66172110792076</c:v>
                </c:pt>
                <c:pt idx="100">
                  <c:v>263.75843524704925</c:v>
                </c:pt>
                <c:pt idx="101">
                  <c:v>258.89248005454681</c:v>
                </c:pt>
                <c:pt idx="102">
                  <c:v>264.80124736372386</c:v>
                </c:pt>
                <c:pt idx="103">
                  <c:v>263.62992202305514</c:v>
                </c:pt>
                <c:pt idx="104">
                  <c:v>264.96051017577366</c:v>
                </c:pt>
                <c:pt idx="105">
                  <c:v>268.34764414704955</c:v>
                </c:pt>
                <c:pt idx="106">
                  <c:v>267.28260542596502</c:v>
                </c:pt>
                <c:pt idx="107">
                  <c:v>266.07702103338636</c:v>
                </c:pt>
                <c:pt idx="108">
                  <c:v>266.95087753308053</c:v>
                </c:pt>
                <c:pt idx="109">
                  <c:v>264.94530249907217</c:v>
                </c:pt>
                <c:pt idx="110">
                  <c:v>265.06412291813558</c:v>
                </c:pt>
                <c:pt idx="111">
                  <c:v>262.44572864825449</c:v>
                </c:pt>
                <c:pt idx="112">
                  <c:v>261.08255261688987</c:v>
                </c:pt>
                <c:pt idx="113">
                  <c:v>265.49160903904163</c:v>
                </c:pt>
                <c:pt idx="114">
                  <c:v>267.09292726051217</c:v>
                </c:pt>
                <c:pt idx="115">
                  <c:v>266.91294189998996</c:v>
                </c:pt>
                <c:pt idx="116">
                  <c:v>266.39019890304155</c:v>
                </c:pt>
                <c:pt idx="117">
                  <c:v>264.23889756042098</c:v>
                </c:pt>
                <c:pt idx="118">
                  <c:v>261.53193110755308</c:v>
                </c:pt>
                <c:pt idx="119">
                  <c:v>260.63484529949068</c:v>
                </c:pt>
                <c:pt idx="120">
                  <c:v>259.00495001520738</c:v>
                </c:pt>
                <c:pt idx="121">
                  <c:v>258.164851215444</c:v>
                </c:pt>
                <c:pt idx="122">
                  <c:v>254.61728461083356</c:v>
                </c:pt>
                <c:pt idx="123">
                  <c:v>254.61511208559048</c:v>
                </c:pt>
                <c:pt idx="124">
                  <c:v>254.46470649183934</c:v>
                </c:pt>
                <c:pt idx="125">
                  <c:v>252.18338786928723</c:v>
                </c:pt>
                <c:pt idx="126">
                  <c:v>254.28071031548382</c:v>
                </c:pt>
                <c:pt idx="127">
                  <c:v>252.70947321276347</c:v>
                </c:pt>
                <c:pt idx="128">
                  <c:v>252.83330715161858</c:v>
                </c:pt>
                <c:pt idx="129">
                  <c:v>251.04047247410486</c:v>
                </c:pt>
                <c:pt idx="130">
                  <c:v>248.96036311252647</c:v>
                </c:pt>
                <c:pt idx="131">
                  <c:v>247.72519895317677</c:v>
                </c:pt>
                <c:pt idx="132">
                  <c:v>243.51735179199878</c:v>
                </c:pt>
                <c:pt idx="133">
                  <c:v>241.75058741740196</c:v>
                </c:pt>
                <c:pt idx="134">
                  <c:v>242.08950135532123</c:v>
                </c:pt>
                <c:pt idx="135">
                  <c:v>243.64937447984704</c:v>
                </c:pt>
                <c:pt idx="136">
                  <c:v>244.89406432680099</c:v>
                </c:pt>
                <c:pt idx="137">
                  <c:v>242.35204267508016</c:v>
                </c:pt>
                <c:pt idx="138">
                  <c:v>241.21430791701593</c:v>
                </c:pt>
                <c:pt idx="139">
                  <c:v>238.23377040084733</c:v>
                </c:pt>
                <c:pt idx="140">
                  <c:v>243.43479583276206</c:v>
                </c:pt>
                <c:pt idx="141">
                  <c:v>241.46080597344144</c:v>
                </c:pt>
                <c:pt idx="142">
                  <c:v>242.52801721976905</c:v>
                </c:pt>
                <c:pt idx="143">
                  <c:v>243.10022694532898</c:v>
                </c:pt>
                <c:pt idx="144">
                  <c:v>250.1741362540983</c:v>
                </c:pt>
                <c:pt idx="145">
                  <c:v>251.47313923212906</c:v>
                </c:pt>
                <c:pt idx="146">
                  <c:v>251.5490104983102</c:v>
                </c:pt>
                <c:pt idx="147">
                  <c:v>248.9521743635334</c:v>
                </c:pt>
                <c:pt idx="148">
                  <c:v>246.43789418799335</c:v>
                </c:pt>
                <c:pt idx="149">
                  <c:v>245.89476287722533</c:v>
                </c:pt>
                <c:pt idx="150">
                  <c:v>251.41080446938551</c:v>
                </c:pt>
                <c:pt idx="151">
                  <c:v>253.71618798693785</c:v>
                </c:pt>
                <c:pt idx="152">
                  <c:v>253.37543575842832</c:v>
                </c:pt>
                <c:pt idx="153">
                  <c:v>251.30702460969724</c:v>
                </c:pt>
                <c:pt idx="154">
                  <c:v>252.44041431727533</c:v>
                </c:pt>
                <c:pt idx="155">
                  <c:v>252.60602758772799</c:v>
                </c:pt>
                <c:pt idx="156">
                  <c:v>254.82467721288384</c:v>
                </c:pt>
                <c:pt idx="157">
                  <c:v>255.46624062889569</c:v>
                </c:pt>
                <c:pt idx="158">
                  <c:v>256.93169246401106</c:v>
                </c:pt>
                <c:pt idx="159">
                  <c:v>256.75103863418332</c:v>
                </c:pt>
                <c:pt idx="160">
                  <c:v>256.21058120063753</c:v>
                </c:pt>
                <c:pt idx="161">
                  <c:v>255.84626542910695</c:v>
                </c:pt>
                <c:pt idx="162">
                  <c:v>255.00833915458668</c:v>
                </c:pt>
                <c:pt idx="163">
                  <c:v>255.11947217663612</c:v>
                </c:pt>
                <c:pt idx="164">
                  <c:v>252.84015896200066</c:v>
                </c:pt>
                <c:pt idx="165">
                  <c:v>249.77038079353969</c:v>
                </c:pt>
                <c:pt idx="166">
                  <c:v>251.37554271351723</c:v>
                </c:pt>
                <c:pt idx="167">
                  <c:v>251.00688189150051</c:v>
                </c:pt>
                <c:pt idx="168">
                  <c:v>249.71757171840039</c:v>
                </c:pt>
                <c:pt idx="169">
                  <c:v>245.907463794031</c:v>
                </c:pt>
                <c:pt idx="170">
                  <c:v>243.01850657272422</c:v>
                </c:pt>
                <c:pt idx="171">
                  <c:v>242.75312425841665</c:v>
                </c:pt>
                <c:pt idx="172">
                  <c:v>244.93016166930136</c:v>
                </c:pt>
                <c:pt idx="173">
                  <c:v>247.22936184577725</c:v>
                </c:pt>
                <c:pt idx="174">
                  <c:v>247.7163417348782</c:v>
                </c:pt>
                <c:pt idx="175">
                  <c:v>247.60537583015514</c:v>
                </c:pt>
                <c:pt idx="176">
                  <c:v>246.75107205764863</c:v>
                </c:pt>
                <c:pt idx="177">
                  <c:v>247.13460632171405</c:v>
                </c:pt>
                <c:pt idx="178">
                  <c:v>248.33935512766075</c:v>
                </c:pt>
                <c:pt idx="179">
                  <c:v>247.931254616616</c:v>
                </c:pt>
                <c:pt idx="180">
                  <c:v>248.92326306606802</c:v>
                </c:pt>
                <c:pt idx="181">
                  <c:v>247.00826562296308</c:v>
                </c:pt>
                <c:pt idx="182">
                  <c:v>246.68673188698841</c:v>
                </c:pt>
                <c:pt idx="183">
                  <c:v>245.34611669468646</c:v>
                </c:pt>
                <c:pt idx="184">
                  <c:v>245.2059052578451</c:v>
                </c:pt>
                <c:pt idx="185">
                  <c:v>246.97032998987245</c:v>
                </c:pt>
                <c:pt idx="186">
                  <c:v>246.70829002209268</c:v>
                </c:pt>
                <c:pt idx="187">
                  <c:v>245.00369329291297</c:v>
                </c:pt>
                <c:pt idx="188">
                  <c:v>248.01397769317902</c:v>
                </c:pt>
                <c:pt idx="189">
                  <c:v>247.95181004776191</c:v>
                </c:pt>
                <c:pt idx="190">
                  <c:v>245.4051091109022</c:v>
                </c:pt>
                <c:pt idx="191">
                  <c:v>244.52523638745799</c:v>
                </c:pt>
                <c:pt idx="192">
                  <c:v>242.30140612518406</c:v>
                </c:pt>
                <c:pt idx="193">
                  <c:v>238.55964918730828</c:v>
                </c:pt>
                <c:pt idx="194">
                  <c:v>241.10417759892493</c:v>
                </c:pt>
                <c:pt idx="195">
                  <c:v>243.04090029446056</c:v>
                </c:pt>
                <c:pt idx="196">
                  <c:v>244.74248891176524</c:v>
                </c:pt>
                <c:pt idx="197">
                  <c:v>245.28896256906106</c:v>
                </c:pt>
                <c:pt idx="198">
                  <c:v>246.21796778646399</c:v>
                </c:pt>
                <c:pt idx="199">
                  <c:v>245.69455632021001</c:v>
                </c:pt>
                <c:pt idx="200">
                  <c:v>243.31915064290024</c:v>
                </c:pt>
                <c:pt idx="201">
                  <c:v>245.07856185513589</c:v>
                </c:pt>
                <c:pt idx="202">
                  <c:v>245.05483119478848</c:v>
                </c:pt>
                <c:pt idx="203">
                  <c:v>244.64856897433401</c:v>
                </c:pt>
                <c:pt idx="204">
                  <c:v>242.69413184220105</c:v>
                </c:pt>
                <c:pt idx="205">
                  <c:v>242.38613460966403</c:v>
                </c:pt>
                <c:pt idx="206">
                  <c:v>242.79356665140324</c:v>
                </c:pt>
                <c:pt idx="207">
                  <c:v>242.3286462493858</c:v>
                </c:pt>
                <c:pt idx="208">
                  <c:v>239.98699827200682</c:v>
                </c:pt>
                <c:pt idx="209">
                  <c:v>240.14275162020246</c:v>
                </c:pt>
                <c:pt idx="210">
                  <c:v>238.50533605623161</c:v>
                </c:pt>
                <c:pt idx="211">
                  <c:v>238.19683747171538</c:v>
                </c:pt>
                <c:pt idx="212">
                  <c:v>236.3286328799997</c:v>
                </c:pt>
                <c:pt idx="213">
                  <c:v>234.47195938380497</c:v>
                </c:pt>
                <c:pt idx="214">
                  <c:v>236.66069500753699</c:v>
                </c:pt>
                <c:pt idx="215">
                  <c:v>234.62737849734785</c:v>
                </c:pt>
                <c:pt idx="216">
                  <c:v>235.18187378631043</c:v>
                </c:pt>
                <c:pt idx="217">
                  <c:v>236.87443806799001</c:v>
                </c:pt>
                <c:pt idx="218">
                  <c:v>235.12438542603223</c:v>
                </c:pt>
                <c:pt idx="219">
                  <c:v>234.30400647078289</c:v>
                </c:pt>
                <c:pt idx="220">
                  <c:v>232.48944654083846</c:v>
                </c:pt>
                <c:pt idx="221">
                  <c:v>232.70937294236791</c:v>
                </c:pt>
                <c:pt idx="222">
                  <c:v>231.98759320968878</c:v>
                </c:pt>
                <c:pt idx="223">
                  <c:v>230.86406342436769</c:v>
                </c:pt>
                <c:pt idx="224">
                  <c:v>227.52205113121715</c:v>
                </c:pt>
                <c:pt idx="225">
                  <c:v>229.89210905408248</c:v>
                </c:pt>
                <c:pt idx="226">
                  <c:v>229.56038116119797</c:v>
                </c:pt>
                <c:pt idx="227">
                  <c:v>229.76526700335231</c:v>
                </c:pt>
                <c:pt idx="228">
                  <c:v>229.55703881467016</c:v>
                </c:pt>
                <c:pt idx="229">
                  <c:v>229.58578299480925</c:v>
                </c:pt>
                <c:pt idx="230">
                  <c:v>228.23497364559756</c:v>
                </c:pt>
                <c:pt idx="231">
                  <c:v>228.30182057615363</c:v>
                </c:pt>
                <c:pt idx="232">
                  <c:v>225.12358326286548</c:v>
                </c:pt>
                <c:pt idx="233">
                  <c:v>226.20566795124179</c:v>
                </c:pt>
                <c:pt idx="234">
                  <c:v>222.26169904843385</c:v>
                </c:pt>
                <c:pt idx="235">
                  <c:v>222.32687480572602</c:v>
                </c:pt>
                <c:pt idx="236">
                  <c:v>223.58710656403426</c:v>
                </c:pt>
                <c:pt idx="237">
                  <c:v>224.43823510733938</c:v>
                </c:pt>
                <c:pt idx="238">
                  <c:v>219.34132376976572</c:v>
                </c:pt>
                <c:pt idx="239">
                  <c:v>217.7819519972191</c:v>
                </c:pt>
                <c:pt idx="240">
                  <c:v>223.76057434882728</c:v>
                </c:pt>
                <c:pt idx="241">
                  <c:v>223.96830118553027</c:v>
                </c:pt>
                <c:pt idx="242">
                  <c:v>229.82375806758887</c:v>
                </c:pt>
                <c:pt idx="243">
                  <c:v>227.8283771904903</c:v>
                </c:pt>
                <c:pt idx="244">
                  <c:v>226.9857716308311</c:v>
                </c:pt>
                <c:pt idx="245">
                  <c:v>227.83940693403207</c:v>
                </c:pt>
                <c:pt idx="246">
                  <c:v>232.2115304270516</c:v>
                </c:pt>
                <c:pt idx="247">
                  <c:v>233.34057508414355</c:v>
                </c:pt>
                <c:pt idx="248">
                  <c:v>235.34381047558244</c:v>
                </c:pt>
                <c:pt idx="249">
                  <c:v>234.81705666280064</c:v>
                </c:pt>
                <c:pt idx="250">
                  <c:v>235.47198946492369</c:v>
                </c:pt>
                <c:pt idx="251">
                  <c:v>236.28351120187438</c:v>
                </c:pt>
                <c:pt idx="252">
                  <c:v>234.24518117189351</c:v>
                </c:pt>
                <c:pt idx="253">
                  <c:v>230.92957341631265</c:v>
                </c:pt>
                <c:pt idx="254">
                  <c:v>233.13234689546141</c:v>
                </c:pt>
                <c:pt idx="255">
                  <c:v>230.3924583292947</c:v>
                </c:pt>
                <c:pt idx="256">
                  <c:v>232.53991597340831</c:v>
                </c:pt>
                <c:pt idx="257">
                  <c:v>234.83894903255782</c:v>
                </c:pt>
                <c:pt idx="258">
                  <c:v>234.61200370331997</c:v>
                </c:pt>
                <c:pt idx="259">
                  <c:v>231.58851703426907</c:v>
                </c:pt>
                <c:pt idx="260">
                  <c:v>233.8990811889395</c:v>
                </c:pt>
                <c:pt idx="261">
                  <c:v>231.45749705037917</c:v>
                </c:pt>
                <c:pt idx="262">
                  <c:v>232.29625891153142</c:v>
                </c:pt>
                <c:pt idx="263">
                  <c:v>231.11173130207794</c:v>
                </c:pt>
                <c:pt idx="264">
                  <c:v>228.76423421827528</c:v>
                </c:pt>
                <c:pt idx="265">
                  <c:v>228.92366414765149</c:v>
                </c:pt>
                <c:pt idx="266">
                  <c:v>229.04415573997881</c:v>
                </c:pt>
                <c:pt idx="267">
                  <c:v>225.27599426453335</c:v>
                </c:pt>
                <c:pt idx="268">
                  <c:v>221.3781497438091</c:v>
                </c:pt>
                <c:pt idx="269">
                  <c:v>218.0110698517</c:v>
                </c:pt>
                <c:pt idx="270">
                  <c:v>218.24937915913239</c:v>
                </c:pt>
                <c:pt idx="271">
                  <c:v>219.57094297622581</c:v>
                </c:pt>
                <c:pt idx="272">
                  <c:v>216.87951843471222</c:v>
                </c:pt>
                <c:pt idx="273">
                  <c:v>216.61564017634214</c:v>
                </c:pt>
                <c:pt idx="274">
                  <c:v>221.05778582911913</c:v>
                </c:pt>
                <c:pt idx="275">
                  <c:v>223.56187184774936</c:v>
                </c:pt>
                <c:pt idx="276">
                  <c:v>220.84955764043696</c:v>
                </c:pt>
                <c:pt idx="277">
                  <c:v>219.19392628788958</c:v>
                </c:pt>
                <c:pt idx="278">
                  <c:v>226.02952628922651</c:v>
                </c:pt>
                <c:pt idx="279">
                  <c:v>225.13327606779606</c:v>
                </c:pt>
                <c:pt idx="280">
                  <c:v>224.9350749186973</c:v>
                </c:pt>
                <c:pt idx="281">
                  <c:v>222.59793910913086</c:v>
                </c:pt>
                <c:pt idx="282">
                  <c:v>223.91499075841176</c:v>
                </c:pt>
                <c:pt idx="283">
                  <c:v>218.40279286475851</c:v>
                </c:pt>
                <c:pt idx="284">
                  <c:v>218.4861844106272</c:v>
                </c:pt>
                <c:pt idx="285">
                  <c:v>210.72091072258178</c:v>
                </c:pt>
                <c:pt idx="286">
                  <c:v>215.91809245598952</c:v>
                </c:pt>
                <c:pt idx="287">
                  <c:v>212.63122888054775</c:v>
                </c:pt>
                <c:pt idx="288">
                  <c:v>217.21492290877723</c:v>
                </c:pt>
                <c:pt idx="289">
                  <c:v>223.24852686076775</c:v>
                </c:pt>
                <c:pt idx="290">
                  <c:v>227.09289383704711</c:v>
                </c:pt>
                <c:pt idx="291">
                  <c:v>220.46702608032982</c:v>
                </c:pt>
                <c:pt idx="292">
                  <c:v>219.24840653629275</c:v>
                </c:pt>
                <c:pt idx="293">
                  <c:v>227.2456390733677</c:v>
                </c:pt>
                <c:pt idx="294">
                  <c:v>225.02682233088549</c:v>
                </c:pt>
                <c:pt idx="295">
                  <c:v>226.16071339044274</c:v>
                </c:pt>
                <c:pt idx="296">
                  <c:v>231.86626603072938</c:v>
                </c:pt>
                <c:pt idx="297">
                  <c:v>231.71418926371439</c:v>
                </c:pt>
                <c:pt idx="298">
                  <c:v>233.38753505285908</c:v>
                </c:pt>
                <c:pt idx="299">
                  <c:v>234.75806424658484</c:v>
                </c:pt>
                <c:pt idx="300">
                  <c:v>235.55972606127844</c:v>
                </c:pt>
                <c:pt idx="301">
                  <c:v>234.39491829633897</c:v>
                </c:pt>
                <c:pt idx="302">
                  <c:v>233.50518565063774</c:v>
                </c:pt>
                <c:pt idx="303">
                  <c:v>234.09293728755193</c:v>
                </c:pt>
                <c:pt idx="304">
                  <c:v>233.75769993081323</c:v>
                </c:pt>
                <c:pt idx="305">
                  <c:v>231.56278096600482</c:v>
                </c:pt>
                <c:pt idx="306">
                  <c:v>230.24990724988371</c:v>
                </c:pt>
                <c:pt idx="307">
                  <c:v>227.45570555264015</c:v>
                </c:pt>
                <c:pt idx="308">
                  <c:v>227.49313983375157</c:v>
                </c:pt>
                <c:pt idx="309">
                  <c:v>223.99387013646788</c:v>
                </c:pt>
                <c:pt idx="310">
                  <c:v>218.43387668746709</c:v>
                </c:pt>
                <c:pt idx="311">
                  <c:v>222.88705208378582</c:v>
                </c:pt>
                <c:pt idx="312">
                  <c:v>221.77471915933288</c:v>
                </c:pt>
                <c:pt idx="313">
                  <c:v>227.71507164319766</c:v>
                </c:pt>
                <c:pt idx="314">
                  <c:v>227.8810191483031</c:v>
                </c:pt>
                <c:pt idx="315">
                  <c:v>226.32799783415928</c:v>
                </c:pt>
                <c:pt idx="316">
                  <c:v>226.12495028259522</c:v>
                </c:pt>
                <c:pt idx="317">
                  <c:v>224.89396405640528</c:v>
                </c:pt>
                <c:pt idx="318">
                  <c:v>220.54774374897627</c:v>
                </c:pt>
                <c:pt idx="319">
                  <c:v>217.22745670825648</c:v>
                </c:pt>
                <c:pt idx="320">
                  <c:v>219.13493387167384</c:v>
                </c:pt>
                <c:pt idx="321">
                  <c:v>219.40750223101622</c:v>
                </c:pt>
                <c:pt idx="322">
                  <c:v>218.462955102259</c:v>
                </c:pt>
                <c:pt idx="323">
                  <c:v>217.86133272725442</c:v>
                </c:pt>
                <c:pt idx="324">
                  <c:v>220.62796006564358</c:v>
                </c:pt>
                <c:pt idx="325">
                  <c:v>218.38023202569585</c:v>
                </c:pt>
                <c:pt idx="326">
                  <c:v>212.92067608985553</c:v>
                </c:pt>
                <c:pt idx="327">
                  <c:v>214.22703223024743</c:v>
                </c:pt>
                <c:pt idx="328">
                  <c:v>212.21310132991957</c:v>
                </c:pt>
                <c:pt idx="329">
                  <c:v>215.38548953678406</c:v>
                </c:pt>
                <c:pt idx="330">
                  <c:v>215.07999906414281</c:v>
                </c:pt>
                <c:pt idx="331">
                  <c:v>214.74944099254304</c:v>
                </c:pt>
                <c:pt idx="332">
                  <c:v>215.57165823838267</c:v>
                </c:pt>
                <c:pt idx="333">
                  <c:v>213.9892242747942</c:v>
                </c:pt>
                <c:pt idx="334">
                  <c:v>213.4273758234705</c:v>
                </c:pt>
                <c:pt idx="335">
                  <c:v>214.0425347019127</c:v>
                </c:pt>
                <c:pt idx="336">
                  <c:v>212.94958738732103</c:v>
                </c:pt>
                <c:pt idx="337">
                  <c:v>213.16884531954491</c:v>
                </c:pt>
                <c:pt idx="338">
                  <c:v>213.32108920388637</c:v>
                </c:pt>
                <c:pt idx="339">
                  <c:v>211.54028697387278</c:v>
                </c:pt>
                <c:pt idx="340">
                  <c:v>210.48527529237165</c:v>
                </c:pt>
                <c:pt idx="341">
                  <c:v>207.89462249867131</c:v>
                </c:pt>
                <c:pt idx="342">
                  <c:v>206.85565408050368</c:v>
                </c:pt>
                <c:pt idx="343">
                  <c:v>207.32257989043779</c:v>
                </c:pt>
                <c:pt idx="344">
                  <c:v>206.20523344619318</c:v>
                </c:pt>
                <c:pt idx="345">
                  <c:v>210.27988809823819</c:v>
                </c:pt>
                <c:pt idx="346">
                  <c:v>209.23005705385518</c:v>
                </c:pt>
                <c:pt idx="347">
                  <c:v>208.29887931120916</c:v>
                </c:pt>
                <c:pt idx="348">
                  <c:v>206.84412298498279</c:v>
                </c:pt>
                <c:pt idx="349">
                  <c:v>206.37936970029176</c:v>
                </c:pt>
                <c:pt idx="350">
                  <c:v>206.47529504563971</c:v>
                </c:pt>
                <c:pt idx="351">
                  <c:v>203.86208141287668</c:v>
                </c:pt>
                <c:pt idx="352">
                  <c:v>203.98090183194009</c:v>
                </c:pt>
                <c:pt idx="353">
                  <c:v>202.1183792293217</c:v>
                </c:pt>
                <c:pt idx="354">
                  <c:v>201.15561631198801</c:v>
                </c:pt>
                <c:pt idx="355">
                  <c:v>198.54591214307916</c:v>
                </c:pt>
                <c:pt idx="356">
                  <c:v>198.11708908356198</c:v>
                </c:pt>
                <c:pt idx="357">
                  <c:v>198.94833066502665</c:v>
                </c:pt>
                <c:pt idx="358">
                  <c:v>197.22518391261767</c:v>
                </c:pt>
                <c:pt idx="359">
                  <c:v>198.85858866075512</c:v>
                </c:pt>
                <c:pt idx="360">
                  <c:v>199.27287251287632</c:v>
                </c:pt>
                <c:pt idx="361">
                  <c:v>197.68793178939202</c:v>
                </c:pt>
                <c:pt idx="362">
                  <c:v>195.68753739250172</c:v>
                </c:pt>
                <c:pt idx="363">
                  <c:v>196.97166692848376</c:v>
                </c:pt>
                <c:pt idx="364">
                  <c:v>193.08501926862769</c:v>
                </c:pt>
                <c:pt idx="365">
                  <c:v>195.75755955225921</c:v>
                </c:pt>
                <c:pt idx="366">
                  <c:v>198.78990343960874</c:v>
                </c:pt>
                <c:pt idx="367">
                  <c:v>198.71804298926099</c:v>
                </c:pt>
                <c:pt idx="368">
                  <c:v>193.70201643766018</c:v>
                </c:pt>
                <c:pt idx="369">
                  <c:v>186.51246193902884</c:v>
                </c:pt>
                <c:pt idx="370">
                  <c:v>183.12064868261405</c:v>
                </c:pt>
                <c:pt idx="371">
                  <c:v>182.35157474656651</c:v>
                </c:pt>
                <c:pt idx="372">
                  <c:v>186.93058948965705</c:v>
                </c:pt>
                <c:pt idx="373">
                  <c:v>183.91044516713399</c:v>
                </c:pt>
                <c:pt idx="374">
                  <c:v>191.03766490302175</c:v>
                </c:pt>
                <c:pt idx="375">
                  <c:v>189.82756834263057</c:v>
                </c:pt>
                <c:pt idx="376">
                  <c:v>192.99176780050198</c:v>
                </c:pt>
                <c:pt idx="377">
                  <c:v>192.28536286185076</c:v>
                </c:pt>
                <c:pt idx="378">
                  <c:v>191.92906872198691</c:v>
                </c:pt>
                <c:pt idx="379">
                  <c:v>192.46050181990762</c:v>
                </c:pt>
                <c:pt idx="380">
                  <c:v>191.83197355535418</c:v>
                </c:pt>
                <c:pt idx="381">
                  <c:v>195.05199020023991</c:v>
                </c:pt>
                <c:pt idx="382">
                  <c:v>195.75906360819673</c:v>
                </c:pt>
                <c:pt idx="383">
                  <c:v>196.67586926077317</c:v>
                </c:pt>
                <c:pt idx="384">
                  <c:v>198.26632485602838</c:v>
                </c:pt>
                <c:pt idx="385">
                  <c:v>198.47288187144665</c:v>
                </c:pt>
                <c:pt idx="386">
                  <c:v>193.52086125585325</c:v>
                </c:pt>
                <c:pt idx="387">
                  <c:v>190.86436423555517</c:v>
                </c:pt>
                <c:pt idx="388">
                  <c:v>189.92215674936742</c:v>
                </c:pt>
                <c:pt idx="389">
                  <c:v>186.41269289517393</c:v>
                </c:pt>
                <c:pt idx="390">
                  <c:v>189.38554301432859</c:v>
                </c:pt>
                <c:pt idx="391">
                  <c:v>185.08277321176104</c:v>
                </c:pt>
                <c:pt idx="392">
                  <c:v>189.2856068531473</c:v>
                </c:pt>
                <c:pt idx="393">
                  <c:v>186.62844136354369</c:v>
                </c:pt>
                <c:pt idx="394">
                  <c:v>185.25373423665818</c:v>
                </c:pt>
                <c:pt idx="395">
                  <c:v>185.79318896624565</c:v>
                </c:pt>
                <c:pt idx="396">
                  <c:v>182.38449685986544</c:v>
                </c:pt>
                <c:pt idx="397">
                  <c:v>178.35212289139713</c:v>
                </c:pt>
                <c:pt idx="398">
                  <c:v>177.69568603333653</c:v>
                </c:pt>
                <c:pt idx="399">
                  <c:v>183.22142043042734</c:v>
                </c:pt>
                <c:pt idx="400">
                  <c:v>180.13242376943151</c:v>
                </c:pt>
                <c:pt idx="401">
                  <c:v>180.3744096580445</c:v>
                </c:pt>
                <c:pt idx="402">
                  <c:v>182.32968237680944</c:v>
                </c:pt>
                <c:pt idx="403">
                  <c:v>184.67250017547315</c:v>
                </c:pt>
                <c:pt idx="404">
                  <c:v>187.00963598503961</c:v>
                </c:pt>
                <c:pt idx="405">
                  <c:v>184.77577868318224</c:v>
                </c:pt>
                <c:pt idx="406">
                  <c:v>181.38162578419798</c:v>
                </c:pt>
                <c:pt idx="407">
                  <c:v>182.48526860767865</c:v>
                </c:pt>
                <c:pt idx="408">
                  <c:v>186.19477190156113</c:v>
                </c:pt>
                <c:pt idx="409">
                  <c:v>181.28369503093336</c:v>
                </c:pt>
                <c:pt idx="410">
                  <c:v>189.0620038704372</c:v>
                </c:pt>
                <c:pt idx="411">
                  <c:v>191.48470375111543</c:v>
                </c:pt>
                <c:pt idx="412">
                  <c:v>201.48400185834458</c:v>
                </c:pt>
                <c:pt idx="413">
                  <c:v>199.53257283808662</c:v>
                </c:pt>
                <c:pt idx="414">
                  <c:v>196.78833922143372</c:v>
                </c:pt>
                <c:pt idx="415">
                  <c:v>195.45424160486104</c:v>
                </c:pt>
                <c:pt idx="416">
                  <c:v>194.27957391766458</c:v>
                </c:pt>
                <c:pt idx="417">
                  <c:v>194.94336393808632</c:v>
                </c:pt>
                <c:pt idx="418">
                  <c:v>191.62458095330405</c:v>
                </c:pt>
                <c:pt idx="419">
                  <c:v>190.17483814686938</c:v>
                </c:pt>
                <c:pt idx="420">
                  <c:v>189.03977726602736</c:v>
                </c:pt>
                <c:pt idx="421">
                  <c:v>188.25683259188946</c:v>
                </c:pt>
                <c:pt idx="422">
                  <c:v>186.27665939149236</c:v>
                </c:pt>
                <c:pt idx="423">
                  <c:v>187.35256073879225</c:v>
                </c:pt>
                <c:pt idx="424">
                  <c:v>185.9970721044416</c:v>
                </c:pt>
                <c:pt idx="425">
                  <c:v>184.15159546911499</c:v>
                </c:pt>
                <c:pt idx="426">
                  <c:v>184.53930766634019</c:v>
                </c:pt>
                <c:pt idx="427">
                  <c:v>184.03361063668353</c:v>
                </c:pt>
                <c:pt idx="428">
                  <c:v>180.19960493464035</c:v>
                </c:pt>
                <c:pt idx="429">
                  <c:v>183.30029980848349</c:v>
                </c:pt>
                <c:pt idx="430">
                  <c:v>184.01255385355836</c:v>
                </c:pt>
                <c:pt idx="431">
                  <c:v>185.63509597548048</c:v>
                </c:pt>
                <c:pt idx="432">
                  <c:v>183.80232025695955</c:v>
                </c:pt>
                <c:pt idx="433">
                  <c:v>182.84590779802866</c:v>
                </c:pt>
                <c:pt idx="434">
                  <c:v>182.20467861666958</c:v>
                </c:pt>
                <c:pt idx="435">
                  <c:v>179.57207937404533</c:v>
                </c:pt>
                <c:pt idx="436">
                  <c:v>176.94064995270577</c:v>
                </c:pt>
                <c:pt idx="437">
                  <c:v>176.19079450919313</c:v>
                </c:pt>
                <c:pt idx="438">
                  <c:v>173.83694696698763</c:v>
                </c:pt>
                <c:pt idx="439">
                  <c:v>176.07932725249088</c:v>
                </c:pt>
                <c:pt idx="440">
                  <c:v>173.18669345000353</c:v>
                </c:pt>
                <c:pt idx="441">
                  <c:v>174.82845406446052</c:v>
                </c:pt>
                <c:pt idx="442">
                  <c:v>178.91798215855425</c:v>
                </c:pt>
                <c:pt idx="443">
                  <c:v>178.48732080844681</c:v>
                </c:pt>
                <c:pt idx="444">
                  <c:v>179.93672938022871</c:v>
                </c:pt>
                <c:pt idx="445">
                  <c:v>175.52650313679226</c:v>
                </c:pt>
                <c:pt idx="446">
                  <c:v>175.03584666651074</c:v>
                </c:pt>
                <c:pt idx="447">
                  <c:v>176.31696809061776</c:v>
                </c:pt>
                <c:pt idx="448">
                  <c:v>175.28234472293624</c:v>
                </c:pt>
                <c:pt idx="449">
                  <c:v>173.64893997479876</c:v>
                </c:pt>
                <c:pt idx="450">
                  <c:v>177.4358185907999</c:v>
                </c:pt>
                <c:pt idx="451">
                  <c:v>176.27117794318684</c:v>
                </c:pt>
                <c:pt idx="452">
                  <c:v>175.34785471488118</c:v>
                </c:pt>
                <c:pt idx="453">
                  <c:v>172.86432412739691</c:v>
                </c:pt>
                <c:pt idx="454">
                  <c:v>174.36436924907503</c:v>
                </c:pt>
                <c:pt idx="455">
                  <c:v>170.58718343800447</c:v>
                </c:pt>
                <c:pt idx="456">
                  <c:v>169.70146160813661</c:v>
                </c:pt>
                <c:pt idx="457">
                  <c:v>168.09947491736051</c:v>
                </c:pt>
                <c:pt idx="458">
                  <c:v>165.01415483754528</c:v>
                </c:pt>
                <c:pt idx="459">
                  <c:v>163.06005194006505</c:v>
                </c:pt>
                <c:pt idx="460">
                  <c:v>167.4014258450288</c:v>
                </c:pt>
                <c:pt idx="461">
                  <c:v>165.59939971456365</c:v>
                </c:pt>
                <c:pt idx="462">
                  <c:v>169.31274670695313</c:v>
                </c:pt>
                <c:pt idx="463">
                  <c:v>168.06120504961714</c:v>
                </c:pt>
                <c:pt idx="464">
                  <c:v>166.21689823557529</c:v>
                </c:pt>
                <c:pt idx="465">
                  <c:v>166.16559321637345</c:v>
                </c:pt>
                <c:pt idx="466">
                  <c:v>165.62212767095266</c:v>
                </c:pt>
                <c:pt idx="467">
                  <c:v>165.37713367046467</c:v>
                </c:pt>
                <c:pt idx="468">
                  <c:v>162.53864588172772</c:v>
                </c:pt>
                <c:pt idx="469">
                  <c:v>160.24562904632825</c:v>
                </c:pt>
                <c:pt idx="470">
                  <c:v>158.63996577437152</c:v>
                </c:pt>
                <c:pt idx="471">
                  <c:v>167.45741014936945</c:v>
                </c:pt>
                <c:pt idx="472">
                  <c:v>166.34440875561094</c:v>
                </c:pt>
                <c:pt idx="473">
                  <c:v>165.85976850907946</c:v>
                </c:pt>
                <c:pt idx="474">
                  <c:v>164.01028105791949</c:v>
                </c:pt>
                <c:pt idx="475">
                  <c:v>160.69684582758165</c:v>
                </c:pt>
                <c:pt idx="476">
                  <c:v>161.81820308765967</c:v>
                </c:pt>
                <c:pt idx="477">
                  <c:v>160.57267765407377</c:v>
                </c:pt>
                <c:pt idx="478">
                  <c:v>159.63130575451797</c:v>
                </c:pt>
                <c:pt idx="479">
                  <c:v>158.59217021902396</c:v>
                </c:pt>
                <c:pt idx="480">
                  <c:v>156.57205597761961</c:v>
                </c:pt>
                <c:pt idx="481">
                  <c:v>157.29684382217377</c:v>
                </c:pt>
                <c:pt idx="482">
                  <c:v>156.09125942959511</c:v>
                </c:pt>
                <c:pt idx="483">
                  <c:v>155.83005504844729</c:v>
                </c:pt>
                <c:pt idx="484">
                  <c:v>155.16643214535191</c:v>
                </c:pt>
                <c:pt idx="485">
                  <c:v>156.68552864223855</c:v>
                </c:pt>
                <c:pt idx="486">
                  <c:v>153.49893546263087</c:v>
                </c:pt>
                <c:pt idx="487">
                  <c:v>154.33000992676915</c:v>
                </c:pt>
                <c:pt idx="488">
                  <c:v>150.64891657837296</c:v>
                </c:pt>
                <c:pt idx="489">
                  <c:v>149.46505743822502</c:v>
                </c:pt>
                <c:pt idx="490">
                  <c:v>148.11892737415226</c:v>
                </c:pt>
                <c:pt idx="491">
                  <c:v>150.44820866937837</c:v>
                </c:pt>
                <c:pt idx="492">
                  <c:v>153.61992840693733</c:v>
                </c:pt>
                <c:pt idx="493">
                  <c:v>152.43306115491436</c:v>
                </c:pt>
                <c:pt idx="494">
                  <c:v>150.06567710927126</c:v>
                </c:pt>
                <c:pt idx="495">
                  <c:v>147.97219836158166</c:v>
                </c:pt>
                <c:pt idx="496">
                  <c:v>147.21565822501341</c:v>
                </c:pt>
                <c:pt idx="497">
                  <c:v>145.57105661600775</c:v>
                </c:pt>
                <c:pt idx="498">
                  <c:v>143.8036237721054</c:v>
                </c:pt>
                <c:pt idx="499">
                  <c:v>148.55978288116947</c:v>
                </c:pt>
                <c:pt idx="500">
                  <c:v>148.98025007436712</c:v>
                </c:pt>
                <c:pt idx="501">
                  <c:v>143.85008238884183</c:v>
                </c:pt>
                <c:pt idx="502">
                  <c:v>145.89609981583661</c:v>
                </c:pt>
                <c:pt idx="503">
                  <c:v>144.29778970624108</c:v>
                </c:pt>
                <c:pt idx="504">
                  <c:v>141.96199083528572</c:v>
                </c:pt>
                <c:pt idx="505">
                  <c:v>141.97251922684831</c:v>
                </c:pt>
                <c:pt idx="506">
                  <c:v>138.09289049470061</c:v>
                </c:pt>
                <c:pt idx="507">
                  <c:v>143.06463095480802</c:v>
                </c:pt>
                <c:pt idx="508">
                  <c:v>144.55882697006248</c:v>
                </c:pt>
                <c:pt idx="509">
                  <c:v>142.59051909983913</c:v>
                </c:pt>
                <c:pt idx="510">
                  <c:v>140.26458015114079</c:v>
                </c:pt>
                <c:pt idx="511">
                  <c:v>142.31277010337865</c:v>
                </c:pt>
                <c:pt idx="512">
                  <c:v>136.90953270653185</c:v>
                </c:pt>
                <c:pt idx="513">
                  <c:v>136.26044901083245</c:v>
                </c:pt>
                <c:pt idx="514">
                  <c:v>135.21295760901887</c:v>
                </c:pt>
                <c:pt idx="515">
                  <c:v>131.80978037440957</c:v>
                </c:pt>
                <c:pt idx="516">
                  <c:v>132.2439511883712</c:v>
                </c:pt>
                <c:pt idx="517">
                  <c:v>123.21694168608003</c:v>
                </c:pt>
                <c:pt idx="518">
                  <c:v>125.1259229054349</c:v>
                </c:pt>
                <c:pt idx="519">
                  <c:v>123.00804502809234</c:v>
                </c:pt>
                <c:pt idx="520">
                  <c:v>128.68201249369125</c:v>
                </c:pt>
                <c:pt idx="521">
                  <c:v>129.91951629561041</c:v>
                </c:pt>
                <c:pt idx="522">
                  <c:v>125.37776871630489</c:v>
                </c:pt>
                <c:pt idx="523">
                  <c:v>130.31040372203699</c:v>
                </c:pt>
                <c:pt idx="524">
                  <c:v>123.40444732628981</c:v>
                </c:pt>
                <c:pt idx="525">
                  <c:v>123.9652930736552</c:v>
                </c:pt>
                <c:pt idx="526">
                  <c:v>114.65368276452159</c:v>
                </c:pt>
                <c:pt idx="527">
                  <c:v>114.96869892476707</c:v>
                </c:pt>
                <c:pt idx="528">
                  <c:v>119.49858117389888</c:v>
                </c:pt>
                <c:pt idx="529">
                  <c:v>116.81233726950336</c:v>
                </c:pt>
                <c:pt idx="530">
                  <c:v>122.57688232600572</c:v>
                </c:pt>
                <c:pt idx="531">
                  <c:v>115.3876620620272</c:v>
                </c:pt>
                <c:pt idx="532">
                  <c:v>131.60288912433856</c:v>
                </c:pt>
                <c:pt idx="533">
                  <c:v>120.35455611966931</c:v>
                </c:pt>
                <c:pt idx="534">
                  <c:v>132.89253353209148</c:v>
                </c:pt>
                <c:pt idx="535">
                  <c:v>139.44687507311377</c:v>
                </c:pt>
                <c:pt idx="536">
                  <c:v>132.86963845837604</c:v>
                </c:pt>
                <c:pt idx="537">
                  <c:v>143.31346865380306</c:v>
                </c:pt>
                <c:pt idx="538">
                  <c:v>146.03697972198356</c:v>
                </c:pt>
                <c:pt idx="539">
                  <c:v>150.70790899458868</c:v>
                </c:pt>
                <c:pt idx="540">
                  <c:v>145.12619029315715</c:v>
                </c:pt>
                <c:pt idx="541">
                  <c:v>149.60627157902471</c:v>
                </c:pt>
                <c:pt idx="542">
                  <c:v>143.17559685953117</c:v>
                </c:pt>
                <c:pt idx="543">
                  <c:v>143.16072341748242</c:v>
                </c:pt>
                <c:pt idx="544">
                  <c:v>150.08439424982697</c:v>
                </c:pt>
                <c:pt idx="545">
                  <c:v>149.83087726569309</c:v>
                </c:pt>
                <c:pt idx="546">
                  <c:v>154.10356594951045</c:v>
                </c:pt>
                <c:pt idx="547">
                  <c:v>160.04141167347942</c:v>
                </c:pt>
                <c:pt idx="548">
                  <c:v>162.95560361107113</c:v>
                </c:pt>
                <c:pt idx="549">
                  <c:v>164.06208742910042</c:v>
                </c:pt>
                <c:pt idx="550">
                  <c:v>162.65094872506185</c:v>
                </c:pt>
                <c:pt idx="551">
                  <c:v>162.624878422145</c:v>
                </c:pt>
                <c:pt idx="552">
                  <c:v>162.30384603814949</c:v>
                </c:pt>
                <c:pt idx="553">
                  <c:v>162.53764317776933</c:v>
                </c:pt>
                <c:pt idx="554">
                  <c:v>161.08338820352211</c:v>
                </c:pt>
                <c:pt idx="555">
                  <c:v>160.90707942418047</c:v>
                </c:pt>
                <c:pt idx="556">
                  <c:v>159.10421770708336</c:v>
                </c:pt>
                <c:pt idx="557">
                  <c:v>159.96721158056218</c:v>
                </c:pt>
                <c:pt idx="558">
                  <c:v>158.90651790996381</c:v>
                </c:pt>
                <c:pt idx="559">
                  <c:v>158.22618327422944</c:v>
                </c:pt>
                <c:pt idx="560">
                  <c:v>154.974581454656</c:v>
                </c:pt>
                <c:pt idx="561">
                  <c:v>152.92806267568207</c:v>
                </c:pt>
                <c:pt idx="562">
                  <c:v>155.40123198893014</c:v>
                </c:pt>
                <c:pt idx="563">
                  <c:v>155.00399410410068</c:v>
                </c:pt>
                <c:pt idx="564">
                  <c:v>154.9124138092389</c:v>
                </c:pt>
                <c:pt idx="565">
                  <c:v>152.73370522509032</c:v>
                </c:pt>
                <c:pt idx="566">
                  <c:v>155.66828547650164</c:v>
                </c:pt>
                <c:pt idx="567">
                  <c:v>157.13173190370031</c:v>
                </c:pt>
                <c:pt idx="568">
                  <c:v>156.81905538602433</c:v>
                </c:pt>
                <c:pt idx="569">
                  <c:v>156.60247133102266</c:v>
                </c:pt>
                <c:pt idx="570">
                  <c:v>156.90545504376806</c:v>
                </c:pt>
                <c:pt idx="571">
                  <c:v>156.3738548285209</c:v>
                </c:pt>
                <c:pt idx="572">
                  <c:v>154.72891898486253</c:v>
                </c:pt>
                <c:pt idx="573">
                  <c:v>154.60575351531298</c:v>
                </c:pt>
                <c:pt idx="574">
                  <c:v>154.98343867295478</c:v>
                </c:pt>
                <c:pt idx="575">
                  <c:v>153.3946542509635</c:v>
                </c:pt>
                <c:pt idx="576">
                  <c:v>153.80526152190413</c:v>
                </c:pt>
                <c:pt idx="577">
                  <c:v>152.56541807741547</c:v>
                </c:pt>
                <c:pt idx="578">
                  <c:v>151.55168437553274</c:v>
                </c:pt>
                <c:pt idx="579">
                  <c:v>151.59998128285949</c:v>
                </c:pt>
                <c:pt idx="580">
                  <c:v>150.75269643806138</c:v>
                </c:pt>
                <c:pt idx="581">
                  <c:v>151.94624838313993</c:v>
                </c:pt>
                <c:pt idx="582">
                  <c:v>149.94769227683994</c:v>
                </c:pt>
                <c:pt idx="583">
                  <c:v>149.5029930713157</c:v>
                </c:pt>
                <c:pt idx="584">
                  <c:v>150.51622542121927</c:v>
                </c:pt>
                <c:pt idx="585">
                  <c:v>150.77976944493653</c:v>
                </c:pt>
                <c:pt idx="586">
                  <c:v>149.61813690919848</c:v>
                </c:pt>
                <c:pt idx="587">
                  <c:v>149.4973110822184</c:v>
                </c:pt>
                <c:pt idx="588">
                  <c:v>149.15154533391714</c:v>
                </c:pt>
                <c:pt idx="589">
                  <c:v>148.52084454412068</c:v>
                </c:pt>
                <c:pt idx="590">
                  <c:v>147.52683068675196</c:v>
                </c:pt>
                <c:pt idx="591">
                  <c:v>147.45363329779309</c:v>
                </c:pt>
                <c:pt idx="592">
                  <c:v>147.30105517879886</c:v>
                </c:pt>
                <c:pt idx="593">
                  <c:v>145.97497919389289</c:v>
                </c:pt>
                <c:pt idx="594">
                  <c:v>145.68152116875177</c:v>
                </c:pt>
                <c:pt idx="595">
                  <c:v>144.62416984468121</c:v>
                </c:pt>
                <c:pt idx="596">
                  <c:v>143.99129652964166</c:v>
                </c:pt>
                <c:pt idx="597">
                  <c:v>144.08571781905209</c:v>
                </c:pt>
                <c:pt idx="598">
                  <c:v>144.66561494162599</c:v>
                </c:pt>
                <c:pt idx="599">
                  <c:v>143.2312469292192</c:v>
                </c:pt>
                <c:pt idx="600">
                  <c:v>143.16389864668395</c:v>
                </c:pt>
                <c:pt idx="601">
                  <c:v>142.39465759331</c:v>
                </c:pt>
                <c:pt idx="602">
                  <c:v>143.18595813376746</c:v>
                </c:pt>
                <c:pt idx="603">
                  <c:v>144.8150178314188</c:v>
                </c:pt>
                <c:pt idx="604">
                  <c:v>145.47864073451416</c:v>
                </c:pt>
                <c:pt idx="605">
                  <c:v>144.52189404093048</c:v>
                </c:pt>
                <c:pt idx="606">
                  <c:v>144.26386488898405</c:v>
                </c:pt>
                <c:pt idx="607">
                  <c:v>142.38195667650436</c:v>
                </c:pt>
                <c:pt idx="608">
                  <c:v>142.15350729132899</c:v>
                </c:pt>
                <c:pt idx="609">
                  <c:v>142.49643204508163</c:v>
                </c:pt>
                <c:pt idx="610">
                  <c:v>143.23057845991363</c:v>
                </c:pt>
                <c:pt idx="611">
                  <c:v>142.88431135963322</c:v>
                </c:pt>
                <c:pt idx="612">
                  <c:v>142.73206747529179</c:v>
                </c:pt>
                <c:pt idx="613">
                  <c:v>141.69911528087417</c:v>
                </c:pt>
                <c:pt idx="614">
                  <c:v>141.75058741740233</c:v>
                </c:pt>
                <c:pt idx="615">
                  <c:v>141.81726723063198</c:v>
                </c:pt>
                <c:pt idx="616">
                  <c:v>141.45278434177504</c:v>
                </c:pt>
                <c:pt idx="617">
                  <c:v>141.63711475278339</c:v>
                </c:pt>
                <c:pt idx="618">
                  <c:v>140.95544317843792</c:v>
                </c:pt>
                <c:pt idx="619">
                  <c:v>140.5561998856918</c:v>
                </c:pt>
                <c:pt idx="620">
                  <c:v>140.95811705566015</c:v>
                </c:pt>
                <c:pt idx="621">
                  <c:v>140.93338369135441</c:v>
                </c:pt>
                <c:pt idx="622">
                  <c:v>140.15127460384841</c:v>
                </c:pt>
                <c:pt idx="623">
                  <c:v>138.57970326647532</c:v>
                </c:pt>
                <c:pt idx="624">
                  <c:v>138.77389359974069</c:v>
                </c:pt>
                <c:pt idx="625">
                  <c:v>138.3205042932442</c:v>
                </c:pt>
                <c:pt idx="626">
                  <c:v>139.14171883512546</c:v>
                </c:pt>
                <c:pt idx="627">
                  <c:v>137.75681755133016</c:v>
                </c:pt>
                <c:pt idx="628">
                  <c:v>136.79890103646173</c:v>
                </c:pt>
                <c:pt idx="629">
                  <c:v>135.69575956496024</c:v>
                </c:pt>
                <c:pt idx="630">
                  <c:v>135.43689482638186</c:v>
                </c:pt>
                <c:pt idx="631">
                  <c:v>136.41770641496575</c:v>
                </c:pt>
                <c:pt idx="632">
                  <c:v>135.19022965262999</c:v>
                </c:pt>
                <c:pt idx="633">
                  <c:v>136.3150963765622</c:v>
                </c:pt>
                <c:pt idx="634">
                  <c:v>135.76912407124553</c:v>
                </c:pt>
                <c:pt idx="635">
                  <c:v>136.17906287288059</c:v>
                </c:pt>
                <c:pt idx="636">
                  <c:v>134.50688690502056</c:v>
                </c:pt>
                <c:pt idx="637">
                  <c:v>134.64709834186192</c:v>
                </c:pt>
                <c:pt idx="638">
                  <c:v>132.87130963164003</c:v>
                </c:pt>
                <c:pt idx="639">
                  <c:v>132.08518972830069</c:v>
                </c:pt>
                <c:pt idx="640">
                  <c:v>130.74891958648493</c:v>
                </c:pt>
                <c:pt idx="641">
                  <c:v>132.96339127848103</c:v>
                </c:pt>
                <c:pt idx="642">
                  <c:v>133.40090443897049</c:v>
                </c:pt>
                <c:pt idx="643">
                  <c:v>131.55910438482445</c:v>
                </c:pt>
                <c:pt idx="644">
                  <c:v>130.10501652790362</c:v>
                </c:pt>
                <c:pt idx="645">
                  <c:v>132.16774568753743</c:v>
                </c:pt>
                <c:pt idx="646">
                  <c:v>133.68283136859066</c:v>
                </c:pt>
                <c:pt idx="647">
                  <c:v>132.68497381271496</c:v>
                </c:pt>
                <c:pt idx="648">
                  <c:v>134.20624283484463</c:v>
                </c:pt>
                <c:pt idx="649">
                  <c:v>134.9870149837395</c:v>
                </c:pt>
                <c:pt idx="650">
                  <c:v>133.58740737522186</c:v>
                </c:pt>
                <c:pt idx="651">
                  <c:v>135.57326256471617</c:v>
                </c:pt>
                <c:pt idx="652">
                  <c:v>135.66033069176544</c:v>
                </c:pt>
                <c:pt idx="653">
                  <c:v>136.75010277715572</c:v>
                </c:pt>
                <c:pt idx="654">
                  <c:v>136.65835536496752</c:v>
                </c:pt>
                <c:pt idx="655">
                  <c:v>136.80257761764224</c:v>
                </c:pt>
                <c:pt idx="656">
                  <c:v>136.25978054152696</c:v>
                </c:pt>
                <c:pt idx="657">
                  <c:v>136.64699138677298</c:v>
                </c:pt>
                <c:pt idx="658">
                  <c:v>136.9437917584419</c:v>
                </c:pt>
                <c:pt idx="659">
                  <c:v>136.5295079063207</c:v>
                </c:pt>
                <c:pt idx="660">
                  <c:v>135.100320531032</c:v>
                </c:pt>
                <c:pt idx="661">
                  <c:v>135.15513501408796</c:v>
                </c:pt>
                <c:pt idx="662">
                  <c:v>135.41633939523578</c:v>
                </c:pt>
                <c:pt idx="663">
                  <c:v>135.64629283634866</c:v>
                </c:pt>
                <c:pt idx="664">
                  <c:v>133.3074858535183</c:v>
                </c:pt>
                <c:pt idx="665">
                  <c:v>131.59085667683851</c:v>
                </c:pt>
                <c:pt idx="666">
                  <c:v>133.07352159657208</c:v>
                </c:pt>
                <c:pt idx="667">
                  <c:v>133.24916190660815</c:v>
                </c:pt>
                <c:pt idx="668">
                  <c:v>131.30207793683633</c:v>
                </c:pt>
                <c:pt idx="669">
                  <c:v>130.80189577895055</c:v>
                </c:pt>
                <c:pt idx="670">
                  <c:v>131.2496030963498</c:v>
                </c:pt>
                <c:pt idx="671">
                  <c:v>129.5455077191493</c:v>
                </c:pt>
                <c:pt idx="672">
                  <c:v>133.54997309411044</c:v>
                </c:pt>
                <c:pt idx="673">
                  <c:v>134.03160522876689</c:v>
                </c:pt>
                <c:pt idx="674">
                  <c:v>132.83420958518136</c:v>
                </c:pt>
                <c:pt idx="675">
                  <c:v>133.74082108084801</c:v>
                </c:pt>
                <c:pt idx="676">
                  <c:v>131.95567380034825</c:v>
                </c:pt>
                <c:pt idx="677">
                  <c:v>129.79367694883868</c:v>
                </c:pt>
                <c:pt idx="678">
                  <c:v>129.91600683175628</c:v>
                </c:pt>
                <c:pt idx="679">
                  <c:v>133.96726505810668</c:v>
                </c:pt>
                <c:pt idx="680">
                  <c:v>131.4112055509691</c:v>
                </c:pt>
                <c:pt idx="681">
                  <c:v>133.01101971650215</c:v>
                </c:pt>
                <c:pt idx="682">
                  <c:v>134.34829256227624</c:v>
                </c:pt>
                <c:pt idx="683">
                  <c:v>131.40151274603843</c:v>
                </c:pt>
                <c:pt idx="684">
                  <c:v>130.90751392922911</c:v>
                </c:pt>
                <c:pt idx="685">
                  <c:v>129.11551483834734</c:v>
                </c:pt>
                <c:pt idx="686">
                  <c:v>133.7618778639731</c:v>
                </c:pt>
                <c:pt idx="687">
                  <c:v>135.55086884297981</c:v>
                </c:pt>
                <c:pt idx="688">
                  <c:v>136.62543325166857</c:v>
                </c:pt>
                <c:pt idx="689">
                  <c:v>138.26635827949363</c:v>
                </c:pt>
                <c:pt idx="690">
                  <c:v>138.59591364713503</c:v>
                </c:pt>
                <c:pt idx="691">
                  <c:v>139.21224234686196</c:v>
                </c:pt>
                <c:pt idx="692">
                  <c:v>137.68027781584334</c:v>
                </c:pt>
                <c:pt idx="693">
                  <c:v>139.06668315557613</c:v>
                </c:pt>
                <c:pt idx="694">
                  <c:v>137.89519069758106</c:v>
                </c:pt>
                <c:pt idx="695">
                  <c:v>137.10539421306112</c:v>
                </c:pt>
                <c:pt idx="696">
                  <c:v>136.14196282642183</c:v>
                </c:pt>
                <c:pt idx="697">
                  <c:v>137.15720058424208</c:v>
                </c:pt>
                <c:pt idx="698">
                  <c:v>136.78904111420457</c:v>
                </c:pt>
                <c:pt idx="699">
                  <c:v>137.41723514410518</c:v>
                </c:pt>
                <c:pt idx="700">
                  <c:v>138.0086633622</c:v>
                </c:pt>
                <c:pt idx="701">
                  <c:v>137.77386351862179</c:v>
                </c:pt>
                <c:pt idx="702">
                  <c:v>136.97002917868511</c:v>
                </c:pt>
                <c:pt idx="703">
                  <c:v>137.07848832351232</c:v>
                </c:pt>
                <c:pt idx="704">
                  <c:v>136.06241497906009</c:v>
                </c:pt>
                <c:pt idx="705">
                  <c:v>135.33796136915873</c:v>
                </c:pt>
                <c:pt idx="706">
                  <c:v>136.39765233579877</c:v>
                </c:pt>
                <c:pt idx="707">
                  <c:v>136.53869935927207</c:v>
                </c:pt>
                <c:pt idx="708">
                  <c:v>135.51694402572261</c:v>
                </c:pt>
                <c:pt idx="709">
                  <c:v>135.21730265950504</c:v>
                </c:pt>
                <c:pt idx="710">
                  <c:v>133.79814232379977</c:v>
                </c:pt>
                <c:pt idx="711">
                  <c:v>133.1550748518504</c:v>
                </c:pt>
                <c:pt idx="712">
                  <c:v>132.18930382264162</c:v>
                </c:pt>
                <c:pt idx="713">
                  <c:v>131.76733257350645</c:v>
                </c:pt>
                <c:pt idx="714">
                  <c:v>133.78911798817467</c:v>
                </c:pt>
                <c:pt idx="715">
                  <c:v>134.22379015411551</c:v>
                </c:pt>
                <c:pt idx="716">
                  <c:v>134.55184146581939</c:v>
                </c:pt>
                <c:pt idx="717">
                  <c:v>133.48195634226954</c:v>
                </c:pt>
                <c:pt idx="718">
                  <c:v>132.92311600282082</c:v>
                </c:pt>
                <c:pt idx="719">
                  <c:v>131.10387678773748</c:v>
                </c:pt>
                <c:pt idx="720">
                  <c:v>130.29569739731463</c:v>
                </c:pt>
                <c:pt idx="721">
                  <c:v>130.97202121721563</c:v>
                </c:pt>
                <c:pt idx="722">
                  <c:v>130.22985317071689</c:v>
                </c:pt>
                <c:pt idx="723">
                  <c:v>130.72869838999154</c:v>
                </c:pt>
                <c:pt idx="724">
                  <c:v>130.73872542957494</c:v>
                </c:pt>
                <c:pt idx="725">
                  <c:v>129.38390526452986</c:v>
                </c:pt>
                <c:pt idx="726">
                  <c:v>127.26903549906233</c:v>
                </c:pt>
                <c:pt idx="727">
                  <c:v>126.59939637221694</c:v>
                </c:pt>
                <c:pt idx="728">
                  <c:v>125.79121698179412</c:v>
                </c:pt>
                <c:pt idx="729">
                  <c:v>122.54746967656102</c:v>
                </c:pt>
                <c:pt idx="730">
                  <c:v>124.55505011848607</c:v>
                </c:pt>
                <c:pt idx="731">
                  <c:v>126.46971332693821</c:v>
                </c:pt>
                <c:pt idx="732">
                  <c:v>126.12862686377589</c:v>
                </c:pt>
                <c:pt idx="733">
                  <c:v>127.13199929142245</c:v>
                </c:pt>
                <c:pt idx="734">
                  <c:v>127.62766928149567</c:v>
                </c:pt>
                <c:pt idx="735">
                  <c:v>127.48177585555703</c:v>
                </c:pt>
                <c:pt idx="736">
                  <c:v>129.52996580779489</c:v>
                </c:pt>
                <c:pt idx="737">
                  <c:v>130.1128710422438</c:v>
                </c:pt>
                <c:pt idx="738">
                  <c:v>128.72011524410814</c:v>
                </c:pt>
                <c:pt idx="739">
                  <c:v>130.62358159169213</c:v>
                </c:pt>
                <c:pt idx="740">
                  <c:v>131.99009996958452</c:v>
                </c:pt>
                <c:pt idx="741">
                  <c:v>130.72167946228313</c:v>
                </c:pt>
                <c:pt idx="742">
                  <c:v>129.25672897914694</c:v>
                </c:pt>
                <c:pt idx="743">
                  <c:v>127.79495372521218</c:v>
                </c:pt>
                <c:pt idx="744">
                  <c:v>132.30578459913551</c:v>
                </c:pt>
                <c:pt idx="745">
                  <c:v>132.19966509687777</c:v>
                </c:pt>
                <c:pt idx="746">
                  <c:v>132.74664010615277</c:v>
                </c:pt>
                <c:pt idx="747">
                  <c:v>133.08822792129428</c:v>
                </c:pt>
                <c:pt idx="748">
                  <c:v>135.75425062919658</c:v>
                </c:pt>
                <c:pt idx="749">
                  <c:v>136.43458526493094</c:v>
                </c:pt>
                <c:pt idx="750">
                  <c:v>134.30835152126889</c:v>
                </c:pt>
                <c:pt idx="751">
                  <c:v>134.52343152033305</c:v>
                </c:pt>
                <c:pt idx="752">
                  <c:v>135.28799328856806</c:v>
                </c:pt>
                <c:pt idx="753">
                  <c:v>136.3986550397571</c:v>
                </c:pt>
                <c:pt idx="754">
                  <c:v>136.14045877048429</c:v>
                </c:pt>
                <c:pt idx="755">
                  <c:v>135.67720954173078</c:v>
                </c:pt>
                <c:pt idx="756">
                  <c:v>135.39862495863838</c:v>
                </c:pt>
                <c:pt idx="757">
                  <c:v>135.71297264957826</c:v>
                </c:pt>
                <c:pt idx="758">
                  <c:v>133.94904926953009</c:v>
                </c:pt>
                <c:pt idx="759">
                  <c:v>133.66144035081263</c:v>
                </c:pt>
                <c:pt idx="760">
                  <c:v>133.62835112018735</c:v>
                </c:pt>
                <c:pt idx="761">
                  <c:v>133.69770481063927</c:v>
                </c:pt>
                <c:pt idx="762">
                  <c:v>133.29294664612232</c:v>
                </c:pt>
                <c:pt idx="763">
                  <c:v>133.4291472671303</c:v>
                </c:pt>
                <c:pt idx="764">
                  <c:v>132.81415550601449</c:v>
                </c:pt>
                <c:pt idx="765">
                  <c:v>133.0962495529611</c:v>
                </c:pt>
                <c:pt idx="766">
                  <c:v>132.17777272712075</c:v>
                </c:pt>
                <c:pt idx="767">
                  <c:v>132.9231160028209</c:v>
                </c:pt>
                <c:pt idx="768">
                  <c:v>132.66926478403423</c:v>
                </c:pt>
                <c:pt idx="769">
                  <c:v>131.88531740593797</c:v>
                </c:pt>
                <c:pt idx="770">
                  <c:v>131.94832063798708</c:v>
                </c:pt>
                <c:pt idx="771">
                  <c:v>131.16520884652277</c:v>
                </c:pt>
                <c:pt idx="772">
                  <c:v>130.83465077492303</c:v>
                </c:pt>
                <c:pt idx="773">
                  <c:v>129.17032932140336</c:v>
                </c:pt>
                <c:pt idx="774">
                  <c:v>128.16511860316652</c:v>
                </c:pt>
                <c:pt idx="775">
                  <c:v>127.73412301840631</c:v>
                </c:pt>
                <c:pt idx="776">
                  <c:v>128.53862582764856</c:v>
                </c:pt>
                <c:pt idx="777">
                  <c:v>127.63652649979441</c:v>
                </c:pt>
                <c:pt idx="778">
                  <c:v>127.72225768823256</c:v>
                </c:pt>
                <c:pt idx="779">
                  <c:v>131.00260368794511</c:v>
                </c:pt>
                <c:pt idx="780">
                  <c:v>129.16448021497968</c:v>
                </c:pt>
                <c:pt idx="781">
                  <c:v>129.0805873171318</c:v>
                </c:pt>
                <c:pt idx="782">
                  <c:v>128.9223272090403</c:v>
                </c:pt>
                <c:pt idx="783">
                  <c:v>128.48865774705783</c:v>
                </c:pt>
                <c:pt idx="784">
                  <c:v>127.52572771239768</c:v>
                </c:pt>
                <c:pt idx="785">
                  <c:v>127.73462437038539</c:v>
                </c:pt>
                <c:pt idx="786">
                  <c:v>126.8592638147537</c:v>
                </c:pt>
                <c:pt idx="787">
                  <c:v>126.30827798964533</c:v>
                </c:pt>
                <c:pt idx="788">
                  <c:v>123.80285503240397</c:v>
                </c:pt>
                <c:pt idx="789">
                  <c:v>124.02545531115567</c:v>
                </c:pt>
                <c:pt idx="790">
                  <c:v>125.43692824984701</c:v>
                </c:pt>
                <c:pt idx="791">
                  <c:v>126.61410269693933</c:v>
                </c:pt>
                <c:pt idx="792">
                  <c:v>126.63432389343254</c:v>
                </c:pt>
                <c:pt idx="793">
                  <c:v>126.93145849975426</c:v>
                </c:pt>
                <c:pt idx="794">
                  <c:v>125.88162745537122</c:v>
                </c:pt>
                <c:pt idx="795">
                  <c:v>126.24895133877681</c:v>
                </c:pt>
                <c:pt idx="796">
                  <c:v>126.16188321172753</c:v>
                </c:pt>
                <c:pt idx="797">
                  <c:v>126.24811575214484</c:v>
                </c:pt>
                <c:pt idx="798">
                  <c:v>125.79823590950251</c:v>
                </c:pt>
                <c:pt idx="799">
                  <c:v>124.66467908459803</c:v>
                </c:pt>
                <c:pt idx="800">
                  <c:v>125.15533555487956</c:v>
                </c:pt>
                <c:pt idx="801">
                  <c:v>125.11689856980982</c:v>
                </c:pt>
                <c:pt idx="802">
                  <c:v>124.87691808911352</c:v>
                </c:pt>
                <c:pt idx="803">
                  <c:v>124.11720272334384</c:v>
                </c:pt>
                <c:pt idx="804">
                  <c:v>124.00740663990551</c:v>
                </c:pt>
                <c:pt idx="805">
                  <c:v>123.91114705990478</c:v>
                </c:pt>
                <c:pt idx="806">
                  <c:v>122.12767095266892</c:v>
                </c:pt>
                <c:pt idx="807">
                  <c:v>121.96556714607048</c:v>
                </c:pt>
                <c:pt idx="808">
                  <c:v>121.80095657957618</c:v>
                </c:pt>
                <c:pt idx="809">
                  <c:v>123.25370749788588</c:v>
                </c:pt>
                <c:pt idx="810">
                  <c:v>123.70158193261153</c:v>
                </c:pt>
                <c:pt idx="811">
                  <c:v>122.79012403447956</c:v>
                </c:pt>
                <c:pt idx="812">
                  <c:v>121.39185336457305</c:v>
                </c:pt>
                <c:pt idx="813">
                  <c:v>121.69049202683227</c:v>
                </c:pt>
                <c:pt idx="814">
                  <c:v>120.04171248466692</c:v>
                </c:pt>
                <c:pt idx="815">
                  <c:v>117.45490338947354</c:v>
                </c:pt>
                <c:pt idx="816">
                  <c:v>118.41398972562671</c:v>
                </c:pt>
                <c:pt idx="817">
                  <c:v>119.73722471598401</c:v>
                </c:pt>
                <c:pt idx="818">
                  <c:v>118.2097723527779</c:v>
                </c:pt>
                <c:pt idx="819">
                  <c:v>117.41278982322322</c:v>
                </c:pt>
                <c:pt idx="820">
                  <c:v>117.32237934964611</c:v>
                </c:pt>
                <c:pt idx="821">
                  <c:v>119.6097141959483</c:v>
                </c:pt>
                <c:pt idx="822">
                  <c:v>118.39360141180707</c:v>
                </c:pt>
                <c:pt idx="823">
                  <c:v>117.56185847836322</c:v>
                </c:pt>
                <c:pt idx="824">
                  <c:v>117.38036906190351</c:v>
                </c:pt>
                <c:pt idx="825">
                  <c:v>115.40988866643708</c:v>
                </c:pt>
                <c:pt idx="826">
                  <c:v>116.505509858251</c:v>
                </c:pt>
                <c:pt idx="827">
                  <c:v>116.74933403745425</c:v>
                </c:pt>
                <c:pt idx="828">
                  <c:v>116.26486090824915</c:v>
                </c:pt>
                <c:pt idx="829">
                  <c:v>115.26082001129704</c:v>
                </c:pt>
                <c:pt idx="830">
                  <c:v>114.03200631035017</c:v>
                </c:pt>
                <c:pt idx="831">
                  <c:v>112.61802661176297</c:v>
                </c:pt>
                <c:pt idx="832">
                  <c:v>108.01628391228338</c:v>
                </c:pt>
                <c:pt idx="833">
                  <c:v>111.39940706772589</c:v>
                </c:pt>
                <c:pt idx="834">
                  <c:v>110.88702534501364</c:v>
                </c:pt>
                <c:pt idx="835">
                  <c:v>110.03873779625717</c:v>
                </c:pt>
                <c:pt idx="836">
                  <c:v>109.95467778108291</c:v>
                </c:pt>
                <c:pt idx="837">
                  <c:v>109.53471193986444</c:v>
                </c:pt>
                <c:pt idx="838">
                  <c:v>103.4944232948183</c:v>
                </c:pt>
                <c:pt idx="839">
                  <c:v>105.83523568556535</c:v>
                </c:pt>
                <c:pt idx="840">
                  <c:v>109.10104247788198</c:v>
                </c:pt>
                <c:pt idx="841">
                  <c:v>110.91292853060415</c:v>
                </c:pt>
                <c:pt idx="842">
                  <c:v>113.3708901671507</c:v>
                </c:pt>
                <c:pt idx="843">
                  <c:v>112.86653007610518</c:v>
                </c:pt>
                <c:pt idx="844">
                  <c:v>115.48910227914605</c:v>
                </c:pt>
                <c:pt idx="845">
                  <c:v>118.15746462961782</c:v>
                </c:pt>
                <c:pt idx="846">
                  <c:v>118.62505890885751</c:v>
                </c:pt>
                <c:pt idx="847">
                  <c:v>117.51406292301569</c:v>
                </c:pt>
                <c:pt idx="848">
                  <c:v>117.32505322686842</c:v>
                </c:pt>
                <c:pt idx="849">
                  <c:v>116.46824269446603</c:v>
                </c:pt>
                <c:pt idx="850">
                  <c:v>120.12827925973704</c:v>
                </c:pt>
                <c:pt idx="851">
                  <c:v>119.62976827511517</c:v>
                </c:pt>
                <c:pt idx="852">
                  <c:v>124.36052555056797</c:v>
                </c:pt>
                <c:pt idx="853">
                  <c:v>122.50602457961629</c:v>
                </c:pt>
                <c:pt idx="854">
                  <c:v>121.54576842217841</c:v>
                </c:pt>
                <c:pt idx="855">
                  <c:v>121.85510259332661</c:v>
                </c:pt>
                <c:pt idx="856">
                  <c:v>118.36418876236245</c:v>
                </c:pt>
                <c:pt idx="857">
                  <c:v>118.3499837896193</c:v>
                </c:pt>
                <c:pt idx="858">
                  <c:v>115.96237854748298</c:v>
                </c:pt>
                <c:pt idx="859">
                  <c:v>116.51837789238307</c:v>
                </c:pt>
                <c:pt idx="860">
                  <c:v>115.45835269109024</c:v>
                </c:pt>
                <c:pt idx="861">
                  <c:v>117.45807861867495</c:v>
                </c:pt>
                <c:pt idx="862">
                  <c:v>121.12446564234878</c:v>
                </c:pt>
                <c:pt idx="863">
                  <c:v>121.31096857860021</c:v>
                </c:pt>
                <c:pt idx="864">
                  <c:v>119.26144168775124</c:v>
                </c:pt>
                <c:pt idx="865">
                  <c:v>120.33901420831504</c:v>
                </c:pt>
                <c:pt idx="866">
                  <c:v>120.33901420831504</c:v>
                </c:pt>
                <c:pt idx="867">
                  <c:v>123.7821324839316</c:v>
                </c:pt>
                <c:pt idx="868">
                  <c:v>125.85405309651688</c:v>
                </c:pt>
                <c:pt idx="869">
                  <c:v>126.52034987683446</c:v>
                </c:pt>
                <c:pt idx="870">
                  <c:v>123.26507147608044</c:v>
                </c:pt>
                <c:pt idx="871">
                  <c:v>122.47778175145636</c:v>
                </c:pt>
                <c:pt idx="872">
                  <c:v>122.94804990791827</c:v>
                </c:pt>
                <c:pt idx="873">
                  <c:v>124.23602314240729</c:v>
                </c:pt>
                <c:pt idx="874">
                  <c:v>122.0942474873909</c:v>
                </c:pt>
                <c:pt idx="875">
                  <c:v>119.68358005421277</c:v>
                </c:pt>
                <c:pt idx="876">
                  <c:v>117.8225615075319</c:v>
                </c:pt>
                <c:pt idx="877">
                  <c:v>119.77649728768571</c:v>
                </c:pt>
                <c:pt idx="878">
                  <c:v>122.30214144142029</c:v>
                </c:pt>
                <c:pt idx="879">
                  <c:v>118.79368029118515</c:v>
                </c:pt>
                <c:pt idx="880">
                  <c:v>124.29417997199107</c:v>
                </c:pt>
                <c:pt idx="881">
                  <c:v>124.8137477397381</c:v>
                </c:pt>
                <c:pt idx="882">
                  <c:v>124.48619778001338</c:v>
                </c:pt>
                <c:pt idx="883">
                  <c:v>125.08965844560828</c:v>
                </c:pt>
                <c:pt idx="884">
                  <c:v>127.72275904021173</c:v>
                </c:pt>
                <c:pt idx="885">
                  <c:v>127.76938477427458</c:v>
                </c:pt>
                <c:pt idx="886">
                  <c:v>124.18054019004578</c:v>
                </c:pt>
                <c:pt idx="887">
                  <c:v>125.28602130411673</c:v>
                </c:pt>
                <c:pt idx="888">
                  <c:v>122.48129121531059</c:v>
                </c:pt>
                <c:pt idx="889">
                  <c:v>124.03531523341275</c:v>
                </c:pt>
                <c:pt idx="890">
                  <c:v>129.3157213953628</c:v>
                </c:pt>
                <c:pt idx="891">
                  <c:v>129.28112810880003</c:v>
                </c:pt>
                <c:pt idx="892">
                  <c:v>130.15849407234842</c:v>
                </c:pt>
                <c:pt idx="893">
                  <c:v>131.68026444645727</c:v>
                </c:pt>
                <c:pt idx="894">
                  <c:v>134.1131584840453</c:v>
                </c:pt>
                <c:pt idx="895">
                  <c:v>133.68634083244481</c:v>
                </c:pt>
                <c:pt idx="896">
                  <c:v>134.31720873956769</c:v>
                </c:pt>
                <c:pt idx="897">
                  <c:v>134.46844991995079</c:v>
                </c:pt>
                <c:pt idx="898">
                  <c:v>134.39525253099191</c:v>
                </c:pt>
                <c:pt idx="899">
                  <c:v>133.53292712681866</c:v>
                </c:pt>
                <c:pt idx="900">
                  <c:v>133.81869775494584</c:v>
                </c:pt>
                <c:pt idx="901">
                  <c:v>133.58105691681902</c:v>
                </c:pt>
                <c:pt idx="902">
                  <c:v>133.47594011851962</c:v>
                </c:pt>
                <c:pt idx="903">
                  <c:v>134.16563332453183</c:v>
                </c:pt>
                <c:pt idx="904">
                  <c:v>132.85894294948713</c:v>
                </c:pt>
                <c:pt idx="905">
                  <c:v>132.96038316660596</c:v>
                </c:pt>
                <c:pt idx="906">
                  <c:v>131.95233145382048</c:v>
                </c:pt>
                <c:pt idx="907">
                  <c:v>133.86164690782812</c:v>
                </c:pt>
                <c:pt idx="908">
                  <c:v>133.9229789666133</c:v>
                </c:pt>
                <c:pt idx="909">
                  <c:v>132.92896510924459</c:v>
                </c:pt>
                <c:pt idx="910">
                  <c:v>133.23378711258027</c:v>
                </c:pt>
                <c:pt idx="911">
                  <c:v>132.4264433087894</c:v>
                </c:pt>
                <c:pt idx="912">
                  <c:v>132.06513564913385</c:v>
                </c:pt>
                <c:pt idx="913">
                  <c:v>132.40254553111558</c:v>
                </c:pt>
                <c:pt idx="914">
                  <c:v>133.61314344348594</c:v>
                </c:pt>
                <c:pt idx="915">
                  <c:v>135.21880671544264</c:v>
                </c:pt>
                <c:pt idx="916">
                  <c:v>135.52446430541025</c:v>
                </c:pt>
                <c:pt idx="917">
                  <c:v>135.1705098081159</c:v>
                </c:pt>
                <c:pt idx="918">
                  <c:v>135.52697106530613</c:v>
                </c:pt>
                <c:pt idx="919">
                  <c:v>134.19588156060846</c:v>
                </c:pt>
                <c:pt idx="920">
                  <c:v>133.99300112637079</c:v>
                </c:pt>
                <c:pt idx="921">
                  <c:v>132.79109331497273</c:v>
                </c:pt>
                <c:pt idx="922">
                  <c:v>131.66271712718634</c:v>
                </c:pt>
                <c:pt idx="923">
                  <c:v>131.84052996246547</c:v>
                </c:pt>
                <c:pt idx="924">
                  <c:v>131.34034780457969</c:v>
                </c:pt>
                <c:pt idx="925">
                  <c:v>130.70262808707483</c:v>
                </c:pt>
                <c:pt idx="926">
                  <c:v>130.62441717832422</c:v>
                </c:pt>
                <c:pt idx="927">
                  <c:v>130.46047508113546</c:v>
                </c:pt>
                <c:pt idx="928">
                  <c:v>129.91901494363131</c:v>
                </c:pt>
                <c:pt idx="929">
                  <c:v>131.53620931110896</c:v>
                </c:pt>
                <c:pt idx="930">
                  <c:v>130.68090283464409</c:v>
                </c:pt>
                <c:pt idx="931">
                  <c:v>131.00511044784099</c:v>
                </c:pt>
                <c:pt idx="932">
                  <c:v>131.885317405938</c:v>
                </c:pt>
                <c:pt idx="933">
                  <c:v>131.82766192833338</c:v>
                </c:pt>
                <c:pt idx="934">
                  <c:v>131.74961813690916</c:v>
                </c:pt>
                <c:pt idx="935">
                  <c:v>131.34887078822555</c:v>
                </c:pt>
                <c:pt idx="936">
                  <c:v>130.55222249332363</c:v>
                </c:pt>
                <c:pt idx="937">
                  <c:v>130.39646914512798</c:v>
                </c:pt>
                <c:pt idx="938">
                  <c:v>128.80216985136579</c:v>
                </c:pt>
                <c:pt idx="939">
                  <c:v>128.20890334268071</c:v>
                </c:pt>
                <c:pt idx="940">
                  <c:v>127.5105200356962</c:v>
                </c:pt>
                <c:pt idx="941">
                  <c:v>129.30569435577937</c:v>
                </c:pt>
                <c:pt idx="942">
                  <c:v>131.2235327934329</c:v>
                </c:pt>
                <c:pt idx="943">
                  <c:v>132.56147410851256</c:v>
                </c:pt>
                <c:pt idx="944">
                  <c:v>131.03285192402174</c:v>
                </c:pt>
                <c:pt idx="945">
                  <c:v>131.05123482992465</c:v>
                </c:pt>
                <c:pt idx="946">
                  <c:v>130.68909158363718</c:v>
                </c:pt>
                <c:pt idx="947">
                  <c:v>130.77432142009616</c:v>
                </c:pt>
                <c:pt idx="948">
                  <c:v>131.26130130919708</c:v>
                </c:pt>
                <c:pt idx="949">
                  <c:v>131.27266528739162</c:v>
                </c:pt>
                <c:pt idx="950">
                  <c:v>130.44710569502422</c:v>
                </c:pt>
                <c:pt idx="951">
                  <c:v>130.7856853982907</c:v>
                </c:pt>
                <c:pt idx="952">
                  <c:v>130.75125922905434</c:v>
                </c:pt>
                <c:pt idx="953">
                  <c:v>128.95792319956146</c:v>
                </c:pt>
                <c:pt idx="954">
                  <c:v>129.66967589265718</c:v>
                </c:pt>
                <c:pt idx="955">
                  <c:v>129.61954069474012</c:v>
                </c:pt>
                <c:pt idx="956">
                  <c:v>128.48631810448842</c:v>
                </c:pt>
                <c:pt idx="957">
                  <c:v>126.78238984461427</c:v>
                </c:pt>
                <c:pt idx="958">
                  <c:v>125.38261511877025</c:v>
                </c:pt>
                <c:pt idx="959">
                  <c:v>126.46921197495909</c:v>
                </c:pt>
                <c:pt idx="960">
                  <c:v>125.51012563880595</c:v>
                </c:pt>
                <c:pt idx="961">
                  <c:v>125.39949396873565</c:v>
                </c:pt>
                <c:pt idx="962">
                  <c:v>124.42018643608927</c:v>
                </c:pt>
                <c:pt idx="963">
                  <c:v>126.36793887516666</c:v>
                </c:pt>
                <c:pt idx="964">
                  <c:v>125.872937354399</c:v>
                </c:pt>
                <c:pt idx="965">
                  <c:v>128.56035108007924</c:v>
                </c:pt>
                <c:pt idx="966">
                  <c:v>128.89675825810264</c:v>
                </c:pt>
                <c:pt idx="967">
                  <c:v>130.0425146478336</c:v>
                </c:pt>
                <c:pt idx="968">
                  <c:v>129.10799455865978</c:v>
                </c:pt>
                <c:pt idx="969">
                  <c:v>129.46629410644027</c:v>
                </c:pt>
                <c:pt idx="970">
                  <c:v>129.45543148022492</c:v>
                </c:pt>
                <c:pt idx="971">
                  <c:v>129.70042548071288</c:v>
                </c:pt>
                <c:pt idx="972">
                  <c:v>128.60848087007952</c:v>
                </c:pt>
                <c:pt idx="973">
                  <c:v>128.74367878712917</c:v>
                </c:pt>
                <c:pt idx="974">
                  <c:v>128.01070219358192</c:v>
                </c:pt>
                <c:pt idx="975">
                  <c:v>127.7697190089273</c:v>
                </c:pt>
                <c:pt idx="976">
                  <c:v>127.59524852017594</c:v>
                </c:pt>
                <c:pt idx="977">
                  <c:v>128.50052307723146</c:v>
                </c:pt>
                <c:pt idx="978">
                  <c:v>127.6418742542388</c:v>
                </c:pt>
                <c:pt idx="979">
                  <c:v>127.11712584937369</c:v>
                </c:pt>
                <c:pt idx="980">
                  <c:v>126.24594322690174</c:v>
                </c:pt>
                <c:pt idx="981">
                  <c:v>124.37071970747769</c:v>
                </c:pt>
                <c:pt idx="982">
                  <c:v>124.71046923202888</c:v>
                </c:pt>
                <c:pt idx="983">
                  <c:v>123.60983452042325</c:v>
                </c:pt>
                <c:pt idx="984">
                  <c:v>124.232513678553</c:v>
                </c:pt>
                <c:pt idx="985">
                  <c:v>124.07508915709347</c:v>
                </c:pt>
                <c:pt idx="986">
                  <c:v>124.10065810803117</c:v>
                </c:pt>
                <c:pt idx="987">
                  <c:v>123.30685080767789</c:v>
                </c:pt>
                <c:pt idx="988">
                  <c:v>123.56721960219376</c:v>
                </c:pt>
                <c:pt idx="989">
                  <c:v>122.9037638164248</c:v>
                </c:pt>
                <c:pt idx="990">
                  <c:v>123.37386485556033</c:v>
                </c:pt>
                <c:pt idx="991">
                  <c:v>123.63841158323596</c:v>
                </c:pt>
                <c:pt idx="992">
                  <c:v>122.85847502097307</c:v>
                </c:pt>
                <c:pt idx="993">
                  <c:v>123.85599834219596</c:v>
                </c:pt>
                <c:pt idx="994">
                  <c:v>123.71495131872268</c:v>
                </c:pt>
                <c:pt idx="995">
                  <c:v>123.74987883993823</c:v>
                </c:pt>
                <c:pt idx="996">
                  <c:v>122.66261351444382</c:v>
                </c:pt>
                <c:pt idx="997">
                  <c:v>121.44248991446922</c:v>
                </c:pt>
                <c:pt idx="998">
                  <c:v>121.4142470863093</c:v>
                </c:pt>
                <c:pt idx="999">
                  <c:v>120.48524186890637</c:v>
                </c:pt>
                <c:pt idx="1000">
                  <c:v>118.45526770524502</c:v>
                </c:pt>
                <c:pt idx="1001">
                  <c:v>118.66834229639248</c:v>
                </c:pt>
                <c:pt idx="1002">
                  <c:v>119.16635192903519</c:v>
                </c:pt>
                <c:pt idx="1003">
                  <c:v>118.08961499510336</c:v>
                </c:pt>
                <c:pt idx="1004">
                  <c:v>118.98419404326991</c:v>
                </c:pt>
                <c:pt idx="1005">
                  <c:v>118.96547690271422</c:v>
                </c:pt>
                <c:pt idx="1006">
                  <c:v>117.04463035318565</c:v>
                </c:pt>
                <c:pt idx="1007">
                  <c:v>117.10495970801252</c:v>
                </c:pt>
                <c:pt idx="1008">
                  <c:v>119.13125729049327</c:v>
                </c:pt>
                <c:pt idx="1009">
                  <c:v>119.42421396365522</c:v>
                </c:pt>
                <c:pt idx="1010">
                  <c:v>120.96052354516002</c:v>
                </c:pt>
                <c:pt idx="1011">
                  <c:v>121.91610041745898</c:v>
                </c:pt>
                <c:pt idx="1012">
                  <c:v>121.6797965179433</c:v>
                </c:pt>
                <c:pt idx="1013">
                  <c:v>119.59383804994125</c:v>
                </c:pt>
                <c:pt idx="1014">
                  <c:v>118.76443475906687</c:v>
                </c:pt>
                <c:pt idx="1015">
                  <c:v>119.32594897573783</c:v>
                </c:pt>
                <c:pt idx="1016">
                  <c:v>118.13573937718708</c:v>
                </c:pt>
                <c:pt idx="1017">
                  <c:v>118.55804486097503</c:v>
                </c:pt>
                <c:pt idx="1018">
                  <c:v>116.15222383026222</c:v>
                </c:pt>
                <c:pt idx="1019">
                  <c:v>115.56346948938965</c:v>
                </c:pt>
                <c:pt idx="1020">
                  <c:v>118.26141160663248</c:v>
                </c:pt>
                <c:pt idx="1021">
                  <c:v>117.68585953454473</c:v>
                </c:pt>
                <c:pt idx="1022">
                  <c:v>116.00081553255269</c:v>
                </c:pt>
                <c:pt idx="1023">
                  <c:v>114.81160863796028</c:v>
                </c:pt>
                <c:pt idx="1024">
                  <c:v>118.04248790906134</c:v>
                </c:pt>
                <c:pt idx="1025">
                  <c:v>116.13367380703285</c:v>
                </c:pt>
                <c:pt idx="1026">
                  <c:v>117.12935883766548</c:v>
                </c:pt>
                <c:pt idx="1027">
                  <c:v>120.66773398932445</c:v>
                </c:pt>
                <c:pt idx="1028">
                  <c:v>116.85963147287174</c:v>
                </c:pt>
                <c:pt idx="1029">
                  <c:v>119.76764006938701</c:v>
                </c:pt>
                <c:pt idx="1030">
                  <c:v>122.75252263604175</c:v>
                </c:pt>
                <c:pt idx="1031">
                  <c:v>123.07021267350945</c:v>
                </c:pt>
                <c:pt idx="1032">
                  <c:v>122.73497531677077</c:v>
                </c:pt>
                <c:pt idx="1033">
                  <c:v>125.0370164877953</c:v>
                </c:pt>
                <c:pt idx="1034">
                  <c:v>125.03283855463555</c:v>
                </c:pt>
                <c:pt idx="1035">
                  <c:v>125.28468436550554</c:v>
                </c:pt>
                <c:pt idx="1036">
                  <c:v>125.52199096897957</c:v>
                </c:pt>
                <c:pt idx="1037">
                  <c:v>126.81397501930194</c:v>
                </c:pt>
                <c:pt idx="1038">
                  <c:v>126.3542352544026</c:v>
                </c:pt>
                <c:pt idx="1039">
                  <c:v>124.13391445598286</c:v>
                </c:pt>
                <c:pt idx="1040">
                  <c:v>123.61083722438164</c:v>
                </c:pt>
                <c:pt idx="1041">
                  <c:v>123.19906013215629</c:v>
                </c:pt>
                <c:pt idx="1042">
                  <c:v>122.50886557416491</c:v>
                </c:pt>
                <c:pt idx="1043">
                  <c:v>121.29158296873895</c:v>
                </c:pt>
                <c:pt idx="1044">
                  <c:v>119.99959891841659</c:v>
                </c:pt>
                <c:pt idx="1045">
                  <c:v>121.54459860089366</c:v>
                </c:pt>
                <c:pt idx="1046">
                  <c:v>122.50284935041488</c:v>
                </c:pt>
                <c:pt idx="1047">
                  <c:v>124.02545531115567</c:v>
                </c:pt>
                <c:pt idx="1048">
                  <c:v>122.62049994819354</c:v>
                </c:pt>
                <c:pt idx="1049">
                  <c:v>120.49309638324672</c:v>
                </c:pt>
                <c:pt idx="1050">
                  <c:v>120.62912988692831</c:v>
                </c:pt>
                <c:pt idx="1051">
                  <c:v>120.89785454776371</c:v>
                </c:pt>
                <c:pt idx="1052">
                  <c:v>120.98408708818103</c:v>
                </c:pt>
                <c:pt idx="1053">
                  <c:v>121.26751807373876</c:v>
                </c:pt>
                <c:pt idx="1054">
                  <c:v>119.3822675147313</c:v>
                </c:pt>
                <c:pt idx="1055">
                  <c:v>117.20790398106887</c:v>
                </c:pt>
                <c:pt idx="1056">
                  <c:v>116.68064881630788</c:v>
                </c:pt>
                <c:pt idx="1057">
                  <c:v>114.88463890959277</c:v>
                </c:pt>
                <c:pt idx="1058">
                  <c:v>113.25808597183729</c:v>
                </c:pt>
                <c:pt idx="1059">
                  <c:v>117.85080433569181</c:v>
                </c:pt>
                <c:pt idx="1060">
                  <c:v>118.91868405132497</c:v>
                </c:pt>
                <c:pt idx="1061">
                  <c:v>116.43949851432686</c:v>
                </c:pt>
                <c:pt idx="1062">
                  <c:v>121.00882045248676</c:v>
                </c:pt>
                <c:pt idx="1063">
                  <c:v>123.43051762920663</c:v>
                </c:pt>
                <c:pt idx="1064">
                  <c:v>123.85867221941824</c:v>
                </c:pt>
                <c:pt idx="1065">
                  <c:v>123.70826662566711</c:v>
                </c:pt>
                <c:pt idx="1066">
                  <c:v>124.77831886654334</c:v>
                </c:pt>
                <c:pt idx="1067">
                  <c:v>125.43442148995113</c:v>
                </c:pt>
                <c:pt idx="1068">
                  <c:v>123.85332446497375</c:v>
                </c:pt>
                <c:pt idx="1069">
                  <c:v>123.91850022226593</c:v>
                </c:pt>
                <c:pt idx="1070">
                  <c:v>124.67437188952864</c:v>
                </c:pt>
                <c:pt idx="1071">
                  <c:v>123.80101674181363</c:v>
                </c:pt>
                <c:pt idx="1072">
                  <c:v>122.60362109822809</c:v>
                </c:pt>
                <c:pt idx="1073">
                  <c:v>121.92963692089654</c:v>
                </c:pt>
                <c:pt idx="1074">
                  <c:v>121.96690408468153</c:v>
                </c:pt>
                <c:pt idx="1075">
                  <c:v>120.72037594713728</c:v>
                </c:pt>
                <c:pt idx="1076">
                  <c:v>121.34489339585735</c:v>
                </c:pt>
                <c:pt idx="1077">
                  <c:v>120.5213392114066</c:v>
                </c:pt>
                <c:pt idx="1078">
                  <c:v>119.54854925448944</c:v>
                </c:pt>
                <c:pt idx="1079">
                  <c:v>119.71583369820601</c:v>
                </c:pt>
                <c:pt idx="1080">
                  <c:v>119.61238807317051</c:v>
                </c:pt>
                <c:pt idx="1081">
                  <c:v>119.26428268229978</c:v>
                </c:pt>
                <c:pt idx="1082">
                  <c:v>118.28413956302145</c:v>
                </c:pt>
                <c:pt idx="1083">
                  <c:v>118.07724831295042</c:v>
                </c:pt>
                <c:pt idx="1084">
                  <c:v>117.09743942832488</c:v>
                </c:pt>
                <c:pt idx="1085">
                  <c:v>115.36760798286028</c:v>
                </c:pt>
                <c:pt idx="1086">
                  <c:v>116.14921571838707</c:v>
                </c:pt>
                <c:pt idx="1087">
                  <c:v>115.96839477123292</c:v>
                </c:pt>
                <c:pt idx="1088">
                  <c:v>115.91675551737836</c:v>
                </c:pt>
                <c:pt idx="1089">
                  <c:v>116.31299069824944</c:v>
                </c:pt>
                <c:pt idx="1090">
                  <c:v>116.40323405450012</c:v>
                </c:pt>
                <c:pt idx="1091">
                  <c:v>116.32970243088846</c:v>
                </c:pt>
                <c:pt idx="1092">
                  <c:v>116.37799933821522</c:v>
                </c:pt>
                <c:pt idx="1093">
                  <c:v>116.89455899408722</c:v>
                </c:pt>
                <c:pt idx="1094">
                  <c:v>115.92227038914923</c:v>
                </c:pt>
                <c:pt idx="1095">
                  <c:v>114.58449619139596</c:v>
                </c:pt>
                <c:pt idx="1096">
                  <c:v>114.90653127934981</c:v>
                </c:pt>
                <c:pt idx="1097">
                  <c:v>114.68125712337586</c:v>
                </c:pt>
                <c:pt idx="1098">
                  <c:v>114.89449883184972</c:v>
                </c:pt>
                <c:pt idx="1099">
                  <c:v>114.30958818948415</c:v>
                </c:pt>
                <c:pt idx="1100">
                  <c:v>113.85436059239733</c:v>
                </c:pt>
                <c:pt idx="1101">
                  <c:v>113.24505082037878</c:v>
                </c:pt>
                <c:pt idx="1102">
                  <c:v>113.00824556888391</c:v>
                </c:pt>
                <c:pt idx="1103">
                  <c:v>113.22817197041337</c:v>
                </c:pt>
                <c:pt idx="1104">
                  <c:v>114.43509330160315</c:v>
                </c:pt>
                <c:pt idx="1105">
                  <c:v>114.87594880862041</c:v>
                </c:pt>
                <c:pt idx="1106">
                  <c:v>114.04738110437798</c:v>
                </c:pt>
                <c:pt idx="1107">
                  <c:v>115.51751222463226</c:v>
                </c:pt>
                <c:pt idx="1108">
                  <c:v>114.95198719212796</c:v>
                </c:pt>
                <c:pt idx="1109">
                  <c:v>115.12980002740709</c:v>
                </c:pt>
                <c:pt idx="1110">
                  <c:v>114.76548425587653</c:v>
                </c:pt>
                <c:pt idx="1111">
                  <c:v>114.68393100059812</c:v>
                </c:pt>
                <c:pt idx="1112">
                  <c:v>113.4845299490959</c:v>
                </c:pt>
                <c:pt idx="1113">
                  <c:v>113.3521730265949</c:v>
                </c:pt>
                <c:pt idx="1114">
                  <c:v>113.52764621930457</c:v>
                </c:pt>
                <c:pt idx="1115">
                  <c:v>112.07238854109902</c:v>
                </c:pt>
                <c:pt idx="1116">
                  <c:v>112.60148199645029</c:v>
                </c:pt>
                <c:pt idx="1117">
                  <c:v>112.93120448141809</c:v>
                </c:pt>
                <c:pt idx="1118">
                  <c:v>112.81990434204224</c:v>
                </c:pt>
                <c:pt idx="1119">
                  <c:v>112.80503089999351</c:v>
                </c:pt>
                <c:pt idx="1120">
                  <c:v>113.45795829419988</c:v>
                </c:pt>
                <c:pt idx="1121">
                  <c:v>113.10132991968325</c:v>
                </c:pt>
                <c:pt idx="1122">
                  <c:v>113.4131708507273</c:v>
                </c:pt>
                <c:pt idx="1123">
                  <c:v>113.04551273266893</c:v>
                </c:pt>
                <c:pt idx="1124">
                  <c:v>112.21828196703761</c:v>
                </c:pt>
                <c:pt idx="1125">
                  <c:v>112.24485362193366</c:v>
                </c:pt>
                <c:pt idx="1126">
                  <c:v>112.4310223235323</c:v>
                </c:pt>
                <c:pt idx="1127">
                  <c:v>111.95122847946614</c:v>
                </c:pt>
                <c:pt idx="1128">
                  <c:v>111.98966546453589</c:v>
                </c:pt>
                <c:pt idx="1129">
                  <c:v>109.5749872155244</c:v>
                </c:pt>
                <c:pt idx="1130">
                  <c:v>109.6939747519142</c:v>
                </c:pt>
                <c:pt idx="1131">
                  <c:v>110.27119799726583</c:v>
                </c:pt>
                <c:pt idx="1132">
                  <c:v>110.07734189865324</c:v>
                </c:pt>
                <c:pt idx="1133">
                  <c:v>110.78291125067253</c:v>
                </c:pt>
                <c:pt idx="1134">
                  <c:v>110.38216390198889</c:v>
                </c:pt>
                <c:pt idx="1135">
                  <c:v>110.70219358202607</c:v>
                </c:pt>
                <c:pt idx="1136">
                  <c:v>110.69283501174823</c:v>
                </c:pt>
                <c:pt idx="1137">
                  <c:v>110.6985170008455</c:v>
                </c:pt>
                <c:pt idx="1138">
                  <c:v>110.39436346681539</c:v>
                </c:pt>
                <c:pt idx="1139">
                  <c:v>110.15555280740385</c:v>
                </c:pt>
                <c:pt idx="1140">
                  <c:v>110.35676206837762</c:v>
                </c:pt>
                <c:pt idx="1141">
                  <c:v>110.08436082636165</c:v>
                </c:pt>
                <c:pt idx="1142">
                  <c:v>109.95868859691625</c:v>
                </c:pt>
                <c:pt idx="1143">
                  <c:v>110.13332620299397</c:v>
                </c:pt>
                <c:pt idx="1144">
                  <c:v>110.05277565167391</c:v>
                </c:pt>
                <c:pt idx="1145">
                  <c:v>109.20498945489661</c:v>
                </c:pt>
                <c:pt idx="1146">
                  <c:v>109.15619119559068</c:v>
                </c:pt>
                <c:pt idx="1147">
                  <c:v>108.90568232333182</c:v>
                </c:pt>
                <c:pt idx="1148">
                  <c:v>108.55874675374584</c:v>
                </c:pt>
                <c:pt idx="1149">
                  <c:v>107.84833099926124</c:v>
                </c:pt>
                <c:pt idx="1150">
                  <c:v>107.84515577005982</c:v>
                </c:pt>
                <c:pt idx="1151">
                  <c:v>106.62352811414772</c:v>
                </c:pt>
                <c:pt idx="1152">
                  <c:v>106.46359683279233</c:v>
                </c:pt>
                <c:pt idx="1153">
                  <c:v>107.40496873234814</c:v>
                </c:pt>
                <c:pt idx="1154">
                  <c:v>107.33427810328509</c:v>
                </c:pt>
                <c:pt idx="1155">
                  <c:v>107.89161438679629</c:v>
                </c:pt>
                <c:pt idx="1156">
                  <c:v>107.9798523351303</c:v>
                </c:pt>
                <c:pt idx="1157">
                  <c:v>107.86821796110168</c:v>
                </c:pt>
                <c:pt idx="1158">
                  <c:v>107.76510657071896</c:v>
                </c:pt>
                <c:pt idx="1159">
                  <c:v>107.44106607484842</c:v>
                </c:pt>
                <c:pt idx="1160">
                  <c:v>107.96096807724822</c:v>
                </c:pt>
                <c:pt idx="1161">
                  <c:v>107.86220173735164</c:v>
                </c:pt>
                <c:pt idx="1162">
                  <c:v>107.4942093846405</c:v>
                </c:pt>
                <c:pt idx="1163">
                  <c:v>106.28979481334656</c:v>
                </c:pt>
                <c:pt idx="1164">
                  <c:v>106.91949289918472</c:v>
                </c:pt>
                <c:pt idx="1165">
                  <c:v>106.84328739835081</c:v>
                </c:pt>
                <c:pt idx="1166">
                  <c:v>106.54682126133464</c:v>
                </c:pt>
                <c:pt idx="1167">
                  <c:v>107.54551440384228</c:v>
                </c:pt>
                <c:pt idx="1168">
                  <c:v>107.43404714714005</c:v>
                </c:pt>
                <c:pt idx="1169">
                  <c:v>106.42549408237542</c:v>
                </c:pt>
                <c:pt idx="1170">
                  <c:v>105.31550080049195</c:v>
                </c:pt>
                <c:pt idx="1171">
                  <c:v>105.0001504055937</c:v>
                </c:pt>
                <c:pt idx="1172">
                  <c:v>104.7097004923276</c:v>
                </c:pt>
                <c:pt idx="1173">
                  <c:v>104.8047902510436</c:v>
                </c:pt>
                <c:pt idx="1174">
                  <c:v>104.92310931812784</c:v>
                </c:pt>
                <c:pt idx="1175">
                  <c:v>105.24180205955388</c:v>
                </c:pt>
                <c:pt idx="1176">
                  <c:v>103.83216741145283</c:v>
                </c:pt>
                <c:pt idx="1177">
                  <c:v>103.88898730242548</c:v>
                </c:pt>
                <c:pt idx="1178">
                  <c:v>103.97889642402339</c:v>
                </c:pt>
                <c:pt idx="1179">
                  <c:v>106.03778188515022</c:v>
                </c:pt>
                <c:pt idx="1180">
                  <c:v>105.83556992021815</c:v>
                </c:pt>
                <c:pt idx="1181">
                  <c:v>105.95622862987184</c:v>
                </c:pt>
                <c:pt idx="1182">
                  <c:v>104.55795795996535</c:v>
                </c:pt>
                <c:pt idx="1183">
                  <c:v>103.89466929152276</c:v>
                </c:pt>
                <c:pt idx="1184">
                  <c:v>106.15844059480393</c:v>
                </c:pt>
                <c:pt idx="1185">
                  <c:v>106.46142430754931</c:v>
                </c:pt>
                <c:pt idx="1186">
                  <c:v>106.68385746897462</c:v>
                </c:pt>
                <c:pt idx="1187">
                  <c:v>106.14557256067191</c:v>
                </c:pt>
                <c:pt idx="1188">
                  <c:v>105.95806692046214</c:v>
                </c:pt>
                <c:pt idx="1189">
                  <c:v>106.33090567563859</c:v>
                </c:pt>
                <c:pt idx="1190">
                  <c:v>106.33575207810391</c:v>
                </c:pt>
                <c:pt idx="1191">
                  <c:v>106.08808420039369</c:v>
                </c:pt>
                <c:pt idx="1192">
                  <c:v>106.53194781928597</c:v>
                </c:pt>
                <c:pt idx="1193">
                  <c:v>106.65745293140498</c:v>
                </c:pt>
                <c:pt idx="1194">
                  <c:v>107.33528080724349</c:v>
                </c:pt>
                <c:pt idx="1195">
                  <c:v>107.1584706759227</c:v>
                </c:pt>
                <c:pt idx="1196">
                  <c:v>107.13574271953364</c:v>
                </c:pt>
                <c:pt idx="1197">
                  <c:v>106.75037016487791</c:v>
                </c:pt>
                <c:pt idx="1198">
                  <c:v>106.78797156331569</c:v>
                </c:pt>
                <c:pt idx="1199">
                  <c:v>106.70508136942617</c:v>
                </c:pt>
                <c:pt idx="1200">
                  <c:v>106.02441249903903</c:v>
                </c:pt>
                <c:pt idx="1201">
                  <c:v>105.52506592778522</c:v>
                </c:pt>
                <c:pt idx="1202">
                  <c:v>105.49231093181275</c:v>
                </c:pt>
                <c:pt idx="1203">
                  <c:v>104.85676373955094</c:v>
                </c:pt>
                <c:pt idx="1204">
                  <c:v>104.63499904743119</c:v>
                </c:pt>
                <c:pt idx="1205">
                  <c:v>103.50077375322115</c:v>
                </c:pt>
                <c:pt idx="1206">
                  <c:v>103.21817835429539</c:v>
                </c:pt>
                <c:pt idx="1207">
                  <c:v>102.82862786647991</c:v>
                </c:pt>
                <c:pt idx="1208">
                  <c:v>101.76542743598567</c:v>
                </c:pt>
                <c:pt idx="1209">
                  <c:v>102.79152782002129</c:v>
                </c:pt>
                <c:pt idx="1210">
                  <c:v>102.10968912834942</c:v>
                </c:pt>
                <c:pt idx="1211">
                  <c:v>102.61705733126996</c:v>
                </c:pt>
                <c:pt idx="1212">
                  <c:v>102.6827344405413</c:v>
                </c:pt>
                <c:pt idx="1213">
                  <c:v>104.18779308201113</c:v>
                </c:pt>
                <c:pt idx="1214">
                  <c:v>102.72067007363187</c:v>
                </c:pt>
                <c:pt idx="1215">
                  <c:v>104.4007005558322</c:v>
                </c:pt>
                <c:pt idx="1216">
                  <c:v>104.70318291659841</c:v>
                </c:pt>
                <c:pt idx="1217">
                  <c:v>104.22589583242809</c:v>
                </c:pt>
                <c:pt idx="1218">
                  <c:v>104.1801056849972</c:v>
                </c:pt>
                <c:pt idx="1219">
                  <c:v>103.41270292221355</c:v>
                </c:pt>
                <c:pt idx="1220">
                  <c:v>104.26466705215061</c:v>
                </c:pt>
                <c:pt idx="1221">
                  <c:v>102.80656837939642</c:v>
                </c:pt>
                <c:pt idx="1222">
                  <c:v>103.0361875858565</c:v>
                </c:pt>
                <c:pt idx="1223">
                  <c:v>103.5273454081172</c:v>
                </c:pt>
                <c:pt idx="1224">
                  <c:v>103.95316035575934</c:v>
                </c:pt>
                <c:pt idx="1225">
                  <c:v>103.20263644294111</c:v>
                </c:pt>
                <c:pt idx="1226">
                  <c:v>103.74509928440359</c:v>
                </c:pt>
                <c:pt idx="1227">
                  <c:v>105.64756292802925</c:v>
                </c:pt>
                <c:pt idx="1228">
                  <c:v>105.24013088629003</c:v>
                </c:pt>
                <c:pt idx="1229">
                  <c:v>104.8671250137872</c:v>
                </c:pt>
                <c:pt idx="1230">
                  <c:v>105.21172094080373</c:v>
                </c:pt>
                <c:pt idx="1231">
                  <c:v>105.38084367511057</c:v>
                </c:pt>
                <c:pt idx="1232">
                  <c:v>104.39535280138776</c:v>
                </c:pt>
                <c:pt idx="1233">
                  <c:v>103.58800899759689</c:v>
                </c:pt>
                <c:pt idx="1234">
                  <c:v>103.66605278902108</c:v>
                </c:pt>
                <c:pt idx="1235">
                  <c:v>103.78303491749419</c:v>
                </c:pt>
                <c:pt idx="1236">
                  <c:v>103.70064607558385</c:v>
                </c:pt>
                <c:pt idx="1237">
                  <c:v>102.9947424889118</c:v>
                </c:pt>
                <c:pt idx="1238">
                  <c:v>102.58848026845729</c:v>
                </c:pt>
                <c:pt idx="1239">
                  <c:v>102.50341754932469</c:v>
                </c:pt>
                <c:pt idx="1240">
                  <c:v>101.66916785598498</c:v>
                </c:pt>
                <c:pt idx="1241">
                  <c:v>101.19171365448828</c:v>
                </c:pt>
                <c:pt idx="1242">
                  <c:v>100.45823570896184</c:v>
                </c:pt>
                <c:pt idx="1243">
                  <c:v>103.10921785748904</c:v>
                </c:pt>
                <c:pt idx="1244">
                  <c:v>102.7716408581809</c:v>
                </c:pt>
                <c:pt idx="1245">
                  <c:v>102.29635918192727</c:v>
                </c:pt>
                <c:pt idx="1246">
                  <c:v>102.20828835091967</c:v>
                </c:pt>
                <c:pt idx="1247">
                  <c:v>102.42854898710192</c:v>
                </c:pt>
                <c:pt idx="1248">
                  <c:v>102.28566367303833</c:v>
                </c:pt>
                <c:pt idx="1249">
                  <c:v>101.98602230682076</c:v>
                </c:pt>
                <c:pt idx="1250">
                  <c:v>101.95427001480662</c:v>
                </c:pt>
                <c:pt idx="1251">
                  <c:v>101.52945777112282</c:v>
                </c:pt>
                <c:pt idx="1252">
                  <c:v>101.48283203705996</c:v>
                </c:pt>
                <c:pt idx="1253">
                  <c:v>101.86419377588231</c:v>
                </c:pt>
                <c:pt idx="1254">
                  <c:v>101.80119054383323</c:v>
                </c:pt>
                <c:pt idx="1255">
                  <c:v>101.06604142504287</c:v>
                </c:pt>
                <c:pt idx="1256">
                  <c:v>101.08826802945276</c:v>
                </c:pt>
                <c:pt idx="1257">
                  <c:v>100.69203284858168</c:v>
                </c:pt>
                <c:pt idx="1258">
                  <c:v>100.69637789906783</c:v>
                </c:pt>
                <c:pt idx="12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3-4E8C-B41A-D8CFD05D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100"/>
        <c:crosses val="autoZero"/>
        <c:auto val="0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AAPL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Historicos!$C$1</c:f>
              <c:strCache>
                <c:ptCount val="1"/>
                <c:pt idx="0">
                  <c:v>r AAPL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Historicos!$A$2:$A$1261</c:f>
              <c:numCache>
                <c:formatCode>m/d/yyyy</c:formatCode>
                <c:ptCount val="1260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44655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44648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44627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  <c:pt idx="42">
                  <c:v>44614</c:v>
                </c:pt>
                <c:pt idx="43">
                  <c:v>44610</c:v>
                </c:pt>
                <c:pt idx="44">
                  <c:v>44609</c:v>
                </c:pt>
                <c:pt idx="45">
                  <c:v>44608</c:v>
                </c:pt>
                <c:pt idx="46">
                  <c:v>44607</c:v>
                </c:pt>
                <c:pt idx="47">
                  <c:v>44606</c:v>
                </c:pt>
                <c:pt idx="48">
                  <c:v>44603</c:v>
                </c:pt>
                <c:pt idx="49">
                  <c:v>44602</c:v>
                </c:pt>
                <c:pt idx="50">
                  <c:v>44601</c:v>
                </c:pt>
                <c:pt idx="51">
                  <c:v>44600</c:v>
                </c:pt>
                <c:pt idx="52">
                  <c:v>44599</c:v>
                </c:pt>
                <c:pt idx="53">
                  <c:v>44596</c:v>
                </c:pt>
                <c:pt idx="54">
                  <c:v>44595</c:v>
                </c:pt>
                <c:pt idx="55">
                  <c:v>44594</c:v>
                </c:pt>
                <c:pt idx="56">
                  <c:v>44593</c:v>
                </c:pt>
                <c:pt idx="57">
                  <c:v>44592</c:v>
                </c:pt>
                <c:pt idx="58">
                  <c:v>44589</c:v>
                </c:pt>
                <c:pt idx="59">
                  <c:v>44588</c:v>
                </c:pt>
                <c:pt idx="60">
                  <c:v>44587</c:v>
                </c:pt>
                <c:pt idx="61">
                  <c:v>44586</c:v>
                </c:pt>
                <c:pt idx="62">
                  <c:v>44585</c:v>
                </c:pt>
                <c:pt idx="63">
                  <c:v>44582</c:v>
                </c:pt>
                <c:pt idx="64">
                  <c:v>44581</c:v>
                </c:pt>
                <c:pt idx="65">
                  <c:v>44580</c:v>
                </c:pt>
                <c:pt idx="66">
                  <c:v>44579</c:v>
                </c:pt>
                <c:pt idx="67">
                  <c:v>44575</c:v>
                </c:pt>
                <c:pt idx="68">
                  <c:v>44574</c:v>
                </c:pt>
                <c:pt idx="69">
                  <c:v>44573</c:v>
                </c:pt>
                <c:pt idx="70">
                  <c:v>44572</c:v>
                </c:pt>
                <c:pt idx="71">
                  <c:v>44571</c:v>
                </c:pt>
                <c:pt idx="72">
                  <c:v>44568</c:v>
                </c:pt>
                <c:pt idx="73">
                  <c:v>44567</c:v>
                </c:pt>
                <c:pt idx="74">
                  <c:v>44566</c:v>
                </c:pt>
                <c:pt idx="75">
                  <c:v>44565</c:v>
                </c:pt>
                <c:pt idx="76">
                  <c:v>44564</c:v>
                </c:pt>
                <c:pt idx="77">
                  <c:v>44561</c:v>
                </c:pt>
                <c:pt idx="78">
                  <c:v>44560</c:v>
                </c:pt>
                <c:pt idx="79">
                  <c:v>44559</c:v>
                </c:pt>
                <c:pt idx="80">
                  <c:v>44558</c:v>
                </c:pt>
                <c:pt idx="81">
                  <c:v>44557</c:v>
                </c:pt>
                <c:pt idx="82">
                  <c:v>44553</c:v>
                </c:pt>
                <c:pt idx="83">
                  <c:v>44552</c:v>
                </c:pt>
                <c:pt idx="84">
                  <c:v>44551</c:v>
                </c:pt>
                <c:pt idx="85">
                  <c:v>44550</c:v>
                </c:pt>
                <c:pt idx="86">
                  <c:v>44547</c:v>
                </c:pt>
                <c:pt idx="87">
                  <c:v>44546</c:v>
                </c:pt>
                <c:pt idx="88">
                  <c:v>44545</c:v>
                </c:pt>
                <c:pt idx="89">
                  <c:v>44544</c:v>
                </c:pt>
                <c:pt idx="90">
                  <c:v>44543</c:v>
                </c:pt>
                <c:pt idx="91">
                  <c:v>44540</c:v>
                </c:pt>
                <c:pt idx="92">
                  <c:v>44539</c:v>
                </c:pt>
                <c:pt idx="93">
                  <c:v>44538</c:v>
                </c:pt>
                <c:pt idx="94">
                  <c:v>44537</c:v>
                </c:pt>
                <c:pt idx="95">
                  <c:v>44536</c:v>
                </c:pt>
                <c:pt idx="96">
                  <c:v>44533</c:v>
                </c:pt>
                <c:pt idx="97">
                  <c:v>44532</c:v>
                </c:pt>
                <c:pt idx="98">
                  <c:v>44531</c:v>
                </c:pt>
                <c:pt idx="99">
                  <c:v>44530</c:v>
                </c:pt>
                <c:pt idx="100">
                  <c:v>44529</c:v>
                </c:pt>
                <c:pt idx="101">
                  <c:v>44526</c:v>
                </c:pt>
                <c:pt idx="102">
                  <c:v>44524</c:v>
                </c:pt>
                <c:pt idx="103">
                  <c:v>44523</c:v>
                </c:pt>
                <c:pt idx="104">
                  <c:v>44522</c:v>
                </c:pt>
                <c:pt idx="105">
                  <c:v>44519</c:v>
                </c:pt>
                <c:pt idx="106">
                  <c:v>44518</c:v>
                </c:pt>
                <c:pt idx="107">
                  <c:v>44517</c:v>
                </c:pt>
                <c:pt idx="108">
                  <c:v>44516</c:v>
                </c:pt>
                <c:pt idx="109">
                  <c:v>44515</c:v>
                </c:pt>
                <c:pt idx="110">
                  <c:v>44512</c:v>
                </c:pt>
                <c:pt idx="111">
                  <c:v>44511</c:v>
                </c:pt>
                <c:pt idx="112">
                  <c:v>44510</c:v>
                </c:pt>
                <c:pt idx="113">
                  <c:v>44509</c:v>
                </c:pt>
                <c:pt idx="114">
                  <c:v>44508</c:v>
                </c:pt>
                <c:pt idx="115">
                  <c:v>44505</c:v>
                </c:pt>
                <c:pt idx="116">
                  <c:v>44504</c:v>
                </c:pt>
                <c:pt idx="117">
                  <c:v>44503</c:v>
                </c:pt>
                <c:pt idx="118">
                  <c:v>44502</c:v>
                </c:pt>
                <c:pt idx="119">
                  <c:v>44501</c:v>
                </c:pt>
                <c:pt idx="120">
                  <c:v>44498</c:v>
                </c:pt>
                <c:pt idx="121">
                  <c:v>44497</c:v>
                </c:pt>
                <c:pt idx="122">
                  <c:v>44496</c:v>
                </c:pt>
                <c:pt idx="123">
                  <c:v>44495</c:v>
                </c:pt>
                <c:pt idx="124">
                  <c:v>44494</c:v>
                </c:pt>
                <c:pt idx="125">
                  <c:v>44491</c:v>
                </c:pt>
                <c:pt idx="126">
                  <c:v>44490</c:v>
                </c:pt>
                <c:pt idx="127">
                  <c:v>44489</c:v>
                </c:pt>
                <c:pt idx="128">
                  <c:v>44488</c:v>
                </c:pt>
                <c:pt idx="129">
                  <c:v>44487</c:v>
                </c:pt>
                <c:pt idx="130">
                  <c:v>44484</c:v>
                </c:pt>
                <c:pt idx="131">
                  <c:v>44483</c:v>
                </c:pt>
                <c:pt idx="132">
                  <c:v>44482</c:v>
                </c:pt>
                <c:pt idx="133">
                  <c:v>44481</c:v>
                </c:pt>
                <c:pt idx="134">
                  <c:v>44480</c:v>
                </c:pt>
                <c:pt idx="135">
                  <c:v>44477</c:v>
                </c:pt>
                <c:pt idx="136">
                  <c:v>44476</c:v>
                </c:pt>
                <c:pt idx="137">
                  <c:v>44475</c:v>
                </c:pt>
                <c:pt idx="138">
                  <c:v>44474</c:v>
                </c:pt>
                <c:pt idx="139">
                  <c:v>44473</c:v>
                </c:pt>
                <c:pt idx="140">
                  <c:v>44470</c:v>
                </c:pt>
                <c:pt idx="141">
                  <c:v>44469</c:v>
                </c:pt>
                <c:pt idx="142">
                  <c:v>44468</c:v>
                </c:pt>
                <c:pt idx="143">
                  <c:v>44467</c:v>
                </c:pt>
                <c:pt idx="144">
                  <c:v>44466</c:v>
                </c:pt>
                <c:pt idx="145">
                  <c:v>44463</c:v>
                </c:pt>
                <c:pt idx="146">
                  <c:v>44462</c:v>
                </c:pt>
                <c:pt idx="147">
                  <c:v>44461</c:v>
                </c:pt>
                <c:pt idx="148">
                  <c:v>44460</c:v>
                </c:pt>
                <c:pt idx="149">
                  <c:v>44459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44449</c:v>
                </c:pt>
                <c:pt idx="156">
                  <c:v>44448</c:v>
                </c:pt>
                <c:pt idx="157">
                  <c:v>44447</c:v>
                </c:pt>
                <c:pt idx="158">
                  <c:v>44446</c:v>
                </c:pt>
                <c:pt idx="159">
                  <c:v>44442</c:v>
                </c:pt>
                <c:pt idx="160">
                  <c:v>44441</c:v>
                </c:pt>
                <c:pt idx="161">
                  <c:v>44440</c:v>
                </c:pt>
                <c:pt idx="162">
                  <c:v>44439</c:v>
                </c:pt>
                <c:pt idx="163">
                  <c:v>44438</c:v>
                </c:pt>
                <c:pt idx="164">
                  <c:v>44435</c:v>
                </c:pt>
                <c:pt idx="165">
                  <c:v>44434</c:v>
                </c:pt>
                <c:pt idx="166">
                  <c:v>44433</c:v>
                </c:pt>
                <c:pt idx="167">
                  <c:v>44432</c:v>
                </c:pt>
                <c:pt idx="168">
                  <c:v>44431</c:v>
                </c:pt>
                <c:pt idx="169">
                  <c:v>44428</c:v>
                </c:pt>
                <c:pt idx="170">
                  <c:v>44427</c:v>
                </c:pt>
                <c:pt idx="171">
                  <c:v>44426</c:v>
                </c:pt>
                <c:pt idx="172">
                  <c:v>44425</c:v>
                </c:pt>
                <c:pt idx="173">
                  <c:v>44424</c:v>
                </c:pt>
                <c:pt idx="174">
                  <c:v>44421</c:v>
                </c:pt>
                <c:pt idx="175">
                  <c:v>44420</c:v>
                </c:pt>
                <c:pt idx="176">
                  <c:v>44419</c:v>
                </c:pt>
                <c:pt idx="177">
                  <c:v>44418</c:v>
                </c:pt>
                <c:pt idx="178">
                  <c:v>44417</c:v>
                </c:pt>
                <c:pt idx="179">
                  <c:v>44414</c:v>
                </c:pt>
                <c:pt idx="180">
                  <c:v>44413</c:v>
                </c:pt>
                <c:pt idx="181">
                  <c:v>44412</c:v>
                </c:pt>
                <c:pt idx="182">
                  <c:v>44411</c:v>
                </c:pt>
                <c:pt idx="183">
                  <c:v>44410</c:v>
                </c:pt>
                <c:pt idx="184">
                  <c:v>44407</c:v>
                </c:pt>
                <c:pt idx="185">
                  <c:v>44406</c:v>
                </c:pt>
                <c:pt idx="186">
                  <c:v>44405</c:v>
                </c:pt>
                <c:pt idx="187">
                  <c:v>44404</c:v>
                </c:pt>
                <c:pt idx="188">
                  <c:v>44403</c:v>
                </c:pt>
                <c:pt idx="189">
                  <c:v>44400</c:v>
                </c:pt>
                <c:pt idx="190">
                  <c:v>44399</c:v>
                </c:pt>
                <c:pt idx="191">
                  <c:v>44398</c:v>
                </c:pt>
                <c:pt idx="192">
                  <c:v>44397</c:v>
                </c:pt>
                <c:pt idx="193">
                  <c:v>44396</c:v>
                </c:pt>
                <c:pt idx="194">
                  <c:v>44393</c:v>
                </c:pt>
                <c:pt idx="195">
                  <c:v>44392</c:v>
                </c:pt>
                <c:pt idx="196">
                  <c:v>44391</c:v>
                </c:pt>
                <c:pt idx="197">
                  <c:v>44390</c:v>
                </c:pt>
                <c:pt idx="198">
                  <c:v>44389</c:v>
                </c:pt>
                <c:pt idx="199">
                  <c:v>44386</c:v>
                </c:pt>
                <c:pt idx="200">
                  <c:v>44385</c:v>
                </c:pt>
                <c:pt idx="201">
                  <c:v>44384</c:v>
                </c:pt>
                <c:pt idx="202">
                  <c:v>44383</c:v>
                </c:pt>
                <c:pt idx="203">
                  <c:v>44379</c:v>
                </c:pt>
                <c:pt idx="204">
                  <c:v>44378</c:v>
                </c:pt>
                <c:pt idx="205">
                  <c:v>44377</c:v>
                </c:pt>
                <c:pt idx="206">
                  <c:v>44376</c:v>
                </c:pt>
                <c:pt idx="207">
                  <c:v>44375</c:v>
                </c:pt>
                <c:pt idx="208">
                  <c:v>44372</c:v>
                </c:pt>
                <c:pt idx="209">
                  <c:v>44371</c:v>
                </c:pt>
                <c:pt idx="210">
                  <c:v>44370</c:v>
                </c:pt>
                <c:pt idx="211">
                  <c:v>44369</c:v>
                </c:pt>
                <c:pt idx="212">
                  <c:v>44368</c:v>
                </c:pt>
                <c:pt idx="213">
                  <c:v>44365</c:v>
                </c:pt>
                <c:pt idx="214">
                  <c:v>44364</c:v>
                </c:pt>
                <c:pt idx="215">
                  <c:v>44363</c:v>
                </c:pt>
                <c:pt idx="216">
                  <c:v>44362</c:v>
                </c:pt>
                <c:pt idx="217">
                  <c:v>44361</c:v>
                </c:pt>
                <c:pt idx="218">
                  <c:v>44358</c:v>
                </c:pt>
                <c:pt idx="219">
                  <c:v>44357</c:v>
                </c:pt>
                <c:pt idx="220">
                  <c:v>44356</c:v>
                </c:pt>
                <c:pt idx="221">
                  <c:v>44355</c:v>
                </c:pt>
                <c:pt idx="222">
                  <c:v>44354</c:v>
                </c:pt>
                <c:pt idx="223">
                  <c:v>44351</c:v>
                </c:pt>
                <c:pt idx="224">
                  <c:v>44350</c:v>
                </c:pt>
                <c:pt idx="225">
                  <c:v>44349</c:v>
                </c:pt>
                <c:pt idx="226">
                  <c:v>44348</c:v>
                </c:pt>
                <c:pt idx="227">
                  <c:v>44344</c:v>
                </c:pt>
                <c:pt idx="228">
                  <c:v>44343</c:v>
                </c:pt>
                <c:pt idx="229">
                  <c:v>44342</c:v>
                </c:pt>
                <c:pt idx="230">
                  <c:v>44341</c:v>
                </c:pt>
                <c:pt idx="231">
                  <c:v>44340</c:v>
                </c:pt>
                <c:pt idx="232">
                  <c:v>44337</c:v>
                </c:pt>
                <c:pt idx="233">
                  <c:v>44336</c:v>
                </c:pt>
                <c:pt idx="234">
                  <c:v>44335</c:v>
                </c:pt>
                <c:pt idx="235">
                  <c:v>44334</c:v>
                </c:pt>
                <c:pt idx="236">
                  <c:v>44333</c:v>
                </c:pt>
                <c:pt idx="237">
                  <c:v>44330</c:v>
                </c:pt>
                <c:pt idx="238">
                  <c:v>44329</c:v>
                </c:pt>
                <c:pt idx="239">
                  <c:v>44328</c:v>
                </c:pt>
                <c:pt idx="240">
                  <c:v>44327</c:v>
                </c:pt>
                <c:pt idx="241">
                  <c:v>44326</c:v>
                </c:pt>
                <c:pt idx="242">
                  <c:v>44323</c:v>
                </c:pt>
                <c:pt idx="243">
                  <c:v>44322</c:v>
                </c:pt>
                <c:pt idx="244">
                  <c:v>44321</c:v>
                </c:pt>
                <c:pt idx="245">
                  <c:v>44320</c:v>
                </c:pt>
                <c:pt idx="246">
                  <c:v>44319</c:v>
                </c:pt>
                <c:pt idx="247">
                  <c:v>44316</c:v>
                </c:pt>
                <c:pt idx="248">
                  <c:v>44315</c:v>
                </c:pt>
                <c:pt idx="249">
                  <c:v>44314</c:v>
                </c:pt>
                <c:pt idx="250">
                  <c:v>44313</c:v>
                </c:pt>
                <c:pt idx="251">
                  <c:v>44312</c:v>
                </c:pt>
                <c:pt idx="252">
                  <c:v>44309</c:v>
                </c:pt>
                <c:pt idx="253">
                  <c:v>44308</c:v>
                </c:pt>
                <c:pt idx="254">
                  <c:v>44307</c:v>
                </c:pt>
                <c:pt idx="255">
                  <c:v>44306</c:v>
                </c:pt>
                <c:pt idx="256">
                  <c:v>44305</c:v>
                </c:pt>
                <c:pt idx="257">
                  <c:v>44302</c:v>
                </c:pt>
                <c:pt idx="258">
                  <c:v>44301</c:v>
                </c:pt>
                <c:pt idx="259">
                  <c:v>44300</c:v>
                </c:pt>
                <c:pt idx="260">
                  <c:v>44299</c:v>
                </c:pt>
                <c:pt idx="261">
                  <c:v>44298</c:v>
                </c:pt>
                <c:pt idx="262">
                  <c:v>44295</c:v>
                </c:pt>
                <c:pt idx="263">
                  <c:v>44294</c:v>
                </c:pt>
                <c:pt idx="264">
                  <c:v>44293</c:v>
                </c:pt>
                <c:pt idx="265">
                  <c:v>44292</c:v>
                </c:pt>
                <c:pt idx="266">
                  <c:v>44291</c:v>
                </c:pt>
                <c:pt idx="267">
                  <c:v>44287</c:v>
                </c:pt>
                <c:pt idx="268">
                  <c:v>44286</c:v>
                </c:pt>
                <c:pt idx="269">
                  <c:v>44285</c:v>
                </c:pt>
                <c:pt idx="270">
                  <c:v>44284</c:v>
                </c:pt>
                <c:pt idx="271">
                  <c:v>44281</c:v>
                </c:pt>
                <c:pt idx="272">
                  <c:v>44280</c:v>
                </c:pt>
                <c:pt idx="273">
                  <c:v>44279</c:v>
                </c:pt>
                <c:pt idx="274">
                  <c:v>44278</c:v>
                </c:pt>
                <c:pt idx="275">
                  <c:v>44277</c:v>
                </c:pt>
                <c:pt idx="276">
                  <c:v>44274</c:v>
                </c:pt>
                <c:pt idx="277">
                  <c:v>44273</c:v>
                </c:pt>
                <c:pt idx="278">
                  <c:v>44272</c:v>
                </c:pt>
                <c:pt idx="279">
                  <c:v>44271</c:v>
                </c:pt>
                <c:pt idx="280">
                  <c:v>44270</c:v>
                </c:pt>
                <c:pt idx="281">
                  <c:v>44267</c:v>
                </c:pt>
                <c:pt idx="282">
                  <c:v>44266</c:v>
                </c:pt>
                <c:pt idx="283">
                  <c:v>44265</c:v>
                </c:pt>
                <c:pt idx="284">
                  <c:v>44264</c:v>
                </c:pt>
                <c:pt idx="285">
                  <c:v>44263</c:v>
                </c:pt>
                <c:pt idx="286">
                  <c:v>44260</c:v>
                </c:pt>
                <c:pt idx="287">
                  <c:v>44259</c:v>
                </c:pt>
                <c:pt idx="288">
                  <c:v>44258</c:v>
                </c:pt>
                <c:pt idx="289">
                  <c:v>44257</c:v>
                </c:pt>
                <c:pt idx="290">
                  <c:v>44256</c:v>
                </c:pt>
                <c:pt idx="291">
                  <c:v>44253</c:v>
                </c:pt>
                <c:pt idx="292">
                  <c:v>44252</c:v>
                </c:pt>
                <c:pt idx="293">
                  <c:v>44251</c:v>
                </c:pt>
                <c:pt idx="294">
                  <c:v>44250</c:v>
                </c:pt>
                <c:pt idx="295">
                  <c:v>44249</c:v>
                </c:pt>
                <c:pt idx="296">
                  <c:v>44246</c:v>
                </c:pt>
                <c:pt idx="297">
                  <c:v>44245</c:v>
                </c:pt>
                <c:pt idx="298">
                  <c:v>44244</c:v>
                </c:pt>
                <c:pt idx="299">
                  <c:v>44243</c:v>
                </c:pt>
                <c:pt idx="300">
                  <c:v>44239</c:v>
                </c:pt>
                <c:pt idx="301">
                  <c:v>44238</c:v>
                </c:pt>
                <c:pt idx="302">
                  <c:v>44237</c:v>
                </c:pt>
                <c:pt idx="303">
                  <c:v>44236</c:v>
                </c:pt>
                <c:pt idx="304">
                  <c:v>44235</c:v>
                </c:pt>
                <c:pt idx="305">
                  <c:v>44232</c:v>
                </c:pt>
                <c:pt idx="306">
                  <c:v>44231</c:v>
                </c:pt>
                <c:pt idx="307">
                  <c:v>44230</c:v>
                </c:pt>
                <c:pt idx="308">
                  <c:v>44229</c:v>
                </c:pt>
                <c:pt idx="309">
                  <c:v>44228</c:v>
                </c:pt>
                <c:pt idx="310">
                  <c:v>44225</c:v>
                </c:pt>
                <c:pt idx="311">
                  <c:v>44224</c:v>
                </c:pt>
                <c:pt idx="312">
                  <c:v>44223</c:v>
                </c:pt>
                <c:pt idx="313">
                  <c:v>44222</c:v>
                </c:pt>
                <c:pt idx="314">
                  <c:v>44221</c:v>
                </c:pt>
                <c:pt idx="315">
                  <c:v>44218</c:v>
                </c:pt>
                <c:pt idx="316">
                  <c:v>44217</c:v>
                </c:pt>
                <c:pt idx="317">
                  <c:v>44216</c:v>
                </c:pt>
                <c:pt idx="318">
                  <c:v>44215</c:v>
                </c:pt>
                <c:pt idx="319">
                  <c:v>44211</c:v>
                </c:pt>
                <c:pt idx="320">
                  <c:v>44210</c:v>
                </c:pt>
                <c:pt idx="321">
                  <c:v>44209</c:v>
                </c:pt>
                <c:pt idx="322">
                  <c:v>44208</c:v>
                </c:pt>
                <c:pt idx="323">
                  <c:v>44207</c:v>
                </c:pt>
                <c:pt idx="324">
                  <c:v>44204</c:v>
                </c:pt>
                <c:pt idx="325">
                  <c:v>44203</c:v>
                </c:pt>
                <c:pt idx="326">
                  <c:v>44202</c:v>
                </c:pt>
                <c:pt idx="327">
                  <c:v>44201</c:v>
                </c:pt>
                <c:pt idx="328">
                  <c:v>44200</c:v>
                </c:pt>
                <c:pt idx="329">
                  <c:v>44196</c:v>
                </c:pt>
                <c:pt idx="330">
                  <c:v>44195</c:v>
                </c:pt>
                <c:pt idx="331">
                  <c:v>44194</c:v>
                </c:pt>
                <c:pt idx="332">
                  <c:v>44193</c:v>
                </c:pt>
                <c:pt idx="333">
                  <c:v>44189</c:v>
                </c:pt>
                <c:pt idx="334">
                  <c:v>44188</c:v>
                </c:pt>
                <c:pt idx="335">
                  <c:v>44187</c:v>
                </c:pt>
                <c:pt idx="336">
                  <c:v>44186</c:v>
                </c:pt>
                <c:pt idx="337">
                  <c:v>44183</c:v>
                </c:pt>
                <c:pt idx="338">
                  <c:v>44182</c:v>
                </c:pt>
                <c:pt idx="339">
                  <c:v>44181</c:v>
                </c:pt>
                <c:pt idx="340">
                  <c:v>44180</c:v>
                </c:pt>
                <c:pt idx="341">
                  <c:v>44179</c:v>
                </c:pt>
                <c:pt idx="342">
                  <c:v>44176</c:v>
                </c:pt>
                <c:pt idx="343">
                  <c:v>44175</c:v>
                </c:pt>
                <c:pt idx="344">
                  <c:v>44174</c:v>
                </c:pt>
                <c:pt idx="345">
                  <c:v>44173</c:v>
                </c:pt>
                <c:pt idx="346">
                  <c:v>44172</c:v>
                </c:pt>
                <c:pt idx="347">
                  <c:v>44169</c:v>
                </c:pt>
                <c:pt idx="348">
                  <c:v>44168</c:v>
                </c:pt>
                <c:pt idx="349">
                  <c:v>44167</c:v>
                </c:pt>
                <c:pt idx="350">
                  <c:v>44166</c:v>
                </c:pt>
                <c:pt idx="351">
                  <c:v>44165</c:v>
                </c:pt>
                <c:pt idx="352">
                  <c:v>44162</c:v>
                </c:pt>
                <c:pt idx="353">
                  <c:v>44160</c:v>
                </c:pt>
                <c:pt idx="354">
                  <c:v>44159</c:v>
                </c:pt>
                <c:pt idx="355">
                  <c:v>44158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44148</c:v>
                </c:pt>
                <c:pt idx="362">
                  <c:v>44147</c:v>
                </c:pt>
                <c:pt idx="363">
                  <c:v>44146</c:v>
                </c:pt>
                <c:pt idx="364">
                  <c:v>44145</c:v>
                </c:pt>
                <c:pt idx="365">
                  <c:v>44144</c:v>
                </c:pt>
                <c:pt idx="366">
                  <c:v>44141</c:v>
                </c:pt>
                <c:pt idx="367">
                  <c:v>44140</c:v>
                </c:pt>
                <c:pt idx="368">
                  <c:v>44139</c:v>
                </c:pt>
                <c:pt idx="369">
                  <c:v>44138</c:v>
                </c:pt>
                <c:pt idx="370">
                  <c:v>44137</c:v>
                </c:pt>
                <c:pt idx="371">
                  <c:v>44134</c:v>
                </c:pt>
                <c:pt idx="372">
                  <c:v>44133</c:v>
                </c:pt>
                <c:pt idx="373">
                  <c:v>44132</c:v>
                </c:pt>
                <c:pt idx="374">
                  <c:v>44131</c:v>
                </c:pt>
                <c:pt idx="375">
                  <c:v>44130</c:v>
                </c:pt>
                <c:pt idx="376">
                  <c:v>44127</c:v>
                </c:pt>
                <c:pt idx="377">
                  <c:v>44126</c:v>
                </c:pt>
                <c:pt idx="378">
                  <c:v>44125</c:v>
                </c:pt>
                <c:pt idx="379">
                  <c:v>44124</c:v>
                </c:pt>
                <c:pt idx="380">
                  <c:v>44123</c:v>
                </c:pt>
                <c:pt idx="381">
                  <c:v>44120</c:v>
                </c:pt>
                <c:pt idx="382">
                  <c:v>44119</c:v>
                </c:pt>
                <c:pt idx="383">
                  <c:v>44118</c:v>
                </c:pt>
                <c:pt idx="384">
                  <c:v>44117</c:v>
                </c:pt>
                <c:pt idx="385">
                  <c:v>44116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44106</c:v>
                </c:pt>
                <c:pt idx="392">
                  <c:v>44105</c:v>
                </c:pt>
                <c:pt idx="393">
                  <c:v>44104</c:v>
                </c:pt>
                <c:pt idx="394">
                  <c:v>44103</c:v>
                </c:pt>
                <c:pt idx="395">
                  <c:v>44102</c:v>
                </c:pt>
                <c:pt idx="396">
                  <c:v>44099</c:v>
                </c:pt>
                <c:pt idx="397">
                  <c:v>44098</c:v>
                </c:pt>
                <c:pt idx="398">
                  <c:v>44097</c:v>
                </c:pt>
                <c:pt idx="399">
                  <c:v>44096</c:v>
                </c:pt>
                <c:pt idx="400">
                  <c:v>44095</c:v>
                </c:pt>
                <c:pt idx="401">
                  <c:v>44092</c:v>
                </c:pt>
                <c:pt idx="402">
                  <c:v>44091</c:v>
                </c:pt>
                <c:pt idx="403">
                  <c:v>44090</c:v>
                </c:pt>
                <c:pt idx="404">
                  <c:v>44089</c:v>
                </c:pt>
                <c:pt idx="405">
                  <c:v>44088</c:v>
                </c:pt>
                <c:pt idx="406">
                  <c:v>44085</c:v>
                </c:pt>
                <c:pt idx="407">
                  <c:v>44084</c:v>
                </c:pt>
                <c:pt idx="408">
                  <c:v>44083</c:v>
                </c:pt>
                <c:pt idx="409">
                  <c:v>44082</c:v>
                </c:pt>
                <c:pt idx="410">
                  <c:v>44078</c:v>
                </c:pt>
                <c:pt idx="411">
                  <c:v>44077</c:v>
                </c:pt>
                <c:pt idx="412">
                  <c:v>44076</c:v>
                </c:pt>
                <c:pt idx="413">
                  <c:v>44075</c:v>
                </c:pt>
                <c:pt idx="414">
                  <c:v>44074</c:v>
                </c:pt>
                <c:pt idx="415">
                  <c:v>44071</c:v>
                </c:pt>
                <c:pt idx="416">
                  <c:v>44070</c:v>
                </c:pt>
                <c:pt idx="417">
                  <c:v>44069</c:v>
                </c:pt>
                <c:pt idx="418">
                  <c:v>44068</c:v>
                </c:pt>
                <c:pt idx="419">
                  <c:v>44067</c:v>
                </c:pt>
                <c:pt idx="420">
                  <c:v>44064</c:v>
                </c:pt>
                <c:pt idx="421">
                  <c:v>44063</c:v>
                </c:pt>
                <c:pt idx="422">
                  <c:v>44062</c:v>
                </c:pt>
                <c:pt idx="423">
                  <c:v>44061</c:v>
                </c:pt>
                <c:pt idx="424">
                  <c:v>44060</c:v>
                </c:pt>
                <c:pt idx="425">
                  <c:v>44057</c:v>
                </c:pt>
                <c:pt idx="426">
                  <c:v>44056</c:v>
                </c:pt>
                <c:pt idx="427">
                  <c:v>44055</c:v>
                </c:pt>
                <c:pt idx="428">
                  <c:v>44054</c:v>
                </c:pt>
                <c:pt idx="429">
                  <c:v>44053</c:v>
                </c:pt>
                <c:pt idx="430">
                  <c:v>44050</c:v>
                </c:pt>
                <c:pt idx="431">
                  <c:v>44049</c:v>
                </c:pt>
                <c:pt idx="432">
                  <c:v>44048</c:v>
                </c:pt>
                <c:pt idx="433">
                  <c:v>44047</c:v>
                </c:pt>
                <c:pt idx="434">
                  <c:v>44046</c:v>
                </c:pt>
                <c:pt idx="435">
                  <c:v>44043</c:v>
                </c:pt>
                <c:pt idx="436">
                  <c:v>44042</c:v>
                </c:pt>
                <c:pt idx="437">
                  <c:v>44041</c:v>
                </c:pt>
                <c:pt idx="438">
                  <c:v>44040</c:v>
                </c:pt>
                <c:pt idx="439">
                  <c:v>44039</c:v>
                </c:pt>
                <c:pt idx="440">
                  <c:v>44036</c:v>
                </c:pt>
                <c:pt idx="441">
                  <c:v>44035</c:v>
                </c:pt>
                <c:pt idx="442">
                  <c:v>44034</c:v>
                </c:pt>
                <c:pt idx="443">
                  <c:v>44033</c:v>
                </c:pt>
                <c:pt idx="444">
                  <c:v>44032</c:v>
                </c:pt>
                <c:pt idx="445">
                  <c:v>44029</c:v>
                </c:pt>
                <c:pt idx="446">
                  <c:v>44028</c:v>
                </c:pt>
                <c:pt idx="447">
                  <c:v>44027</c:v>
                </c:pt>
                <c:pt idx="448">
                  <c:v>44026</c:v>
                </c:pt>
                <c:pt idx="449">
                  <c:v>44025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44014</c:v>
                </c:pt>
                <c:pt idx="456">
                  <c:v>44013</c:v>
                </c:pt>
                <c:pt idx="457">
                  <c:v>44012</c:v>
                </c:pt>
                <c:pt idx="458">
                  <c:v>44011</c:v>
                </c:pt>
                <c:pt idx="459">
                  <c:v>44008</c:v>
                </c:pt>
                <c:pt idx="460">
                  <c:v>44007</c:v>
                </c:pt>
                <c:pt idx="461">
                  <c:v>44006</c:v>
                </c:pt>
                <c:pt idx="462">
                  <c:v>44005</c:v>
                </c:pt>
                <c:pt idx="463">
                  <c:v>44004</c:v>
                </c:pt>
                <c:pt idx="464">
                  <c:v>44001</c:v>
                </c:pt>
                <c:pt idx="465">
                  <c:v>44000</c:v>
                </c:pt>
                <c:pt idx="466">
                  <c:v>43999</c:v>
                </c:pt>
                <c:pt idx="467">
                  <c:v>43998</c:v>
                </c:pt>
                <c:pt idx="468">
                  <c:v>43997</c:v>
                </c:pt>
                <c:pt idx="469">
                  <c:v>43994</c:v>
                </c:pt>
                <c:pt idx="470">
                  <c:v>43993</c:v>
                </c:pt>
                <c:pt idx="471">
                  <c:v>43992</c:v>
                </c:pt>
                <c:pt idx="472">
                  <c:v>43991</c:v>
                </c:pt>
                <c:pt idx="473">
                  <c:v>43990</c:v>
                </c:pt>
                <c:pt idx="474">
                  <c:v>43987</c:v>
                </c:pt>
                <c:pt idx="475">
                  <c:v>43986</c:v>
                </c:pt>
                <c:pt idx="476">
                  <c:v>43985</c:v>
                </c:pt>
                <c:pt idx="477">
                  <c:v>43984</c:v>
                </c:pt>
                <c:pt idx="478">
                  <c:v>43983</c:v>
                </c:pt>
                <c:pt idx="479">
                  <c:v>43980</c:v>
                </c:pt>
                <c:pt idx="480">
                  <c:v>43979</c:v>
                </c:pt>
                <c:pt idx="481">
                  <c:v>43978</c:v>
                </c:pt>
                <c:pt idx="482">
                  <c:v>43977</c:v>
                </c:pt>
                <c:pt idx="483">
                  <c:v>43973</c:v>
                </c:pt>
                <c:pt idx="484">
                  <c:v>43972</c:v>
                </c:pt>
                <c:pt idx="485">
                  <c:v>43971</c:v>
                </c:pt>
                <c:pt idx="486">
                  <c:v>43970</c:v>
                </c:pt>
                <c:pt idx="487">
                  <c:v>43969</c:v>
                </c:pt>
                <c:pt idx="488">
                  <c:v>43966</c:v>
                </c:pt>
                <c:pt idx="489">
                  <c:v>43965</c:v>
                </c:pt>
                <c:pt idx="490">
                  <c:v>43964</c:v>
                </c:pt>
                <c:pt idx="491">
                  <c:v>43963</c:v>
                </c:pt>
                <c:pt idx="492">
                  <c:v>43962</c:v>
                </c:pt>
                <c:pt idx="493">
                  <c:v>43959</c:v>
                </c:pt>
                <c:pt idx="494">
                  <c:v>43958</c:v>
                </c:pt>
                <c:pt idx="495">
                  <c:v>43957</c:v>
                </c:pt>
                <c:pt idx="496">
                  <c:v>43956</c:v>
                </c:pt>
                <c:pt idx="497">
                  <c:v>43955</c:v>
                </c:pt>
                <c:pt idx="498">
                  <c:v>43952</c:v>
                </c:pt>
                <c:pt idx="499">
                  <c:v>43951</c:v>
                </c:pt>
                <c:pt idx="500">
                  <c:v>43950</c:v>
                </c:pt>
                <c:pt idx="501">
                  <c:v>43949</c:v>
                </c:pt>
                <c:pt idx="502">
                  <c:v>43948</c:v>
                </c:pt>
                <c:pt idx="503">
                  <c:v>43945</c:v>
                </c:pt>
                <c:pt idx="504">
                  <c:v>43944</c:v>
                </c:pt>
                <c:pt idx="505">
                  <c:v>43943</c:v>
                </c:pt>
                <c:pt idx="506">
                  <c:v>43942</c:v>
                </c:pt>
                <c:pt idx="507">
                  <c:v>43941</c:v>
                </c:pt>
                <c:pt idx="508">
                  <c:v>43938</c:v>
                </c:pt>
                <c:pt idx="509">
                  <c:v>43937</c:v>
                </c:pt>
                <c:pt idx="510">
                  <c:v>43936</c:v>
                </c:pt>
                <c:pt idx="511">
                  <c:v>43935</c:v>
                </c:pt>
                <c:pt idx="512">
                  <c:v>43934</c:v>
                </c:pt>
                <c:pt idx="513">
                  <c:v>43930</c:v>
                </c:pt>
                <c:pt idx="514">
                  <c:v>43929</c:v>
                </c:pt>
                <c:pt idx="515">
                  <c:v>43928</c:v>
                </c:pt>
                <c:pt idx="516">
                  <c:v>43927</c:v>
                </c:pt>
                <c:pt idx="517">
                  <c:v>43924</c:v>
                </c:pt>
                <c:pt idx="518">
                  <c:v>43923</c:v>
                </c:pt>
                <c:pt idx="519">
                  <c:v>43922</c:v>
                </c:pt>
                <c:pt idx="520">
                  <c:v>43921</c:v>
                </c:pt>
                <c:pt idx="521">
                  <c:v>43920</c:v>
                </c:pt>
                <c:pt idx="522">
                  <c:v>43917</c:v>
                </c:pt>
                <c:pt idx="523">
                  <c:v>43916</c:v>
                </c:pt>
                <c:pt idx="524">
                  <c:v>43915</c:v>
                </c:pt>
                <c:pt idx="525">
                  <c:v>43914</c:v>
                </c:pt>
                <c:pt idx="526">
                  <c:v>43913</c:v>
                </c:pt>
                <c:pt idx="527">
                  <c:v>43910</c:v>
                </c:pt>
                <c:pt idx="528">
                  <c:v>43909</c:v>
                </c:pt>
                <c:pt idx="529">
                  <c:v>43908</c:v>
                </c:pt>
                <c:pt idx="530">
                  <c:v>43907</c:v>
                </c:pt>
                <c:pt idx="531">
                  <c:v>43906</c:v>
                </c:pt>
                <c:pt idx="532">
                  <c:v>43903</c:v>
                </c:pt>
                <c:pt idx="533">
                  <c:v>43902</c:v>
                </c:pt>
                <c:pt idx="534">
                  <c:v>43901</c:v>
                </c:pt>
                <c:pt idx="535">
                  <c:v>43900</c:v>
                </c:pt>
                <c:pt idx="536">
                  <c:v>43899</c:v>
                </c:pt>
                <c:pt idx="537">
                  <c:v>43896</c:v>
                </c:pt>
                <c:pt idx="538">
                  <c:v>43895</c:v>
                </c:pt>
                <c:pt idx="539">
                  <c:v>43894</c:v>
                </c:pt>
                <c:pt idx="540">
                  <c:v>43893</c:v>
                </c:pt>
                <c:pt idx="541">
                  <c:v>43892</c:v>
                </c:pt>
                <c:pt idx="542">
                  <c:v>43889</c:v>
                </c:pt>
                <c:pt idx="543">
                  <c:v>43888</c:v>
                </c:pt>
                <c:pt idx="544">
                  <c:v>43887</c:v>
                </c:pt>
                <c:pt idx="545">
                  <c:v>43886</c:v>
                </c:pt>
                <c:pt idx="546">
                  <c:v>43885</c:v>
                </c:pt>
                <c:pt idx="547">
                  <c:v>43882</c:v>
                </c:pt>
                <c:pt idx="548">
                  <c:v>43881</c:v>
                </c:pt>
                <c:pt idx="549">
                  <c:v>43880</c:v>
                </c:pt>
                <c:pt idx="550">
                  <c:v>43879</c:v>
                </c:pt>
                <c:pt idx="551">
                  <c:v>43875</c:v>
                </c:pt>
                <c:pt idx="552">
                  <c:v>43874</c:v>
                </c:pt>
                <c:pt idx="553">
                  <c:v>43873</c:v>
                </c:pt>
                <c:pt idx="554">
                  <c:v>43872</c:v>
                </c:pt>
                <c:pt idx="555">
                  <c:v>43871</c:v>
                </c:pt>
                <c:pt idx="556">
                  <c:v>43868</c:v>
                </c:pt>
                <c:pt idx="557">
                  <c:v>43867</c:v>
                </c:pt>
                <c:pt idx="558">
                  <c:v>43866</c:v>
                </c:pt>
                <c:pt idx="559">
                  <c:v>43865</c:v>
                </c:pt>
                <c:pt idx="560">
                  <c:v>43864</c:v>
                </c:pt>
                <c:pt idx="561">
                  <c:v>43861</c:v>
                </c:pt>
                <c:pt idx="562">
                  <c:v>43860</c:v>
                </c:pt>
                <c:pt idx="563">
                  <c:v>43859</c:v>
                </c:pt>
                <c:pt idx="564">
                  <c:v>43858</c:v>
                </c:pt>
                <c:pt idx="565">
                  <c:v>43857</c:v>
                </c:pt>
                <c:pt idx="566">
                  <c:v>43854</c:v>
                </c:pt>
                <c:pt idx="567">
                  <c:v>43853</c:v>
                </c:pt>
                <c:pt idx="568">
                  <c:v>43852</c:v>
                </c:pt>
                <c:pt idx="569">
                  <c:v>43851</c:v>
                </c:pt>
                <c:pt idx="570">
                  <c:v>43847</c:v>
                </c:pt>
                <c:pt idx="571">
                  <c:v>43846</c:v>
                </c:pt>
                <c:pt idx="572">
                  <c:v>43845</c:v>
                </c:pt>
                <c:pt idx="573">
                  <c:v>43844</c:v>
                </c:pt>
                <c:pt idx="574">
                  <c:v>43843</c:v>
                </c:pt>
                <c:pt idx="575">
                  <c:v>43840</c:v>
                </c:pt>
                <c:pt idx="576">
                  <c:v>43839</c:v>
                </c:pt>
                <c:pt idx="577">
                  <c:v>43838</c:v>
                </c:pt>
                <c:pt idx="578">
                  <c:v>43837</c:v>
                </c:pt>
                <c:pt idx="579">
                  <c:v>43836</c:v>
                </c:pt>
                <c:pt idx="580">
                  <c:v>43833</c:v>
                </c:pt>
                <c:pt idx="581">
                  <c:v>43832</c:v>
                </c:pt>
                <c:pt idx="582">
                  <c:v>43830</c:v>
                </c:pt>
                <c:pt idx="583">
                  <c:v>43829</c:v>
                </c:pt>
                <c:pt idx="584">
                  <c:v>43826</c:v>
                </c:pt>
                <c:pt idx="585">
                  <c:v>43825</c:v>
                </c:pt>
                <c:pt idx="586">
                  <c:v>43823</c:v>
                </c:pt>
                <c:pt idx="587">
                  <c:v>43822</c:v>
                </c:pt>
                <c:pt idx="588">
                  <c:v>43819</c:v>
                </c:pt>
                <c:pt idx="589">
                  <c:v>43818</c:v>
                </c:pt>
                <c:pt idx="590">
                  <c:v>43817</c:v>
                </c:pt>
                <c:pt idx="591">
                  <c:v>43816</c:v>
                </c:pt>
                <c:pt idx="592">
                  <c:v>43815</c:v>
                </c:pt>
                <c:pt idx="593">
                  <c:v>43812</c:v>
                </c:pt>
                <c:pt idx="594">
                  <c:v>43811</c:v>
                </c:pt>
                <c:pt idx="595">
                  <c:v>43810</c:v>
                </c:pt>
                <c:pt idx="596">
                  <c:v>43809</c:v>
                </c:pt>
                <c:pt idx="597">
                  <c:v>43808</c:v>
                </c:pt>
                <c:pt idx="598">
                  <c:v>43805</c:v>
                </c:pt>
                <c:pt idx="599">
                  <c:v>43804</c:v>
                </c:pt>
                <c:pt idx="600">
                  <c:v>43803</c:v>
                </c:pt>
                <c:pt idx="601">
                  <c:v>43802</c:v>
                </c:pt>
                <c:pt idx="602">
                  <c:v>43801</c:v>
                </c:pt>
                <c:pt idx="603">
                  <c:v>43798</c:v>
                </c:pt>
                <c:pt idx="604">
                  <c:v>43796</c:v>
                </c:pt>
                <c:pt idx="605">
                  <c:v>43795</c:v>
                </c:pt>
                <c:pt idx="606">
                  <c:v>43794</c:v>
                </c:pt>
                <c:pt idx="607">
                  <c:v>43791</c:v>
                </c:pt>
                <c:pt idx="608">
                  <c:v>43790</c:v>
                </c:pt>
                <c:pt idx="609">
                  <c:v>43789</c:v>
                </c:pt>
                <c:pt idx="610">
                  <c:v>43788</c:v>
                </c:pt>
                <c:pt idx="611">
                  <c:v>43787</c:v>
                </c:pt>
                <c:pt idx="612">
                  <c:v>43784</c:v>
                </c:pt>
                <c:pt idx="613">
                  <c:v>43783</c:v>
                </c:pt>
                <c:pt idx="614">
                  <c:v>43782</c:v>
                </c:pt>
                <c:pt idx="615">
                  <c:v>43781</c:v>
                </c:pt>
                <c:pt idx="616">
                  <c:v>43780</c:v>
                </c:pt>
                <c:pt idx="617">
                  <c:v>43777</c:v>
                </c:pt>
                <c:pt idx="618">
                  <c:v>43776</c:v>
                </c:pt>
                <c:pt idx="619">
                  <c:v>43775</c:v>
                </c:pt>
                <c:pt idx="620">
                  <c:v>43774</c:v>
                </c:pt>
                <c:pt idx="621">
                  <c:v>43773</c:v>
                </c:pt>
                <c:pt idx="622">
                  <c:v>43770</c:v>
                </c:pt>
                <c:pt idx="623">
                  <c:v>43769</c:v>
                </c:pt>
                <c:pt idx="624">
                  <c:v>43768</c:v>
                </c:pt>
                <c:pt idx="625">
                  <c:v>43767</c:v>
                </c:pt>
                <c:pt idx="626">
                  <c:v>43766</c:v>
                </c:pt>
                <c:pt idx="627">
                  <c:v>43763</c:v>
                </c:pt>
                <c:pt idx="628">
                  <c:v>43762</c:v>
                </c:pt>
                <c:pt idx="629">
                  <c:v>43761</c:v>
                </c:pt>
                <c:pt idx="630">
                  <c:v>43760</c:v>
                </c:pt>
                <c:pt idx="631">
                  <c:v>43759</c:v>
                </c:pt>
                <c:pt idx="632">
                  <c:v>43756</c:v>
                </c:pt>
                <c:pt idx="633">
                  <c:v>43755</c:v>
                </c:pt>
                <c:pt idx="634">
                  <c:v>43754</c:v>
                </c:pt>
                <c:pt idx="635">
                  <c:v>43753</c:v>
                </c:pt>
                <c:pt idx="636">
                  <c:v>43752</c:v>
                </c:pt>
                <c:pt idx="637">
                  <c:v>43749</c:v>
                </c:pt>
                <c:pt idx="638">
                  <c:v>43748</c:v>
                </c:pt>
                <c:pt idx="639">
                  <c:v>43747</c:v>
                </c:pt>
                <c:pt idx="640">
                  <c:v>43746</c:v>
                </c:pt>
                <c:pt idx="641">
                  <c:v>43745</c:v>
                </c:pt>
                <c:pt idx="642">
                  <c:v>43742</c:v>
                </c:pt>
                <c:pt idx="643">
                  <c:v>43741</c:v>
                </c:pt>
                <c:pt idx="644">
                  <c:v>43740</c:v>
                </c:pt>
                <c:pt idx="645">
                  <c:v>43739</c:v>
                </c:pt>
                <c:pt idx="646">
                  <c:v>43738</c:v>
                </c:pt>
                <c:pt idx="647">
                  <c:v>43735</c:v>
                </c:pt>
                <c:pt idx="648">
                  <c:v>43734</c:v>
                </c:pt>
                <c:pt idx="649">
                  <c:v>43733</c:v>
                </c:pt>
                <c:pt idx="650">
                  <c:v>43732</c:v>
                </c:pt>
                <c:pt idx="651">
                  <c:v>43731</c:v>
                </c:pt>
                <c:pt idx="652">
                  <c:v>43728</c:v>
                </c:pt>
                <c:pt idx="653">
                  <c:v>43727</c:v>
                </c:pt>
                <c:pt idx="654">
                  <c:v>43726</c:v>
                </c:pt>
                <c:pt idx="655">
                  <c:v>43725</c:v>
                </c:pt>
                <c:pt idx="656">
                  <c:v>43724</c:v>
                </c:pt>
                <c:pt idx="657">
                  <c:v>43721</c:v>
                </c:pt>
                <c:pt idx="658">
                  <c:v>43720</c:v>
                </c:pt>
                <c:pt idx="659">
                  <c:v>43719</c:v>
                </c:pt>
                <c:pt idx="660">
                  <c:v>43718</c:v>
                </c:pt>
                <c:pt idx="661">
                  <c:v>43717</c:v>
                </c:pt>
                <c:pt idx="662">
                  <c:v>43714</c:v>
                </c:pt>
                <c:pt idx="663">
                  <c:v>43713</c:v>
                </c:pt>
                <c:pt idx="664">
                  <c:v>43712</c:v>
                </c:pt>
                <c:pt idx="665">
                  <c:v>43711</c:v>
                </c:pt>
                <c:pt idx="666">
                  <c:v>43707</c:v>
                </c:pt>
                <c:pt idx="667">
                  <c:v>43706</c:v>
                </c:pt>
                <c:pt idx="668">
                  <c:v>43705</c:v>
                </c:pt>
                <c:pt idx="669">
                  <c:v>43704</c:v>
                </c:pt>
                <c:pt idx="670">
                  <c:v>43703</c:v>
                </c:pt>
                <c:pt idx="671">
                  <c:v>43700</c:v>
                </c:pt>
                <c:pt idx="672">
                  <c:v>43699</c:v>
                </c:pt>
                <c:pt idx="673">
                  <c:v>43698</c:v>
                </c:pt>
                <c:pt idx="674">
                  <c:v>43697</c:v>
                </c:pt>
                <c:pt idx="675">
                  <c:v>43696</c:v>
                </c:pt>
                <c:pt idx="676">
                  <c:v>43693</c:v>
                </c:pt>
                <c:pt idx="677">
                  <c:v>43692</c:v>
                </c:pt>
                <c:pt idx="678">
                  <c:v>43691</c:v>
                </c:pt>
                <c:pt idx="679">
                  <c:v>43690</c:v>
                </c:pt>
                <c:pt idx="680">
                  <c:v>43689</c:v>
                </c:pt>
                <c:pt idx="681">
                  <c:v>43686</c:v>
                </c:pt>
                <c:pt idx="682">
                  <c:v>43685</c:v>
                </c:pt>
                <c:pt idx="683">
                  <c:v>43684</c:v>
                </c:pt>
                <c:pt idx="684">
                  <c:v>43683</c:v>
                </c:pt>
                <c:pt idx="685">
                  <c:v>43682</c:v>
                </c:pt>
                <c:pt idx="686">
                  <c:v>43679</c:v>
                </c:pt>
                <c:pt idx="687">
                  <c:v>43678</c:v>
                </c:pt>
                <c:pt idx="688">
                  <c:v>43677</c:v>
                </c:pt>
                <c:pt idx="689">
                  <c:v>43676</c:v>
                </c:pt>
                <c:pt idx="690">
                  <c:v>43675</c:v>
                </c:pt>
                <c:pt idx="691">
                  <c:v>43672</c:v>
                </c:pt>
                <c:pt idx="692">
                  <c:v>43671</c:v>
                </c:pt>
                <c:pt idx="693">
                  <c:v>43670</c:v>
                </c:pt>
                <c:pt idx="694">
                  <c:v>43669</c:v>
                </c:pt>
                <c:pt idx="695">
                  <c:v>43668</c:v>
                </c:pt>
                <c:pt idx="696">
                  <c:v>43665</c:v>
                </c:pt>
                <c:pt idx="697">
                  <c:v>43664</c:v>
                </c:pt>
                <c:pt idx="698">
                  <c:v>43663</c:v>
                </c:pt>
                <c:pt idx="699">
                  <c:v>43662</c:v>
                </c:pt>
                <c:pt idx="700">
                  <c:v>43661</c:v>
                </c:pt>
                <c:pt idx="701">
                  <c:v>43658</c:v>
                </c:pt>
                <c:pt idx="702">
                  <c:v>43657</c:v>
                </c:pt>
                <c:pt idx="703">
                  <c:v>43656</c:v>
                </c:pt>
                <c:pt idx="704">
                  <c:v>43655</c:v>
                </c:pt>
                <c:pt idx="705">
                  <c:v>43654</c:v>
                </c:pt>
                <c:pt idx="706">
                  <c:v>43651</c:v>
                </c:pt>
                <c:pt idx="707">
                  <c:v>43649</c:v>
                </c:pt>
                <c:pt idx="708">
                  <c:v>43648</c:v>
                </c:pt>
                <c:pt idx="709">
                  <c:v>43647</c:v>
                </c:pt>
                <c:pt idx="710">
                  <c:v>43644</c:v>
                </c:pt>
                <c:pt idx="711">
                  <c:v>43643</c:v>
                </c:pt>
                <c:pt idx="712">
                  <c:v>43642</c:v>
                </c:pt>
                <c:pt idx="713">
                  <c:v>43641</c:v>
                </c:pt>
                <c:pt idx="714">
                  <c:v>43640</c:v>
                </c:pt>
                <c:pt idx="715">
                  <c:v>43637</c:v>
                </c:pt>
                <c:pt idx="716">
                  <c:v>43636</c:v>
                </c:pt>
                <c:pt idx="717">
                  <c:v>43635</c:v>
                </c:pt>
                <c:pt idx="718">
                  <c:v>43634</c:v>
                </c:pt>
                <c:pt idx="719">
                  <c:v>43633</c:v>
                </c:pt>
                <c:pt idx="720">
                  <c:v>43630</c:v>
                </c:pt>
                <c:pt idx="721">
                  <c:v>43629</c:v>
                </c:pt>
                <c:pt idx="722">
                  <c:v>43628</c:v>
                </c:pt>
                <c:pt idx="723">
                  <c:v>43627</c:v>
                </c:pt>
                <c:pt idx="724">
                  <c:v>43626</c:v>
                </c:pt>
                <c:pt idx="725">
                  <c:v>43623</c:v>
                </c:pt>
                <c:pt idx="726">
                  <c:v>43622</c:v>
                </c:pt>
                <c:pt idx="727">
                  <c:v>43621</c:v>
                </c:pt>
                <c:pt idx="728">
                  <c:v>43620</c:v>
                </c:pt>
                <c:pt idx="729">
                  <c:v>43619</c:v>
                </c:pt>
                <c:pt idx="730">
                  <c:v>43616</c:v>
                </c:pt>
                <c:pt idx="731">
                  <c:v>43615</c:v>
                </c:pt>
                <c:pt idx="732">
                  <c:v>43614</c:v>
                </c:pt>
                <c:pt idx="733">
                  <c:v>43613</c:v>
                </c:pt>
                <c:pt idx="734">
                  <c:v>43609</c:v>
                </c:pt>
                <c:pt idx="735">
                  <c:v>43608</c:v>
                </c:pt>
                <c:pt idx="736">
                  <c:v>43607</c:v>
                </c:pt>
                <c:pt idx="737">
                  <c:v>43606</c:v>
                </c:pt>
                <c:pt idx="738">
                  <c:v>43605</c:v>
                </c:pt>
                <c:pt idx="739">
                  <c:v>43602</c:v>
                </c:pt>
                <c:pt idx="740">
                  <c:v>43601</c:v>
                </c:pt>
                <c:pt idx="741">
                  <c:v>43600</c:v>
                </c:pt>
                <c:pt idx="742">
                  <c:v>43599</c:v>
                </c:pt>
                <c:pt idx="743">
                  <c:v>43598</c:v>
                </c:pt>
                <c:pt idx="744">
                  <c:v>43595</c:v>
                </c:pt>
                <c:pt idx="745">
                  <c:v>43594</c:v>
                </c:pt>
                <c:pt idx="746">
                  <c:v>43593</c:v>
                </c:pt>
                <c:pt idx="747">
                  <c:v>43592</c:v>
                </c:pt>
                <c:pt idx="748">
                  <c:v>43591</c:v>
                </c:pt>
                <c:pt idx="749">
                  <c:v>43588</c:v>
                </c:pt>
                <c:pt idx="750">
                  <c:v>43587</c:v>
                </c:pt>
                <c:pt idx="751">
                  <c:v>43586</c:v>
                </c:pt>
                <c:pt idx="752">
                  <c:v>43585</c:v>
                </c:pt>
                <c:pt idx="753">
                  <c:v>43584</c:v>
                </c:pt>
                <c:pt idx="754">
                  <c:v>43581</c:v>
                </c:pt>
                <c:pt idx="755">
                  <c:v>43580</c:v>
                </c:pt>
                <c:pt idx="756">
                  <c:v>43579</c:v>
                </c:pt>
                <c:pt idx="757">
                  <c:v>43578</c:v>
                </c:pt>
                <c:pt idx="758">
                  <c:v>43577</c:v>
                </c:pt>
                <c:pt idx="759">
                  <c:v>43573</c:v>
                </c:pt>
                <c:pt idx="760">
                  <c:v>43572</c:v>
                </c:pt>
                <c:pt idx="761">
                  <c:v>43571</c:v>
                </c:pt>
                <c:pt idx="762">
                  <c:v>43570</c:v>
                </c:pt>
                <c:pt idx="763">
                  <c:v>43567</c:v>
                </c:pt>
                <c:pt idx="764">
                  <c:v>43566</c:v>
                </c:pt>
                <c:pt idx="765">
                  <c:v>43565</c:v>
                </c:pt>
                <c:pt idx="766">
                  <c:v>43564</c:v>
                </c:pt>
                <c:pt idx="767">
                  <c:v>43563</c:v>
                </c:pt>
                <c:pt idx="768">
                  <c:v>43560</c:v>
                </c:pt>
                <c:pt idx="769">
                  <c:v>43559</c:v>
                </c:pt>
                <c:pt idx="770">
                  <c:v>43558</c:v>
                </c:pt>
                <c:pt idx="771">
                  <c:v>43557</c:v>
                </c:pt>
                <c:pt idx="772">
                  <c:v>43556</c:v>
                </c:pt>
                <c:pt idx="773">
                  <c:v>43553</c:v>
                </c:pt>
                <c:pt idx="774">
                  <c:v>43552</c:v>
                </c:pt>
                <c:pt idx="775">
                  <c:v>43551</c:v>
                </c:pt>
                <c:pt idx="776">
                  <c:v>43550</c:v>
                </c:pt>
                <c:pt idx="777">
                  <c:v>43549</c:v>
                </c:pt>
                <c:pt idx="778">
                  <c:v>43546</c:v>
                </c:pt>
                <c:pt idx="779">
                  <c:v>43545</c:v>
                </c:pt>
                <c:pt idx="780">
                  <c:v>43544</c:v>
                </c:pt>
                <c:pt idx="781">
                  <c:v>43543</c:v>
                </c:pt>
                <c:pt idx="782">
                  <c:v>43542</c:v>
                </c:pt>
                <c:pt idx="783">
                  <c:v>43539</c:v>
                </c:pt>
                <c:pt idx="784">
                  <c:v>43538</c:v>
                </c:pt>
                <c:pt idx="785">
                  <c:v>43537</c:v>
                </c:pt>
                <c:pt idx="786">
                  <c:v>43536</c:v>
                </c:pt>
                <c:pt idx="787">
                  <c:v>43535</c:v>
                </c:pt>
                <c:pt idx="788">
                  <c:v>43532</c:v>
                </c:pt>
                <c:pt idx="789">
                  <c:v>43531</c:v>
                </c:pt>
                <c:pt idx="790">
                  <c:v>43530</c:v>
                </c:pt>
                <c:pt idx="791">
                  <c:v>43529</c:v>
                </c:pt>
                <c:pt idx="792">
                  <c:v>43528</c:v>
                </c:pt>
                <c:pt idx="793">
                  <c:v>43525</c:v>
                </c:pt>
                <c:pt idx="794">
                  <c:v>43524</c:v>
                </c:pt>
                <c:pt idx="795">
                  <c:v>43523</c:v>
                </c:pt>
                <c:pt idx="796">
                  <c:v>43522</c:v>
                </c:pt>
                <c:pt idx="797">
                  <c:v>43521</c:v>
                </c:pt>
                <c:pt idx="798">
                  <c:v>43518</c:v>
                </c:pt>
                <c:pt idx="799">
                  <c:v>43517</c:v>
                </c:pt>
                <c:pt idx="800">
                  <c:v>43516</c:v>
                </c:pt>
                <c:pt idx="801">
                  <c:v>43515</c:v>
                </c:pt>
                <c:pt idx="802">
                  <c:v>43511</c:v>
                </c:pt>
                <c:pt idx="803">
                  <c:v>43510</c:v>
                </c:pt>
                <c:pt idx="804">
                  <c:v>43509</c:v>
                </c:pt>
                <c:pt idx="805">
                  <c:v>43508</c:v>
                </c:pt>
                <c:pt idx="806">
                  <c:v>43507</c:v>
                </c:pt>
                <c:pt idx="807">
                  <c:v>43504</c:v>
                </c:pt>
                <c:pt idx="808">
                  <c:v>43503</c:v>
                </c:pt>
                <c:pt idx="809">
                  <c:v>43502</c:v>
                </c:pt>
                <c:pt idx="810">
                  <c:v>43501</c:v>
                </c:pt>
                <c:pt idx="811">
                  <c:v>43500</c:v>
                </c:pt>
                <c:pt idx="812">
                  <c:v>43497</c:v>
                </c:pt>
                <c:pt idx="813">
                  <c:v>43496</c:v>
                </c:pt>
                <c:pt idx="814">
                  <c:v>43495</c:v>
                </c:pt>
                <c:pt idx="815">
                  <c:v>43494</c:v>
                </c:pt>
                <c:pt idx="816">
                  <c:v>43493</c:v>
                </c:pt>
                <c:pt idx="817">
                  <c:v>43490</c:v>
                </c:pt>
                <c:pt idx="818">
                  <c:v>43489</c:v>
                </c:pt>
                <c:pt idx="819">
                  <c:v>43488</c:v>
                </c:pt>
                <c:pt idx="820">
                  <c:v>43487</c:v>
                </c:pt>
                <c:pt idx="821">
                  <c:v>43483</c:v>
                </c:pt>
                <c:pt idx="822">
                  <c:v>43482</c:v>
                </c:pt>
                <c:pt idx="823">
                  <c:v>43481</c:v>
                </c:pt>
                <c:pt idx="824">
                  <c:v>43480</c:v>
                </c:pt>
                <c:pt idx="825">
                  <c:v>43479</c:v>
                </c:pt>
                <c:pt idx="826">
                  <c:v>43476</c:v>
                </c:pt>
                <c:pt idx="827">
                  <c:v>43475</c:v>
                </c:pt>
                <c:pt idx="828">
                  <c:v>43474</c:v>
                </c:pt>
                <c:pt idx="829">
                  <c:v>43473</c:v>
                </c:pt>
                <c:pt idx="830">
                  <c:v>43472</c:v>
                </c:pt>
                <c:pt idx="831">
                  <c:v>43469</c:v>
                </c:pt>
                <c:pt idx="832">
                  <c:v>43468</c:v>
                </c:pt>
                <c:pt idx="833">
                  <c:v>43467</c:v>
                </c:pt>
                <c:pt idx="834">
                  <c:v>43465</c:v>
                </c:pt>
                <c:pt idx="835">
                  <c:v>43462</c:v>
                </c:pt>
                <c:pt idx="836">
                  <c:v>43461</c:v>
                </c:pt>
                <c:pt idx="837">
                  <c:v>43460</c:v>
                </c:pt>
                <c:pt idx="838">
                  <c:v>43458</c:v>
                </c:pt>
                <c:pt idx="839">
                  <c:v>43455</c:v>
                </c:pt>
                <c:pt idx="840">
                  <c:v>43454</c:v>
                </c:pt>
                <c:pt idx="841">
                  <c:v>43453</c:v>
                </c:pt>
                <c:pt idx="842">
                  <c:v>43452</c:v>
                </c:pt>
                <c:pt idx="843">
                  <c:v>43451</c:v>
                </c:pt>
                <c:pt idx="844">
                  <c:v>43448</c:v>
                </c:pt>
                <c:pt idx="845">
                  <c:v>43447</c:v>
                </c:pt>
                <c:pt idx="846">
                  <c:v>43446</c:v>
                </c:pt>
                <c:pt idx="847">
                  <c:v>43445</c:v>
                </c:pt>
                <c:pt idx="848">
                  <c:v>43444</c:v>
                </c:pt>
                <c:pt idx="849">
                  <c:v>43441</c:v>
                </c:pt>
                <c:pt idx="850">
                  <c:v>43440</c:v>
                </c:pt>
                <c:pt idx="851">
                  <c:v>43438</c:v>
                </c:pt>
                <c:pt idx="852">
                  <c:v>43437</c:v>
                </c:pt>
                <c:pt idx="853">
                  <c:v>43434</c:v>
                </c:pt>
                <c:pt idx="854">
                  <c:v>43433</c:v>
                </c:pt>
                <c:pt idx="855">
                  <c:v>43432</c:v>
                </c:pt>
                <c:pt idx="856">
                  <c:v>43431</c:v>
                </c:pt>
                <c:pt idx="857">
                  <c:v>43430</c:v>
                </c:pt>
                <c:pt idx="858">
                  <c:v>43427</c:v>
                </c:pt>
                <c:pt idx="859">
                  <c:v>43425</c:v>
                </c:pt>
                <c:pt idx="860">
                  <c:v>43424</c:v>
                </c:pt>
                <c:pt idx="861">
                  <c:v>43423</c:v>
                </c:pt>
                <c:pt idx="862">
                  <c:v>43420</c:v>
                </c:pt>
                <c:pt idx="863">
                  <c:v>43419</c:v>
                </c:pt>
                <c:pt idx="864">
                  <c:v>43418</c:v>
                </c:pt>
                <c:pt idx="865">
                  <c:v>43417</c:v>
                </c:pt>
                <c:pt idx="866">
                  <c:v>43416</c:v>
                </c:pt>
                <c:pt idx="867">
                  <c:v>43413</c:v>
                </c:pt>
                <c:pt idx="868">
                  <c:v>43412</c:v>
                </c:pt>
                <c:pt idx="869">
                  <c:v>43411</c:v>
                </c:pt>
                <c:pt idx="870">
                  <c:v>43410</c:v>
                </c:pt>
                <c:pt idx="871">
                  <c:v>43409</c:v>
                </c:pt>
                <c:pt idx="872">
                  <c:v>43406</c:v>
                </c:pt>
                <c:pt idx="873">
                  <c:v>43405</c:v>
                </c:pt>
                <c:pt idx="874">
                  <c:v>43404</c:v>
                </c:pt>
                <c:pt idx="875">
                  <c:v>43403</c:v>
                </c:pt>
                <c:pt idx="876">
                  <c:v>43402</c:v>
                </c:pt>
                <c:pt idx="877">
                  <c:v>43399</c:v>
                </c:pt>
                <c:pt idx="878">
                  <c:v>43398</c:v>
                </c:pt>
                <c:pt idx="879">
                  <c:v>43397</c:v>
                </c:pt>
                <c:pt idx="880">
                  <c:v>43396</c:v>
                </c:pt>
                <c:pt idx="881">
                  <c:v>43395</c:v>
                </c:pt>
                <c:pt idx="882">
                  <c:v>43392</c:v>
                </c:pt>
                <c:pt idx="883">
                  <c:v>43391</c:v>
                </c:pt>
                <c:pt idx="884">
                  <c:v>43390</c:v>
                </c:pt>
                <c:pt idx="885">
                  <c:v>43389</c:v>
                </c:pt>
                <c:pt idx="886">
                  <c:v>43388</c:v>
                </c:pt>
                <c:pt idx="887">
                  <c:v>43385</c:v>
                </c:pt>
                <c:pt idx="888">
                  <c:v>43384</c:v>
                </c:pt>
                <c:pt idx="889">
                  <c:v>43383</c:v>
                </c:pt>
                <c:pt idx="890">
                  <c:v>43382</c:v>
                </c:pt>
                <c:pt idx="891">
                  <c:v>43381</c:v>
                </c:pt>
                <c:pt idx="892">
                  <c:v>43378</c:v>
                </c:pt>
                <c:pt idx="893">
                  <c:v>43377</c:v>
                </c:pt>
                <c:pt idx="894">
                  <c:v>43376</c:v>
                </c:pt>
                <c:pt idx="895">
                  <c:v>43375</c:v>
                </c:pt>
                <c:pt idx="896">
                  <c:v>43374</c:v>
                </c:pt>
                <c:pt idx="897">
                  <c:v>43371</c:v>
                </c:pt>
                <c:pt idx="898">
                  <c:v>43370</c:v>
                </c:pt>
                <c:pt idx="899">
                  <c:v>43369</c:v>
                </c:pt>
                <c:pt idx="900">
                  <c:v>43368</c:v>
                </c:pt>
                <c:pt idx="901">
                  <c:v>43367</c:v>
                </c:pt>
                <c:pt idx="902">
                  <c:v>43364</c:v>
                </c:pt>
                <c:pt idx="903">
                  <c:v>43363</c:v>
                </c:pt>
                <c:pt idx="904">
                  <c:v>43362</c:v>
                </c:pt>
                <c:pt idx="905">
                  <c:v>43361</c:v>
                </c:pt>
                <c:pt idx="906">
                  <c:v>43360</c:v>
                </c:pt>
                <c:pt idx="907">
                  <c:v>43357</c:v>
                </c:pt>
                <c:pt idx="908">
                  <c:v>43356</c:v>
                </c:pt>
                <c:pt idx="909">
                  <c:v>43355</c:v>
                </c:pt>
                <c:pt idx="910">
                  <c:v>43354</c:v>
                </c:pt>
                <c:pt idx="911">
                  <c:v>43353</c:v>
                </c:pt>
                <c:pt idx="912">
                  <c:v>43350</c:v>
                </c:pt>
                <c:pt idx="913">
                  <c:v>43349</c:v>
                </c:pt>
                <c:pt idx="914">
                  <c:v>43348</c:v>
                </c:pt>
                <c:pt idx="915">
                  <c:v>43347</c:v>
                </c:pt>
                <c:pt idx="916">
                  <c:v>43343</c:v>
                </c:pt>
                <c:pt idx="917">
                  <c:v>43342</c:v>
                </c:pt>
                <c:pt idx="918">
                  <c:v>43341</c:v>
                </c:pt>
                <c:pt idx="919">
                  <c:v>43340</c:v>
                </c:pt>
                <c:pt idx="920">
                  <c:v>43339</c:v>
                </c:pt>
                <c:pt idx="921">
                  <c:v>43336</c:v>
                </c:pt>
                <c:pt idx="922">
                  <c:v>43335</c:v>
                </c:pt>
                <c:pt idx="923">
                  <c:v>43334</c:v>
                </c:pt>
                <c:pt idx="924">
                  <c:v>43333</c:v>
                </c:pt>
                <c:pt idx="925">
                  <c:v>43332</c:v>
                </c:pt>
                <c:pt idx="926">
                  <c:v>43329</c:v>
                </c:pt>
                <c:pt idx="927">
                  <c:v>43328</c:v>
                </c:pt>
                <c:pt idx="928">
                  <c:v>43327</c:v>
                </c:pt>
                <c:pt idx="929">
                  <c:v>43326</c:v>
                </c:pt>
                <c:pt idx="930">
                  <c:v>43325</c:v>
                </c:pt>
                <c:pt idx="931">
                  <c:v>43322</c:v>
                </c:pt>
                <c:pt idx="932">
                  <c:v>43321</c:v>
                </c:pt>
                <c:pt idx="933">
                  <c:v>43320</c:v>
                </c:pt>
                <c:pt idx="934">
                  <c:v>43319</c:v>
                </c:pt>
                <c:pt idx="935">
                  <c:v>43318</c:v>
                </c:pt>
                <c:pt idx="936">
                  <c:v>43315</c:v>
                </c:pt>
                <c:pt idx="937">
                  <c:v>43314</c:v>
                </c:pt>
                <c:pt idx="938">
                  <c:v>43313</c:v>
                </c:pt>
                <c:pt idx="939">
                  <c:v>43312</c:v>
                </c:pt>
                <c:pt idx="940">
                  <c:v>43311</c:v>
                </c:pt>
                <c:pt idx="941">
                  <c:v>43308</c:v>
                </c:pt>
                <c:pt idx="942">
                  <c:v>43307</c:v>
                </c:pt>
                <c:pt idx="943">
                  <c:v>43306</c:v>
                </c:pt>
                <c:pt idx="944">
                  <c:v>43305</c:v>
                </c:pt>
                <c:pt idx="945">
                  <c:v>43304</c:v>
                </c:pt>
                <c:pt idx="946">
                  <c:v>43301</c:v>
                </c:pt>
                <c:pt idx="947">
                  <c:v>43300</c:v>
                </c:pt>
                <c:pt idx="948">
                  <c:v>43299</c:v>
                </c:pt>
                <c:pt idx="949">
                  <c:v>43298</c:v>
                </c:pt>
                <c:pt idx="950">
                  <c:v>43297</c:v>
                </c:pt>
                <c:pt idx="951">
                  <c:v>43294</c:v>
                </c:pt>
                <c:pt idx="952">
                  <c:v>43293</c:v>
                </c:pt>
                <c:pt idx="953">
                  <c:v>43292</c:v>
                </c:pt>
                <c:pt idx="954">
                  <c:v>43291</c:v>
                </c:pt>
                <c:pt idx="955">
                  <c:v>43290</c:v>
                </c:pt>
                <c:pt idx="956">
                  <c:v>43287</c:v>
                </c:pt>
                <c:pt idx="957">
                  <c:v>43286</c:v>
                </c:pt>
                <c:pt idx="958">
                  <c:v>43284</c:v>
                </c:pt>
                <c:pt idx="959">
                  <c:v>43283</c:v>
                </c:pt>
                <c:pt idx="960">
                  <c:v>43280</c:v>
                </c:pt>
                <c:pt idx="961">
                  <c:v>43279</c:v>
                </c:pt>
                <c:pt idx="962">
                  <c:v>43278</c:v>
                </c:pt>
                <c:pt idx="963">
                  <c:v>43277</c:v>
                </c:pt>
                <c:pt idx="964">
                  <c:v>43276</c:v>
                </c:pt>
                <c:pt idx="965">
                  <c:v>43273</c:v>
                </c:pt>
                <c:pt idx="966">
                  <c:v>43272</c:v>
                </c:pt>
                <c:pt idx="967">
                  <c:v>43271</c:v>
                </c:pt>
                <c:pt idx="968">
                  <c:v>43270</c:v>
                </c:pt>
                <c:pt idx="969">
                  <c:v>43269</c:v>
                </c:pt>
                <c:pt idx="970">
                  <c:v>43266</c:v>
                </c:pt>
                <c:pt idx="971">
                  <c:v>43265</c:v>
                </c:pt>
                <c:pt idx="972">
                  <c:v>43264</c:v>
                </c:pt>
                <c:pt idx="973">
                  <c:v>43263</c:v>
                </c:pt>
                <c:pt idx="974">
                  <c:v>43262</c:v>
                </c:pt>
                <c:pt idx="975">
                  <c:v>43259</c:v>
                </c:pt>
                <c:pt idx="976">
                  <c:v>43258</c:v>
                </c:pt>
                <c:pt idx="977">
                  <c:v>43257</c:v>
                </c:pt>
                <c:pt idx="978">
                  <c:v>43256</c:v>
                </c:pt>
                <c:pt idx="979">
                  <c:v>43255</c:v>
                </c:pt>
                <c:pt idx="980">
                  <c:v>43252</c:v>
                </c:pt>
                <c:pt idx="981">
                  <c:v>43251</c:v>
                </c:pt>
                <c:pt idx="982">
                  <c:v>43250</c:v>
                </c:pt>
                <c:pt idx="983">
                  <c:v>43249</c:v>
                </c:pt>
                <c:pt idx="984">
                  <c:v>43245</c:v>
                </c:pt>
                <c:pt idx="985">
                  <c:v>43244</c:v>
                </c:pt>
                <c:pt idx="986">
                  <c:v>43243</c:v>
                </c:pt>
                <c:pt idx="987">
                  <c:v>43242</c:v>
                </c:pt>
                <c:pt idx="988">
                  <c:v>43241</c:v>
                </c:pt>
                <c:pt idx="989">
                  <c:v>43238</c:v>
                </c:pt>
                <c:pt idx="990">
                  <c:v>43237</c:v>
                </c:pt>
                <c:pt idx="991">
                  <c:v>43236</c:v>
                </c:pt>
                <c:pt idx="992">
                  <c:v>43235</c:v>
                </c:pt>
                <c:pt idx="993">
                  <c:v>43234</c:v>
                </c:pt>
                <c:pt idx="994">
                  <c:v>43231</c:v>
                </c:pt>
                <c:pt idx="995">
                  <c:v>43230</c:v>
                </c:pt>
                <c:pt idx="996">
                  <c:v>43229</c:v>
                </c:pt>
                <c:pt idx="997">
                  <c:v>43228</c:v>
                </c:pt>
                <c:pt idx="998">
                  <c:v>43227</c:v>
                </c:pt>
                <c:pt idx="999">
                  <c:v>43224</c:v>
                </c:pt>
                <c:pt idx="1000">
                  <c:v>43223</c:v>
                </c:pt>
                <c:pt idx="1001">
                  <c:v>43222</c:v>
                </c:pt>
                <c:pt idx="1002">
                  <c:v>43221</c:v>
                </c:pt>
                <c:pt idx="1003">
                  <c:v>43220</c:v>
                </c:pt>
                <c:pt idx="1004">
                  <c:v>43217</c:v>
                </c:pt>
                <c:pt idx="1005">
                  <c:v>43216</c:v>
                </c:pt>
                <c:pt idx="1006">
                  <c:v>43215</c:v>
                </c:pt>
                <c:pt idx="1007">
                  <c:v>43214</c:v>
                </c:pt>
                <c:pt idx="1008">
                  <c:v>43213</c:v>
                </c:pt>
                <c:pt idx="1009">
                  <c:v>43210</c:v>
                </c:pt>
                <c:pt idx="1010">
                  <c:v>43209</c:v>
                </c:pt>
                <c:pt idx="1011">
                  <c:v>43208</c:v>
                </c:pt>
                <c:pt idx="1012">
                  <c:v>43207</c:v>
                </c:pt>
                <c:pt idx="1013">
                  <c:v>43206</c:v>
                </c:pt>
                <c:pt idx="1014">
                  <c:v>43203</c:v>
                </c:pt>
                <c:pt idx="1015">
                  <c:v>43202</c:v>
                </c:pt>
                <c:pt idx="1016">
                  <c:v>43201</c:v>
                </c:pt>
                <c:pt idx="1017">
                  <c:v>43200</c:v>
                </c:pt>
                <c:pt idx="1018">
                  <c:v>43199</c:v>
                </c:pt>
                <c:pt idx="1019">
                  <c:v>43196</c:v>
                </c:pt>
                <c:pt idx="1020">
                  <c:v>43195</c:v>
                </c:pt>
                <c:pt idx="1021">
                  <c:v>43194</c:v>
                </c:pt>
                <c:pt idx="1022">
                  <c:v>43193</c:v>
                </c:pt>
                <c:pt idx="1023">
                  <c:v>43192</c:v>
                </c:pt>
                <c:pt idx="1024">
                  <c:v>43188</c:v>
                </c:pt>
                <c:pt idx="1025">
                  <c:v>43187</c:v>
                </c:pt>
                <c:pt idx="1026">
                  <c:v>43186</c:v>
                </c:pt>
                <c:pt idx="1027">
                  <c:v>43185</c:v>
                </c:pt>
                <c:pt idx="1028">
                  <c:v>43182</c:v>
                </c:pt>
                <c:pt idx="1029">
                  <c:v>43181</c:v>
                </c:pt>
                <c:pt idx="1030">
                  <c:v>43180</c:v>
                </c:pt>
                <c:pt idx="1031">
                  <c:v>43179</c:v>
                </c:pt>
                <c:pt idx="1032">
                  <c:v>43178</c:v>
                </c:pt>
                <c:pt idx="1033">
                  <c:v>43175</c:v>
                </c:pt>
                <c:pt idx="1034">
                  <c:v>43174</c:v>
                </c:pt>
                <c:pt idx="1035">
                  <c:v>43173</c:v>
                </c:pt>
                <c:pt idx="1036">
                  <c:v>43172</c:v>
                </c:pt>
                <c:pt idx="1037">
                  <c:v>43171</c:v>
                </c:pt>
                <c:pt idx="1038">
                  <c:v>43168</c:v>
                </c:pt>
                <c:pt idx="1039">
                  <c:v>43167</c:v>
                </c:pt>
                <c:pt idx="1040">
                  <c:v>43166</c:v>
                </c:pt>
                <c:pt idx="1041">
                  <c:v>43165</c:v>
                </c:pt>
                <c:pt idx="1042">
                  <c:v>43164</c:v>
                </c:pt>
                <c:pt idx="1043">
                  <c:v>43161</c:v>
                </c:pt>
                <c:pt idx="1044">
                  <c:v>43160</c:v>
                </c:pt>
                <c:pt idx="1045">
                  <c:v>43159</c:v>
                </c:pt>
                <c:pt idx="1046">
                  <c:v>43158</c:v>
                </c:pt>
                <c:pt idx="1047">
                  <c:v>43157</c:v>
                </c:pt>
                <c:pt idx="1048">
                  <c:v>43154</c:v>
                </c:pt>
                <c:pt idx="1049">
                  <c:v>43153</c:v>
                </c:pt>
                <c:pt idx="1050">
                  <c:v>43152</c:v>
                </c:pt>
                <c:pt idx="1051">
                  <c:v>43151</c:v>
                </c:pt>
                <c:pt idx="1052">
                  <c:v>43147</c:v>
                </c:pt>
                <c:pt idx="1053">
                  <c:v>43146</c:v>
                </c:pt>
                <c:pt idx="1054">
                  <c:v>43145</c:v>
                </c:pt>
                <c:pt idx="1055">
                  <c:v>43144</c:v>
                </c:pt>
                <c:pt idx="1056">
                  <c:v>43143</c:v>
                </c:pt>
                <c:pt idx="1057">
                  <c:v>43140</c:v>
                </c:pt>
                <c:pt idx="1058">
                  <c:v>43139</c:v>
                </c:pt>
                <c:pt idx="1059">
                  <c:v>43138</c:v>
                </c:pt>
                <c:pt idx="1060">
                  <c:v>43137</c:v>
                </c:pt>
                <c:pt idx="1061">
                  <c:v>43136</c:v>
                </c:pt>
                <c:pt idx="1062">
                  <c:v>43133</c:v>
                </c:pt>
                <c:pt idx="1063">
                  <c:v>43132</c:v>
                </c:pt>
                <c:pt idx="1064">
                  <c:v>43131</c:v>
                </c:pt>
                <c:pt idx="1065">
                  <c:v>43130</c:v>
                </c:pt>
                <c:pt idx="1066">
                  <c:v>43129</c:v>
                </c:pt>
                <c:pt idx="1067">
                  <c:v>43126</c:v>
                </c:pt>
                <c:pt idx="1068">
                  <c:v>43125</c:v>
                </c:pt>
                <c:pt idx="1069">
                  <c:v>43124</c:v>
                </c:pt>
                <c:pt idx="1070">
                  <c:v>43123</c:v>
                </c:pt>
                <c:pt idx="1071">
                  <c:v>43122</c:v>
                </c:pt>
                <c:pt idx="1072">
                  <c:v>43119</c:v>
                </c:pt>
                <c:pt idx="1073">
                  <c:v>43118</c:v>
                </c:pt>
                <c:pt idx="1074">
                  <c:v>43117</c:v>
                </c:pt>
                <c:pt idx="1075">
                  <c:v>43116</c:v>
                </c:pt>
                <c:pt idx="1076">
                  <c:v>43112</c:v>
                </c:pt>
                <c:pt idx="1077">
                  <c:v>43111</c:v>
                </c:pt>
                <c:pt idx="1078">
                  <c:v>43110</c:v>
                </c:pt>
                <c:pt idx="1079">
                  <c:v>43109</c:v>
                </c:pt>
                <c:pt idx="1080">
                  <c:v>43108</c:v>
                </c:pt>
                <c:pt idx="1081">
                  <c:v>43105</c:v>
                </c:pt>
                <c:pt idx="1082">
                  <c:v>43104</c:v>
                </c:pt>
                <c:pt idx="1083">
                  <c:v>43103</c:v>
                </c:pt>
                <c:pt idx="1084">
                  <c:v>43102</c:v>
                </c:pt>
                <c:pt idx="1085">
                  <c:v>43098</c:v>
                </c:pt>
                <c:pt idx="1086">
                  <c:v>43097</c:v>
                </c:pt>
                <c:pt idx="1087">
                  <c:v>43096</c:v>
                </c:pt>
                <c:pt idx="1088">
                  <c:v>43095</c:v>
                </c:pt>
                <c:pt idx="1089">
                  <c:v>43091</c:v>
                </c:pt>
                <c:pt idx="1090">
                  <c:v>43090</c:v>
                </c:pt>
                <c:pt idx="1091">
                  <c:v>43089</c:v>
                </c:pt>
                <c:pt idx="1092">
                  <c:v>43088</c:v>
                </c:pt>
                <c:pt idx="1093">
                  <c:v>43087</c:v>
                </c:pt>
                <c:pt idx="1094">
                  <c:v>43084</c:v>
                </c:pt>
                <c:pt idx="1095">
                  <c:v>43083</c:v>
                </c:pt>
                <c:pt idx="1096">
                  <c:v>43082</c:v>
                </c:pt>
                <c:pt idx="1097">
                  <c:v>43081</c:v>
                </c:pt>
                <c:pt idx="1098">
                  <c:v>43080</c:v>
                </c:pt>
                <c:pt idx="1099">
                  <c:v>43077</c:v>
                </c:pt>
                <c:pt idx="1100">
                  <c:v>43076</c:v>
                </c:pt>
                <c:pt idx="1101">
                  <c:v>43075</c:v>
                </c:pt>
                <c:pt idx="1102">
                  <c:v>43074</c:v>
                </c:pt>
                <c:pt idx="1103">
                  <c:v>43073</c:v>
                </c:pt>
                <c:pt idx="1104">
                  <c:v>43070</c:v>
                </c:pt>
                <c:pt idx="1105">
                  <c:v>43069</c:v>
                </c:pt>
                <c:pt idx="1106">
                  <c:v>43068</c:v>
                </c:pt>
                <c:pt idx="1107">
                  <c:v>43067</c:v>
                </c:pt>
                <c:pt idx="1108">
                  <c:v>43066</c:v>
                </c:pt>
                <c:pt idx="1109">
                  <c:v>43063</c:v>
                </c:pt>
                <c:pt idx="1110">
                  <c:v>43061</c:v>
                </c:pt>
                <c:pt idx="1111">
                  <c:v>43060</c:v>
                </c:pt>
                <c:pt idx="1112">
                  <c:v>43059</c:v>
                </c:pt>
                <c:pt idx="1113">
                  <c:v>43056</c:v>
                </c:pt>
                <c:pt idx="1114">
                  <c:v>43055</c:v>
                </c:pt>
                <c:pt idx="1115">
                  <c:v>43054</c:v>
                </c:pt>
                <c:pt idx="1116">
                  <c:v>43053</c:v>
                </c:pt>
                <c:pt idx="1117">
                  <c:v>43052</c:v>
                </c:pt>
                <c:pt idx="1118">
                  <c:v>43049</c:v>
                </c:pt>
                <c:pt idx="1119">
                  <c:v>43048</c:v>
                </c:pt>
                <c:pt idx="1120">
                  <c:v>43047</c:v>
                </c:pt>
                <c:pt idx="1121">
                  <c:v>43046</c:v>
                </c:pt>
                <c:pt idx="1122">
                  <c:v>43045</c:v>
                </c:pt>
                <c:pt idx="1123">
                  <c:v>43042</c:v>
                </c:pt>
                <c:pt idx="1124">
                  <c:v>43041</c:v>
                </c:pt>
                <c:pt idx="1125">
                  <c:v>43040</c:v>
                </c:pt>
                <c:pt idx="1126">
                  <c:v>43039</c:v>
                </c:pt>
                <c:pt idx="1127">
                  <c:v>43038</c:v>
                </c:pt>
                <c:pt idx="1128">
                  <c:v>43035</c:v>
                </c:pt>
                <c:pt idx="1129">
                  <c:v>43034</c:v>
                </c:pt>
                <c:pt idx="1130">
                  <c:v>43033</c:v>
                </c:pt>
                <c:pt idx="1131">
                  <c:v>43032</c:v>
                </c:pt>
                <c:pt idx="1132">
                  <c:v>43031</c:v>
                </c:pt>
                <c:pt idx="1133">
                  <c:v>43028</c:v>
                </c:pt>
                <c:pt idx="1134">
                  <c:v>43027</c:v>
                </c:pt>
                <c:pt idx="1135">
                  <c:v>43026</c:v>
                </c:pt>
                <c:pt idx="1136">
                  <c:v>43025</c:v>
                </c:pt>
                <c:pt idx="1137">
                  <c:v>43024</c:v>
                </c:pt>
                <c:pt idx="1138">
                  <c:v>43021</c:v>
                </c:pt>
                <c:pt idx="1139">
                  <c:v>43020</c:v>
                </c:pt>
                <c:pt idx="1140">
                  <c:v>43019</c:v>
                </c:pt>
                <c:pt idx="1141">
                  <c:v>43018</c:v>
                </c:pt>
                <c:pt idx="1142">
                  <c:v>43017</c:v>
                </c:pt>
                <c:pt idx="1143">
                  <c:v>43014</c:v>
                </c:pt>
                <c:pt idx="1144">
                  <c:v>43013</c:v>
                </c:pt>
                <c:pt idx="1145">
                  <c:v>43012</c:v>
                </c:pt>
                <c:pt idx="1146">
                  <c:v>43011</c:v>
                </c:pt>
                <c:pt idx="1147">
                  <c:v>43010</c:v>
                </c:pt>
                <c:pt idx="1148">
                  <c:v>43007</c:v>
                </c:pt>
                <c:pt idx="1149">
                  <c:v>43006</c:v>
                </c:pt>
                <c:pt idx="1150">
                  <c:v>43005</c:v>
                </c:pt>
                <c:pt idx="1151">
                  <c:v>43004</c:v>
                </c:pt>
                <c:pt idx="1152">
                  <c:v>43003</c:v>
                </c:pt>
                <c:pt idx="1153">
                  <c:v>43000</c:v>
                </c:pt>
                <c:pt idx="1154">
                  <c:v>42999</c:v>
                </c:pt>
                <c:pt idx="1155">
                  <c:v>42998</c:v>
                </c:pt>
                <c:pt idx="1156">
                  <c:v>42997</c:v>
                </c:pt>
                <c:pt idx="1157">
                  <c:v>42996</c:v>
                </c:pt>
                <c:pt idx="1158">
                  <c:v>42993</c:v>
                </c:pt>
                <c:pt idx="1159">
                  <c:v>42992</c:v>
                </c:pt>
                <c:pt idx="1160">
                  <c:v>42991</c:v>
                </c:pt>
                <c:pt idx="1161">
                  <c:v>42990</c:v>
                </c:pt>
                <c:pt idx="1162">
                  <c:v>42989</c:v>
                </c:pt>
                <c:pt idx="1163">
                  <c:v>42986</c:v>
                </c:pt>
                <c:pt idx="1164">
                  <c:v>42985</c:v>
                </c:pt>
                <c:pt idx="1165">
                  <c:v>42984</c:v>
                </c:pt>
                <c:pt idx="1166">
                  <c:v>42983</c:v>
                </c:pt>
                <c:pt idx="1167">
                  <c:v>42979</c:v>
                </c:pt>
                <c:pt idx="1168">
                  <c:v>42978</c:v>
                </c:pt>
                <c:pt idx="1169">
                  <c:v>42977</c:v>
                </c:pt>
                <c:pt idx="1170">
                  <c:v>42976</c:v>
                </c:pt>
                <c:pt idx="1171">
                  <c:v>42975</c:v>
                </c:pt>
                <c:pt idx="1172">
                  <c:v>42972</c:v>
                </c:pt>
                <c:pt idx="1173">
                  <c:v>42971</c:v>
                </c:pt>
                <c:pt idx="1174">
                  <c:v>42970</c:v>
                </c:pt>
                <c:pt idx="1175">
                  <c:v>42969</c:v>
                </c:pt>
                <c:pt idx="1176">
                  <c:v>42968</c:v>
                </c:pt>
                <c:pt idx="1177">
                  <c:v>42965</c:v>
                </c:pt>
                <c:pt idx="1178">
                  <c:v>42964</c:v>
                </c:pt>
                <c:pt idx="1179">
                  <c:v>42963</c:v>
                </c:pt>
                <c:pt idx="1180">
                  <c:v>42962</c:v>
                </c:pt>
                <c:pt idx="1181">
                  <c:v>42961</c:v>
                </c:pt>
                <c:pt idx="1182">
                  <c:v>42958</c:v>
                </c:pt>
                <c:pt idx="1183">
                  <c:v>42957</c:v>
                </c:pt>
                <c:pt idx="1184">
                  <c:v>42956</c:v>
                </c:pt>
                <c:pt idx="1185">
                  <c:v>42955</c:v>
                </c:pt>
                <c:pt idx="1186">
                  <c:v>42954</c:v>
                </c:pt>
                <c:pt idx="1187">
                  <c:v>42951</c:v>
                </c:pt>
                <c:pt idx="1188">
                  <c:v>42950</c:v>
                </c:pt>
                <c:pt idx="1189">
                  <c:v>42949</c:v>
                </c:pt>
                <c:pt idx="1190">
                  <c:v>42948</c:v>
                </c:pt>
                <c:pt idx="1191">
                  <c:v>42947</c:v>
                </c:pt>
                <c:pt idx="1192">
                  <c:v>42944</c:v>
                </c:pt>
                <c:pt idx="1193">
                  <c:v>42943</c:v>
                </c:pt>
                <c:pt idx="1194">
                  <c:v>42942</c:v>
                </c:pt>
                <c:pt idx="1195">
                  <c:v>42941</c:v>
                </c:pt>
                <c:pt idx="1196">
                  <c:v>42940</c:v>
                </c:pt>
                <c:pt idx="1197">
                  <c:v>42937</c:v>
                </c:pt>
                <c:pt idx="1198">
                  <c:v>42936</c:v>
                </c:pt>
                <c:pt idx="1199">
                  <c:v>42935</c:v>
                </c:pt>
                <c:pt idx="1200">
                  <c:v>42934</c:v>
                </c:pt>
                <c:pt idx="1201">
                  <c:v>42933</c:v>
                </c:pt>
                <c:pt idx="1202">
                  <c:v>42930</c:v>
                </c:pt>
                <c:pt idx="1203">
                  <c:v>42929</c:v>
                </c:pt>
                <c:pt idx="1204">
                  <c:v>42928</c:v>
                </c:pt>
                <c:pt idx="1205">
                  <c:v>42927</c:v>
                </c:pt>
                <c:pt idx="1206">
                  <c:v>42926</c:v>
                </c:pt>
                <c:pt idx="1207">
                  <c:v>42923</c:v>
                </c:pt>
                <c:pt idx="1208">
                  <c:v>42922</c:v>
                </c:pt>
                <c:pt idx="1209">
                  <c:v>42921</c:v>
                </c:pt>
                <c:pt idx="1210">
                  <c:v>42919</c:v>
                </c:pt>
                <c:pt idx="1211">
                  <c:v>42916</c:v>
                </c:pt>
                <c:pt idx="1212">
                  <c:v>42915</c:v>
                </c:pt>
                <c:pt idx="1213">
                  <c:v>42914</c:v>
                </c:pt>
                <c:pt idx="1214">
                  <c:v>42913</c:v>
                </c:pt>
                <c:pt idx="1215">
                  <c:v>42912</c:v>
                </c:pt>
                <c:pt idx="1216">
                  <c:v>42909</c:v>
                </c:pt>
                <c:pt idx="1217">
                  <c:v>42908</c:v>
                </c:pt>
                <c:pt idx="1218">
                  <c:v>42907</c:v>
                </c:pt>
                <c:pt idx="1219">
                  <c:v>42906</c:v>
                </c:pt>
                <c:pt idx="1220">
                  <c:v>42905</c:v>
                </c:pt>
                <c:pt idx="1221">
                  <c:v>42902</c:v>
                </c:pt>
                <c:pt idx="1222">
                  <c:v>42901</c:v>
                </c:pt>
                <c:pt idx="1223">
                  <c:v>42900</c:v>
                </c:pt>
                <c:pt idx="1224">
                  <c:v>42899</c:v>
                </c:pt>
                <c:pt idx="1225">
                  <c:v>42898</c:v>
                </c:pt>
                <c:pt idx="1226">
                  <c:v>42895</c:v>
                </c:pt>
                <c:pt idx="1227">
                  <c:v>42894</c:v>
                </c:pt>
                <c:pt idx="1228">
                  <c:v>42893</c:v>
                </c:pt>
                <c:pt idx="1229">
                  <c:v>42892</c:v>
                </c:pt>
                <c:pt idx="1230">
                  <c:v>42891</c:v>
                </c:pt>
                <c:pt idx="1231">
                  <c:v>42888</c:v>
                </c:pt>
                <c:pt idx="1232">
                  <c:v>42887</c:v>
                </c:pt>
                <c:pt idx="1233">
                  <c:v>42886</c:v>
                </c:pt>
                <c:pt idx="1234">
                  <c:v>42885</c:v>
                </c:pt>
                <c:pt idx="1235">
                  <c:v>42881</c:v>
                </c:pt>
                <c:pt idx="1236">
                  <c:v>42880</c:v>
                </c:pt>
                <c:pt idx="1237">
                  <c:v>42879</c:v>
                </c:pt>
                <c:pt idx="1238">
                  <c:v>42878</c:v>
                </c:pt>
                <c:pt idx="1239">
                  <c:v>42877</c:v>
                </c:pt>
                <c:pt idx="1240">
                  <c:v>42874</c:v>
                </c:pt>
                <c:pt idx="1241">
                  <c:v>42873</c:v>
                </c:pt>
                <c:pt idx="1242">
                  <c:v>42872</c:v>
                </c:pt>
                <c:pt idx="1243">
                  <c:v>42871</c:v>
                </c:pt>
                <c:pt idx="1244">
                  <c:v>42870</c:v>
                </c:pt>
                <c:pt idx="1245">
                  <c:v>42867</c:v>
                </c:pt>
                <c:pt idx="1246">
                  <c:v>42866</c:v>
                </c:pt>
                <c:pt idx="1247">
                  <c:v>42865</c:v>
                </c:pt>
                <c:pt idx="1248">
                  <c:v>42864</c:v>
                </c:pt>
                <c:pt idx="1249">
                  <c:v>42863</c:v>
                </c:pt>
                <c:pt idx="1250">
                  <c:v>42860</c:v>
                </c:pt>
                <c:pt idx="1251">
                  <c:v>42859</c:v>
                </c:pt>
                <c:pt idx="1252">
                  <c:v>42858</c:v>
                </c:pt>
                <c:pt idx="1253">
                  <c:v>42857</c:v>
                </c:pt>
                <c:pt idx="1254">
                  <c:v>42856</c:v>
                </c:pt>
                <c:pt idx="1255">
                  <c:v>42853</c:v>
                </c:pt>
                <c:pt idx="1256">
                  <c:v>42852</c:v>
                </c:pt>
                <c:pt idx="1257">
                  <c:v>42851</c:v>
                </c:pt>
                <c:pt idx="1258">
                  <c:v>42850</c:v>
                </c:pt>
                <c:pt idx="1259">
                  <c:v>42849</c:v>
                </c:pt>
              </c:numCache>
            </c:numRef>
          </c:cat>
          <c:val>
            <c:numRef>
              <c:f>Historicos!$C$2:$C$1261</c:f>
              <c:numCache>
                <c:formatCode>0.00%</c:formatCode>
                <c:ptCount val="1260"/>
                <c:pt idx="0">
                  <c:v>-2.7821175339502457E-2</c:v>
                </c:pt>
                <c:pt idx="1">
                  <c:v>-4.8436285355498709E-3</c:v>
                </c:pt>
                <c:pt idx="2">
                  <c:v>-1.0155316606930143E-3</c:v>
                </c:pt>
                <c:pt idx="3">
                  <c:v>1.4115223844429758E-2</c:v>
                </c:pt>
                <c:pt idx="4">
                  <c:v>-1.3309940105269424E-3</c:v>
                </c:pt>
                <c:pt idx="5">
                  <c:v>-2.9988262910798147E-2</c:v>
                </c:pt>
                <c:pt idx="6">
                  <c:v>1.6342598115233198E-2</c:v>
                </c:pt>
                <c:pt idx="7">
                  <c:v>1.1523378582201982E-2</c:v>
                </c:pt>
                <c:pt idx="8">
                  <c:v>-2.551590334528786E-2</c:v>
                </c:pt>
                <c:pt idx="9">
                  <c:v>-1.1908911351225626E-2</c:v>
                </c:pt>
                <c:pt idx="10">
                  <c:v>1.8041087120990174E-3</c:v>
                </c:pt>
                <c:pt idx="11">
                  <c:v>-1.8450816862789821E-2</c:v>
                </c:pt>
                <c:pt idx="12">
                  <c:v>-1.8941941268773799E-2</c:v>
                </c:pt>
                <c:pt idx="13">
                  <c:v>2.3693419769376334E-2</c:v>
                </c:pt>
                <c:pt idx="14">
                  <c:v>-1.7181146555180771E-3</c:v>
                </c:pt>
                <c:pt idx="15">
                  <c:v>-1.7775777690273942E-2</c:v>
                </c:pt>
                <c:pt idx="16">
                  <c:v>-6.6495306213678607E-3</c:v>
                </c:pt>
                <c:pt idx="17">
                  <c:v>1.9134396355353189E-2</c:v>
                </c:pt>
                <c:pt idx="18">
                  <c:v>5.0366300366300187E-3</c:v>
                </c:pt>
                <c:pt idx="19">
                  <c:v>3.7341299477222645E-3</c:v>
                </c:pt>
                <c:pt idx="20">
                  <c:v>2.2677868515363242E-2</c:v>
                </c:pt>
                <c:pt idx="21">
                  <c:v>8.2336216088141345E-3</c:v>
                </c:pt>
                <c:pt idx="22">
                  <c:v>2.0800580481315833E-2</c:v>
                </c:pt>
                <c:pt idx="23">
                  <c:v>8.5376265398220408E-3</c:v>
                </c:pt>
                <c:pt idx="24">
                  <c:v>2.0918939110945001E-2</c:v>
                </c:pt>
                <c:pt idx="25">
                  <c:v>6.454038473588497E-3</c:v>
                </c:pt>
                <c:pt idx="26">
                  <c:v>2.9015410406860509E-2</c:v>
                </c:pt>
                <c:pt idx="27">
                  <c:v>2.96773336874252E-2</c:v>
                </c:pt>
                <c:pt idx="28">
                  <c:v>-2.6562399017643568E-2</c:v>
                </c:pt>
                <c:pt idx="29">
                  <c:v>-2.3908655059298622E-2</c:v>
                </c:pt>
                <c:pt idx="30">
                  <c:v>-2.7186253451979003E-2</c:v>
                </c:pt>
                <c:pt idx="31">
                  <c:v>3.4997459349593418E-2</c:v>
                </c:pt>
                <c:pt idx="32">
                  <c:v>-1.167608286252364E-2</c:v>
                </c:pt>
                <c:pt idx="33">
                  <c:v>-2.3717595146166448E-2</c:v>
                </c:pt>
                <c:pt idx="34">
                  <c:v>-1.840822956145105E-2</c:v>
                </c:pt>
                <c:pt idx="35">
                  <c:v>-1.9812680115274262E-3</c:v>
                </c:pt>
                <c:pt idx="36">
                  <c:v>2.0588235294117796E-2</c:v>
                </c:pt>
                <c:pt idx="37">
                  <c:v>-1.1627906976744318E-2</c:v>
                </c:pt>
                <c:pt idx="38">
                  <c:v>1.6378525932667642E-3</c:v>
                </c:pt>
                <c:pt idx="39">
                  <c:v>1.2965466388103586E-2</c:v>
                </c:pt>
                <c:pt idx="40">
                  <c:v>1.6680202411445189E-2</c:v>
                </c:pt>
                <c:pt idx="41">
                  <c:v>-2.5864167478091504E-2</c:v>
                </c:pt>
                <c:pt idx="42">
                  <c:v>-1.781231320980281E-2</c:v>
                </c:pt>
                <c:pt idx="43">
                  <c:v>-9.3557555660823688E-3</c:v>
                </c:pt>
                <c:pt idx="44">
                  <c:v>-2.1269197334106149E-2</c:v>
                </c:pt>
                <c:pt idx="45">
                  <c:v>-1.3889692690548516E-3</c:v>
                </c:pt>
                <c:pt idx="46">
                  <c:v>2.3152534343912734E-2</c:v>
                </c:pt>
                <c:pt idx="47">
                  <c:v>1.4231499051233776E-3</c:v>
                </c:pt>
                <c:pt idx="48">
                  <c:v>-2.0218452242621532E-2</c:v>
                </c:pt>
                <c:pt idx="49">
                  <c:v>-2.359882005899705E-2</c:v>
                </c:pt>
                <c:pt idx="50">
                  <c:v>8.2937710919177565E-3</c:v>
                </c:pt>
                <c:pt idx="51">
                  <c:v>1.846673657229414E-2</c:v>
                </c:pt>
                <c:pt idx="52">
                  <c:v>-4.2345843726433463E-3</c:v>
                </c:pt>
                <c:pt idx="53">
                  <c:v>-2.9496818970504712E-3</c:v>
                </c:pt>
                <c:pt idx="54">
                  <c:v>-1.671974522292996E-2</c:v>
                </c:pt>
                <c:pt idx="55">
                  <c:v>7.0442700876238717E-3</c:v>
                </c:pt>
                <c:pt idx="56">
                  <c:v>-9.7265133310442398E-4</c:v>
                </c:pt>
                <c:pt idx="57">
                  <c:v>2.6125755885633595E-2</c:v>
                </c:pt>
                <c:pt idx="58">
                  <c:v>6.9777666122346593E-2</c:v>
                </c:pt>
                <c:pt idx="59">
                  <c:v>-2.9432024547560998E-3</c:v>
                </c:pt>
                <c:pt idx="60">
                  <c:v>-5.6327450244086918E-4</c:v>
                </c:pt>
                <c:pt idx="61">
                  <c:v>-1.1384729612671673E-2</c:v>
                </c:pt>
                <c:pt idx="62">
                  <c:v>-4.8642324979988327E-3</c:v>
                </c:pt>
                <c:pt idx="63">
                  <c:v>-1.2765181447936258E-2</c:v>
                </c:pt>
                <c:pt idx="64">
                  <c:v>-1.034710942669792E-2</c:v>
                </c:pt>
                <c:pt idx="65">
                  <c:v>-2.102473498233226E-2</c:v>
                </c:pt>
                <c:pt idx="66">
                  <c:v>-1.889408909689716E-2</c:v>
                </c:pt>
                <c:pt idx="67">
                  <c:v>5.110633602415815E-3</c:v>
                </c:pt>
                <c:pt idx="68">
                  <c:v>-1.9028086367002817E-2</c:v>
                </c:pt>
                <c:pt idx="69">
                  <c:v>2.5702535983549435E-3</c:v>
                </c:pt>
                <c:pt idx="70">
                  <c:v>1.6783785353388758E-2</c:v>
                </c:pt>
                <c:pt idx="71">
                  <c:v>1.1616425625837756E-4</c:v>
                </c:pt>
                <c:pt idx="72">
                  <c:v>9.8837209302327089E-4</c:v>
                </c:pt>
                <c:pt idx="73">
                  <c:v>-1.669334552938484E-2</c:v>
                </c:pt>
                <c:pt idx="74">
                  <c:v>-2.6599888703394581E-2</c:v>
                </c:pt>
                <c:pt idx="75">
                  <c:v>-1.2691610351079574E-2</c:v>
                </c:pt>
                <c:pt idx="76">
                  <c:v>2.5004223686433402E-2</c:v>
                </c:pt>
                <c:pt idx="77">
                  <c:v>-3.5353535353535026E-3</c:v>
                </c:pt>
                <c:pt idx="78">
                  <c:v>-6.5782138476976337E-3</c:v>
                </c:pt>
                <c:pt idx="79">
                  <c:v>5.0198003234980249E-4</c:v>
                </c:pt>
                <c:pt idx="80">
                  <c:v>-5.767204569400608E-3</c:v>
                </c:pt>
                <c:pt idx="81">
                  <c:v>2.2974812797821764E-2</c:v>
                </c:pt>
                <c:pt idx="82">
                  <c:v>3.6438168982009245E-3</c:v>
                </c:pt>
                <c:pt idx="83">
                  <c:v>1.5318804555176424E-2</c:v>
                </c:pt>
                <c:pt idx="84">
                  <c:v>1.9086892488954454E-2</c:v>
                </c:pt>
                <c:pt idx="85">
                  <c:v>-8.122005375715724E-3</c:v>
                </c:pt>
                <c:pt idx="86">
                  <c:v>-6.5017996052478821E-3</c:v>
                </c:pt>
                <c:pt idx="87">
                  <c:v>-3.9263803680981701E-2</c:v>
                </c:pt>
                <c:pt idx="88">
                  <c:v>2.8509149314518423E-2</c:v>
                </c:pt>
                <c:pt idx="89">
                  <c:v>-8.0232161147149039E-3</c:v>
                </c:pt>
                <c:pt idx="90">
                  <c:v>-2.0674282529952515E-2</c:v>
                </c:pt>
                <c:pt idx="91">
                  <c:v>2.8013290559119941E-2</c:v>
                </c:pt>
                <c:pt idx="92">
                  <c:v>-2.970070824765858E-3</c:v>
                </c:pt>
                <c:pt idx="93">
                  <c:v>2.2783035401331864E-2</c:v>
                </c:pt>
                <c:pt idx="94">
                  <c:v>3.5446406968304034E-2</c:v>
                </c:pt>
                <c:pt idx="95">
                  <c:v>2.1502718734552673E-2</c:v>
                </c:pt>
                <c:pt idx="96">
                  <c:v>-1.1724474841230959E-2</c:v>
                </c:pt>
                <c:pt idx="97">
                  <c:v>-6.1297566304546747E-3</c:v>
                </c:pt>
                <c:pt idx="98">
                  <c:v>-3.2062915910465728E-3</c:v>
                </c:pt>
                <c:pt idx="99">
                  <c:v>3.1577633549675577E-2</c:v>
                </c:pt>
                <c:pt idx="100">
                  <c:v>2.1873604999681273E-2</c:v>
                </c:pt>
                <c:pt idx="101">
                  <c:v>-3.1678399407187863E-2</c:v>
                </c:pt>
                <c:pt idx="102">
                  <c:v>3.2835635958119447E-3</c:v>
                </c:pt>
                <c:pt idx="103">
                  <c:v>2.4220593715065242E-3</c:v>
                </c:pt>
                <c:pt idx="104">
                  <c:v>2.9274369355341001E-3</c:v>
                </c:pt>
                <c:pt idx="105">
                  <c:v>1.6975992905555293E-2</c:v>
                </c:pt>
                <c:pt idx="106">
                  <c:v>2.8536060981171341E-2</c:v>
                </c:pt>
                <c:pt idx="107">
                  <c:v>1.6490066225165689E-2</c:v>
                </c:pt>
                <c:pt idx="108">
                  <c:v>6.6666666666665986E-3</c:v>
                </c:pt>
                <c:pt idx="109">
                  <c:v>6.6671111407456962E-5</c:v>
                </c:pt>
                <c:pt idx="110">
                  <c:v>1.433691756272415E-2</c:v>
                </c:pt>
                <c:pt idx="111">
                  <c:v>-3.3802055164944278E-4</c:v>
                </c:pt>
                <c:pt idx="112">
                  <c:v>-1.9163185465154942E-2</c:v>
                </c:pt>
                <c:pt idx="113">
                  <c:v>2.4594522733316637E-3</c:v>
                </c:pt>
                <c:pt idx="114">
                  <c:v>-5.5526176626123913E-3</c:v>
                </c:pt>
                <c:pt idx="115">
                  <c:v>2.1197668256491831E-3</c:v>
                </c:pt>
                <c:pt idx="116">
                  <c:v>-3.4985807644069E-3</c:v>
                </c:pt>
                <c:pt idx="117">
                  <c:v>9.7986935075322634E-3</c:v>
                </c:pt>
                <c:pt idx="118">
                  <c:v>7.1160042964555359E-3</c:v>
                </c:pt>
                <c:pt idx="119">
                  <c:v>-5.6074766355140859E-3</c:v>
                </c:pt>
                <c:pt idx="120">
                  <c:v>-1.81556007078717E-2</c:v>
                </c:pt>
                <c:pt idx="121">
                  <c:v>2.4991602284178738E-2</c:v>
                </c:pt>
                <c:pt idx="122">
                  <c:v>-3.1476024645057388E-3</c:v>
                </c:pt>
                <c:pt idx="123">
                  <c:v>4.5748116254036297E-3</c:v>
                </c:pt>
                <c:pt idx="124">
                  <c:v>-3.3627009213810233E-4</c:v>
                </c:pt>
                <c:pt idx="125">
                  <c:v>-5.2849879582552717E-3</c:v>
                </c:pt>
                <c:pt idx="126">
                  <c:v>1.473938094600058E-3</c:v>
                </c:pt>
                <c:pt idx="127">
                  <c:v>3.3611185802635557E-3</c:v>
                </c:pt>
                <c:pt idx="128">
                  <c:v>1.5080177413851814E-2</c:v>
                </c:pt>
                <c:pt idx="129">
                  <c:v>1.1806130903065482E-2</c:v>
                </c:pt>
                <c:pt idx="130">
                  <c:v>7.5125208681137146E-3</c:v>
                </c:pt>
                <c:pt idx="131">
                  <c:v>2.0225675963380763E-2</c:v>
                </c:pt>
                <c:pt idx="132">
                  <c:v>-4.2399830400677851E-3</c:v>
                </c:pt>
                <c:pt idx="133">
                  <c:v>-9.1030039913172489E-3</c:v>
                </c:pt>
                <c:pt idx="134">
                  <c:v>-6.2981105668302728E-4</c:v>
                </c:pt>
                <c:pt idx="135">
                  <c:v>-2.7217530881428198E-3</c:v>
                </c:pt>
                <c:pt idx="136">
                  <c:v>9.0845070422533869E-3</c:v>
                </c:pt>
                <c:pt idx="137">
                  <c:v>6.3071362766635719E-3</c:v>
                </c:pt>
                <c:pt idx="138">
                  <c:v>1.4158401609889459E-2</c:v>
                </c:pt>
                <c:pt idx="139">
                  <c:v>-2.4605678233438621E-2</c:v>
                </c:pt>
                <c:pt idx="140">
                  <c:v>8.1272084805654732E-3</c:v>
                </c:pt>
                <c:pt idx="141">
                  <c:v>-9.3117692361549542E-3</c:v>
                </c:pt>
                <c:pt idx="142">
                  <c:v>6.482982171799101E-3</c:v>
                </c:pt>
                <c:pt idx="143">
                  <c:v>-2.3801334525693107E-2</c:v>
                </c:pt>
                <c:pt idx="144">
                  <c:v>-1.0549959161448297E-2</c:v>
                </c:pt>
                <c:pt idx="145">
                  <c:v>6.1295375604419888E-4</c:v>
                </c:pt>
                <c:pt idx="146">
                  <c:v>6.7192320877615952E-3</c:v>
                </c:pt>
                <c:pt idx="147">
                  <c:v>1.6872341908944932E-2</c:v>
                </c:pt>
                <c:pt idx="148">
                  <c:v>3.4280117531833021E-3</c:v>
                </c:pt>
                <c:pt idx="149">
                  <c:v>-2.1361084485827742E-2</c:v>
                </c:pt>
                <c:pt idx="150">
                  <c:v>-1.8348007258552235E-2</c:v>
                </c:pt>
                <c:pt idx="151">
                  <c:v>-1.6104140106019127E-3</c:v>
                </c:pt>
                <c:pt idx="152">
                  <c:v>6.1436672967862815E-3</c:v>
                </c:pt>
                <c:pt idx="153">
                  <c:v>-9.5620193915079144E-3</c:v>
                </c:pt>
                <c:pt idx="154">
                  <c:v>3.8934013559777103E-3</c:v>
                </c:pt>
                <c:pt idx="155">
                  <c:v>-3.3101836827416076E-2</c:v>
                </c:pt>
                <c:pt idx="156">
                  <c:v>-6.7049190896784072E-3</c:v>
                </c:pt>
                <c:pt idx="157">
                  <c:v>-1.0083604569532056E-2</c:v>
                </c:pt>
                <c:pt idx="158">
                  <c:v>1.5489306545690029E-2</c:v>
                </c:pt>
                <c:pt idx="159">
                  <c:v>4.2303937520338231E-3</c:v>
                </c:pt>
                <c:pt idx="160">
                  <c:v>7.4749196773982174E-3</c:v>
                </c:pt>
                <c:pt idx="161">
                  <c:v>4.4786932753735353E-3</c:v>
                </c:pt>
                <c:pt idx="162">
                  <c:v>-8.4247648902820993E-3</c:v>
                </c:pt>
                <c:pt idx="163">
                  <c:v>3.0417227456258411E-2</c:v>
                </c:pt>
                <c:pt idx="164">
                  <c:v>7.1844923410600003E-3</c:v>
                </c:pt>
                <c:pt idx="165">
                  <c:v>-5.5270962523592537E-3</c:v>
                </c:pt>
                <c:pt idx="166">
                  <c:v>-8.4213340462504505E-3</c:v>
                </c:pt>
                <c:pt idx="167">
                  <c:v>-6.0116224701090015E-4</c:v>
                </c:pt>
                <c:pt idx="168">
                  <c:v>1.0257102368580906E-2</c:v>
                </c:pt>
                <c:pt idx="169">
                  <c:v>1.0156782549420651E-2</c:v>
                </c:pt>
                <c:pt idx="170">
                  <c:v>2.3230390817161606E-3</c:v>
                </c:pt>
                <c:pt idx="171">
                  <c:v>-2.5501032026100212E-2</c:v>
                </c:pt>
                <c:pt idx="172">
                  <c:v>-6.1540497617788015E-3</c:v>
                </c:pt>
                <c:pt idx="173">
                  <c:v>1.3547954393024808E-2</c:v>
                </c:pt>
                <c:pt idx="174">
                  <c:v>1.4104372355430161E-3</c:v>
                </c:pt>
                <c:pt idx="175">
                  <c:v>2.0773344302755792E-2</c:v>
                </c:pt>
                <c:pt idx="176">
                  <c:v>1.7857142857145014E-3</c:v>
                </c:pt>
                <c:pt idx="177">
                  <c:v>-3.3540967896502627E-3</c:v>
                </c:pt>
                <c:pt idx="178">
                  <c:v>-3.4213767620083768E-4</c:v>
                </c:pt>
                <c:pt idx="179">
                  <c:v>-6.2559499524005302E-3</c:v>
                </c:pt>
                <c:pt idx="180">
                  <c:v>7.4855392990813563E-4</c:v>
                </c:pt>
                <c:pt idx="181">
                  <c:v>-2.7823018458199567E-3</c:v>
                </c:pt>
                <c:pt idx="182">
                  <c:v>1.264431006047273E-2</c:v>
                </c:pt>
                <c:pt idx="183">
                  <c:v>-2.3310023310023631E-3</c:v>
                </c:pt>
                <c:pt idx="184">
                  <c:v>1.5105740181271532E-3</c:v>
                </c:pt>
                <c:pt idx="185">
                  <c:v>4.5523520485584168E-3</c:v>
                </c:pt>
                <c:pt idx="186">
                  <c:v>-1.2195952851400294E-2</c:v>
                </c:pt>
                <c:pt idx="187">
                  <c:v>-1.4900328881132907E-2</c:v>
                </c:pt>
                <c:pt idx="188">
                  <c:v>2.8944534194939031E-3</c:v>
                </c:pt>
                <c:pt idx="189">
                  <c:v>1.1989100817438647E-2</c:v>
                </c:pt>
                <c:pt idx="190">
                  <c:v>9.6286107290233236E-3</c:v>
                </c:pt>
                <c:pt idx="191">
                  <c:v>-5.1317139924734745E-3</c:v>
                </c:pt>
                <c:pt idx="192">
                  <c:v>2.5974025974026205E-2</c:v>
                </c:pt>
                <c:pt idx="193">
                  <c:v>-2.691440672177059E-2</c:v>
                </c:pt>
                <c:pt idx="194">
                  <c:v>-1.4075969827586188E-2</c:v>
                </c:pt>
                <c:pt idx="195">
                  <c:v>-4.4921220248073102E-3</c:v>
                </c:pt>
                <c:pt idx="196">
                  <c:v>2.4100521834661048E-2</c:v>
                </c:pt>
                <c:pt idx="197">
                  <c:v>7.8892733564013273E-3</c:v>
                </c:pt>
                <c:pt idx="198">
                  <c:v>-4.2037075322169937E-3</c:v>
                </c:pt>
                <c:pt idx="199">
                  <c:v>1.3055012566322244E-2</c:v>
                </c:pt>
                <c:pt idx="200">
                  <c:v>-9.1996956491663395E-3</c:v>
                </c:pt>
                <c:pt idx="201">
                  <c:v>1.7955217574989302E-2</c:v>
                </c:pt>
                <c:pt idx="202">
                  <c:v>1.4718490997427836E-2</c:v>
                </c:pt>
                <c:pt idx="203">
                  <c:v>1.9596415822831004E-2</c:v>
                </c:pt>
                <c:pt idx="204">
                  <c:v>2.2634345794392274E-3</c:v>
                </c:pt>
                <c:pt idx="205">
                  <c:v>4.6211398811706328E-3</c:v>
                </c:pt>
                <c:pt idx="206">
                  <c:v>1.1500222584953423E-2</c:v>
                </c:pt>
                <c:pt idx="207">
                  <c:v>1.2546014574412068E-2</c:v>
                </c:pt>
                <c:pt idx="208">
                  <c:v>-2.2487069934786774E-3</c:v>
                </c:pt>
                <c:pt idx="209">
                  <c:v>-2.1690351533283359E-3</c:v>
                </c:pt>
                <c:pt idx="210">
                  <c:v>-2.089864158829724E-3</c:v>
                </c:pt>
                <c:pt idx="211">
                  <c:v>1.2698412698412431E-2</c:v>
                </c:pt>
                <c:pt idx="212">
                  <c:v>1.4103939904951845E-2</c:v>
                </c:pt>
                <c:pt idx="213">
                  <c:v>-1.0091812732377137E-2</c:v>
                </c:pt>
                <c:pt idx="214">
                  <c:v>1.2600845178639908E-2</c:v>
                </c:pt>
                <c:pt idx="215">
                  <c:v>3.9339709966061953E-3</c:v>
                </c:pt>
                <c:pt idx="216">
                  <c:v>-6.4377682403433667E-3</c:v>
                </c:pt>
                <c:pt idx="217">
                  <c:v>2.4577934825284586E-2</c:v>
                </c:pt>
                <c:pt idx="218">
                  <c:v>9.8326857505353082E-3</c:v>
                </c:pt>
                <c:pt idx="219">
                  <c:v>-8.0232832533626564E-3</c:v>
                </c:pt>
                <c:pt idx="220">
                  <c:v>3.0771658513493172E-3</c:v>
                </c:pt>
                <c:pt idx="221">
                  <c:v>6.6719618745034737E-3</c:v>
                </c:pt>
                <c:pt idx="222">
                  <c:v>7.9434426880631293E-5</c:v>
                </c:pt>
                <c:pt idx="223">
                  <c:v>1.9022179051319421E-2</c:v>
                </c:pt>
                <c:pt idx="224">
                  <c:v>-1.2154166000319822E-2</c:v>
                </c:pt>
                <c:pt idx="225">
                  <c:v>6.2761506276149959E-3</c:v>
                </c:pt>
                <c:pt idx="226">
                  <c:v>-2.6482625792472181E-3</c:v>
                </c:pt>
                <c:pt idx="227">
                  <c:v>-5.3480204342273296E-3</c:v>
                </c:pt>
                <c:pt idx="228">
                  <c:v>-1.2376823019314087E-2</c:v>
                </c:pt>
                <c:pt idx="229">
                  <c:v>-3.9401103230896073E-4</c:v>
                </c:pt>
                <c:pt idx="230">
                  <c:v>-1.5735641227379027E-3</c:v>
                </c:pt>
                <c:pt idx="231">
                  <c:v>1.3314199154907058E-2</c:v>
                </c:pt>
                <c:pt idx="232">
                  <c:v>-1.4767103919566371E-2</c:v>
                </c:pt>
                <c:pt idx="233">
                  <c:v>2.1012110032881504E-2</c:v>
                </c:pt>
                <c:pt idx="234">
                  <c:v>-1.2815378454145154E-3</c:v>
                </c:pt>
                <c:pt idx="235">
                  <c:v>-1.1245743248594287E-2</c:v>
                </c:pt>
                <c:pt idx="236">
                  <c:v>-9.2585327579443044E-3</c:v>
                </c:pt>
                <c:pt idx="237">
                  <c:v>1.9844762743058464E-2</c:v>
                </c:pt>
                <c:pt idx="238">
                  <c:v>1.7919687220004921E-2</c:v>
                </c:pt>
                <c:pt idx="239">
                  <c:v>-2.4938448097847621E-2</c:v>
                </c:pt>
                <c:pt idx="240">
                  <c:v>-7.41032715806067E-3</c:v>
                </c:pt>
                <c:pt idx="241">
                  <c:v>-2.5804469702787936E-2</c:v>
                </c:pt>
                <c:pt idx="242">
                  <c:v>3.6226298751349528E-3</c:v>
                </c:pt>
                <c:pt idx="243">
                  <c:v>1.2802498048399835E-2</c:v>
                </c:pt>
                <c:pt idx="244">
                  <c:v>1.9554165037152238E-3</c:v>
                </c:pt>
                <c:pt idx="245">
                  <c:v>-3.5385543986721002E-2</c:v>
                </c:pt>
                <c:pt idx="246">
                  <c:v>8.2154267457781316E-3</c:v>
                </c:pt>
                <c:pt idx="247">
                  <c:v>-1.5133353311357345E-2</c:v>
                </c:pt>
                <c:pt idx="248">
                  <c:v>-7.4861506213519391E-4</c:v>
                </c:pt>
                <c:pt idx="249">
                  <c:v>-6.0272341692088061E-3</c:v>
                </c:pt>
                <c:pt idx="250">
                  <c:v>-2.4495249406176756E-3</c:v>
                </c:pt>
                <c:pt idx="251">
                  <c:v>2.9779630732580387E-3</c:v>
                </c:pt>
                <c:pt idx="252">
                  <c:v>1.8038502349552843E-2</c:v>
                </c:pt>
                <c:pt idx="253">
                  <c:v>-1.168539325842699E-2</c:v>
                </c:pt>
                <c:pt idx="254">
                  <c:v>2.9299075952218256E-3</c:v>
                </c:pt>
                <c:pt idx="255">
                  <c:v>-1.2830020765351446E-2</c:v>
                </c:pt>
                <c:pt idx="256">
                  <c:v>5.0685748360166372E-3</c:v>
                </c:pt>
                <c:pt idx="257">
                  <c:v>-2.5278810408921881E-3</c:v>
                </c:pt>
                <c:pt idx="258">
                  <c:v>1.8707869423615797E-2</c:v>
                </c:pt>
                <c:pt idx="259">
                  <c:v>-1.7853157777281914E-2</c:v>
                </c:pt>
                <c:pt idx="260">
                  <c:v>2.430661383724475E-2</c:v>
                </c:pt>
                <c:pt idx="261">
                  <c:v>-1.3233082706766819E-2</c:v>
                </c:pt>
                <c:pt idx="262">
                  <c:v>2.0251610923596175E-2</c:v>
                </c:pt>
                <c:pt idx="263">
                  <c:v>1.9233776387802992E-2</c:v>
                </c:pt>
                <c:pt idx="264">
                  <c:v>1.3390381110847116E-2</c:v>
                </c:pt>
                <c:pt idx="265">
                  <c:v>2.4622716441620174E-3</c:v>
                </c:pt>
                <c:pt idx="266">
                  <c:v>2.3577235772357819E-2</c:v>
                </c:pt>
                <c:pt idx="267">
                  <c:v>6.9586573884568015E-3</c:v>
                </c:pt>
                <c:pt idx="268">
                  <c:v>1.8765638031693177E-2</c:v>
                </c:pt>
                <c:pt idx="269">
                  <c:v>-1.2274487190048533E-2</c:v>
                </c:pt>
                <c:pt idx="270">
                  <c:v>1.4850259879548577E-3</c:v>
                </c:pt>
                <c:pt idx="271">
                  <c:v>5.1413881748070267E-3</c:v>
                </c:pt>
                <c:pt idx="272">
                  <c:v>4.1635440086602582E-3</c:v>
                </c:pt>
                <c:pt idx="273">
                  <c:v>-1.9993471519503814E-2</c:v>
                </c:pt>
                <c:pt idx="274">
                  <c:v>-6.8887268011994518E-3</c:v>
                </c:pt>
                <c:pt idx="275">
                  <c:v>2.8335694641220099E-2</c:v>
                </c:pt>
                <c:pt idx="276">
                  <c:v>-4.4802123952543127E-3</c:v>
                </c:pt>
                <c:pt idx="277">
                  <c:v>-3.3905097787752525E-2</c:v>
                </c:pt>
                <c:pt idx="278">
                  <c:v>-6.4505853308910455E-3</c:v>
                </c:pt>
                <c:pt idx="279">
                  <c:v>1.2742963142188923E-2</c:v>
                </c:pt>
                <c:pt idx="280">
                  <c:v>2.4456746261257489E-2</c:v>
                </c:pt>
                <c:pt idx="281">
                  <c:v>-7.6254509675303117E-3</c:v>
                </c:pt>
                <c:pt idx="282">
                  <c:v>1.6502750458409654E-2</c:v>
                </c:pt>
                <c:pt idx="283">
                  <c:v>-9.1667354860021089E-3</c:v>
                </c:pt>
                <c:pt idx="284">
                  <c:v>4.0649707803368962E-2</c:v>
                </c:pt>
                <c:pt idx="285">
                  <c:v>-4.1673529896227968E-2</c:v>
                </c:pt>
                <c:pt idx="286">
                  <c:v>1.0738366769333263E-2</c:v>
                </c:pt>
                <c:pt idx="287">
                  <c:v>-1.5811895788956254E-2</c:v>
                </c:pt>
                <c:pt idx="288">
                  <c:v>-2.4456521739130488E-2</c:v>
                </c:pt>
                <c:pt idx="289">
                  <c:v>-2.0893653650520427E-2</c:v>
                </c:pt>
                <c:pt idx="290">
                  <c:v>5.3851228764637993E-2</c:v>
                </c:pt>
                <c:pt idx="291">
                  <c:v>2.231589387552857E-3</c:v>
                </c:pt>
                <c:pt idx="292">
                  <c:v>-3.4782608695652195E-2</c:v>
                </c:pt>
                <c:pt idx="293">
                  <c:v>-4.0521214047354315E-3</c:v>
                </c:pt>
                <c:pt idx="294">
                  <c:v>-1.1111111111110628E-3</c:v>
                </c:pt>
                <c:pt idx="295">
                  <c:v>-2.9799029799029819E-2</c:v>
                </c:pt>
                <c:pt idx="296">
                  <c:v>1.2335209313083517E-3</c:v>
                </c:pt>
                <c:pt idx="297">
                  <c:v>-8.6365025985937205E-3</c:v>
                </c:pt>
                <c:pt idx="298">
                  <c:v>-1.7643967264809657E-2</c:v>
                </c:pt>
                <c:pt idx="299">
                  <c:v>-1.6104011228484927E-2</c:v>
                </c:pt>
                <c:pt idx="300">
                  <c:v>1.7760674905646923E-3</c:v>
                </c:pt>
                <c:pt idx="301">
                  <c:v>-1.9203781667773701E-3</c:v>
                </c:pt>
                <c:pt idx="302">
                  <c:v>-4.558488346445122E-3</c:v>
                </c:pt>
                <c:pt idx="303">
                  <c:v>-6.5736615294719192E-3</c:v>
                </c:pt>
                <c:pt idx="304">
                  <c:v>1.0968119333139015E-3</c:v>
                </c:pt>
                <c:pt idx="305">
                  <c:v>-4.5854865710750481E-3</c:v>
                </c:pt>
                <c:pt idx="306">
                  <c:v>2.5757802000895946E-2</c:v>
                </c:pt>
                <c:pt idx="307">
                  <c:v>-7.7783539521446565E-3</c:v>
                </c:pt>
                <c:pt idx="308">
                  <c:v>6.3366631877144197E-3</c:v>
                </c:pt>
                <c:pt idx="309">
                  <c:v>1.6520157623522103E-2</c:v>
                </c:pt>
                <c:pt idx="310">
                  <c:v>-3.7420672550878997E-2</c:v>
                </c:pt>
                <c:pt idx="311">
                  <c:v>-3.498521751372663E-2</c:v>
                </c:pt>
                <c:pt idx="312">
                  <c:v>-7.683710533668564E-3</c:v>
                </c:pt>
                <c:pt idx="313">
                  <c:v>1.6792611251050804E-3</c:v>
                </c:pt>
                <c:pt idx="314">
                  <c:v>2.7683900194146682E-2</c:v>
                </c:pt>
                <c:pt idx="315">
                  <c:v>1.6073646525900376E-2</c:v>
                </c:pt>
                <c:pt idx="316">
                  <c:v>3.6658335226842365E-2</c:v>
                </c:pt>
                <c:pt idx="317">
                  <c:v>3.2856137057028834E-2</c:v>
                </c:pt>
                <c:pt idx="318">
                  <c:v>5.4270882491740391E-3</c:v>
                </c:pt>
                <c:pt idx="319">
                  <c:v>-1.3730509657900791E-2</c:v>
                </c:pt>
                <c:pt idx="320">
                  <c:v>-1.5127206050882358E-2</c:v>
                </c:pt>
                <c:pt idx="321">
                  <c:v>1.6226708074533969E-2</c:v>
                </c:pt>
                <c:pt idx="322">
                  <c:v>-1.3955652039073785E-3</c:v>
                </c:pt>
                <c:pt idx="323">
                  <c:v>-2.3248769405528336E-2</c:v>
                </c:pt>
                <c:pt idx="324">
                  <c:v>8.6312251756799352E-3</c:v>
                </c:pt>
                <c:pt idx="325">
                  <c:v>3.4123222748815074E-2</c:v>
                </c:pt>
                <c:pt idx="326">
                  <c:v>-3.3661552553240215E-2</c:v>
                </c:pt>
                <c:pt idx="327">
                  <c:v>1.2363804960976665E-2</c:v>
                </c:pt>
                <c:pt idx="328">
                  <c:v>-2.471927048006628E-2</c:v>
                </c:pt>
                <c:pt idx="329">
                  <c:v>-7.7026622793897603E-3</c:v>
                </c:pt>
                <c:pt idx="330">
                  <c:v>-8.5267294431675689E-3</c:v>
                </c:pt>
                <c:pt idx="331">
                  <c:v>-1.3314799912210074E-2</c:v>
                </c:pt>
                <c:pt idx="332">
                  <c:v>3.5765704326740977E-2</c:v>
                </c:pt>
                <c:pt idx="333">
                  <c:v>7.7122785583383369E-3</c:v>
                </c:pt>
                <c:pt idx="334">
                  <c:v>-6.9760388231724368E-3</c:v>
                </c:pt>
                <c:pt idx="335">
                  <c:v>2.8464477891289031E-2</c:v>
                </c:pt>
                <c:pt idx="336">
                  <c:v>1.2395389231012022E-2</c:v>
                </c:pt>
                <c:pt idx="337">
                  <c:v>-1.5850815850815825E-2</c:v>
                </c:pt>
                <c:pt idx="338">
                  <c:v>6.9634613879976381E-3</c:v>
                </c:pt>
                <c:pt idx="339">
                  <c:v>-5.4738817641530879E-4</c:v>
                </c:pt>
                <c:pt idx="340">
                  <c:v>5.0090326818853725E-2</c:v>
                </c:pt>
                <c:pt idx="341">
                  <c:v>-5.1466383465402776E-3</c:v>
                </c:pt>
                <c:pt idx="342">
                  <c:v>-6.7348263550794929E-3</c:v>
                </c:pt>
                <c:pt idx="343">
                  <c:v>1.1988832320578124E-2</c:v>
                </c:pt>
                <c:pt idx="344">
                  <c:v>-2.0903682264029499E-2</c:v>
                </c:pt>
                <c:pt idx="345">
                  <c:v>5.0909090909090349E-3</c:v>
                </c:pt>
                <c:pt idx="346">
                  <c:v>1.2269938650306678E-2</c:v>
                </c:pt>
                <c:pt idx="347">
                  <c:v>-5.6124938994631668E-3</c:v>
                </c:pt>
                <c:pt idx="348">
                  <c:v>-1.1374715632109789E-3</c:v>
                </c:pt>
                <c:pt idx="349">
                  <c:v>2.9335071707952132E-3</c:v>
                </c:pt>
                <c:pt idx="350">
                  <c:v>3.0827383452330936E-2</c:v>
                </c:pt>
                <c:pt idx="351">
                  <c:v>2.1099579723818485E-2</c:v>
                </c:pt>
                <c:pt idx="352">
                  <c:v>4.8263380160302738E-3</c:v>
                </c:pt>
                <c:pt idx="353">
                  <c:v>7.4672223669358662E-3</c:v>
                </c:pt>
                <c:pt idx="354">
                  <c:v>1.1594202898550732E-2</c:v>
                </c:pt>
                <c:pt idx="355">
                  <c:v>-2.9742628259758042E-2</c:v>
                </c:pt>
                <c:pt idx="356">
                  <c:v>-1.0957518543492917E-2</c:v>
                </c:pt>
                <c:pt idx="357">
                  <c:v>5.1681775819707454E-3</c:v>
                </c:pt>
                <c:pt idx="358">
                  <c:v>-1.139123879721915E-2</c:v>
                </c:pt>
                <c:pt idx="359">
                  <c:v>-7.5644222776392045E-3</c:v>
                </c:pt>
                <c:pt idx="360">
                  <c:v>8.7204427301692533E-3</c:v>
                </c:pt>
                <c:pt idx="361">
                  <c:v>4.194279003439938E-4</c:v>
                </c:pt>
                <c:pt idx="362">
                  <c:v>-2.3432923257176164E-3</c:v>
                </c:pt>
                <c:pt idx="363">
                  <c:v>3.0352677416573215E-2</c:v>
                </c:pt>
                <c:pt idx="364">
                  <c:v>-3.0089408528197747E-3</c:v>
                </c:pt>
                <c:pt idx="365">
                  <c:v>-1.9967983823405588E-2</c:v>
                </c:pt>
                <c:pt idx="366">
                  <c:v>-2.8564227505670781E-3</c:v>
                </c:pt>
                <c:pt idx="367">
                  <c:v>3.5493692909960739E-2</c:v>
                </c:pt>
                <c:pt idx="368">
                  <c:v>4.0836653386454147E-2</c:v>
                </c:pt>
                <c:pt idx="369">
                  <c:v>1.5353498207226313E-2</c:v>
                </c:pt>
                <c:pt idx="370">
                  <c:v>-8.2674995406950558E-4</c:v>
                </c:pt>
                <c:pt idx="371">
                  <c:v>-5.6018036767256252E-2</c:v>
                </c:pt>
                <c:pt idx="372">
                  <c:v>3.705035971223003E-2</c:v>
                </c:pt>
                <c:pt idx="373">
                  <c:v>-4.6312178387650005E-2</c:v>
                </c:pt>
                <c:pt idx="374">
                  <c:v>1.3472403302911662E-2</c:v>
                </c:pt>
                <c:pt idx="375">
                  <c:v>8.6926286508859363E-5</c:v>
                </c:pt>
                <c:pt idx="376">
                  <c:v>-6.1339092872569889E-3</c:v>
                </c:pt>
                <c:pt idx="377">
                  <c:v>-9.5832976811842663E-3</c:v>
                </c:pt>
                <c:pt idx="378">
                  <c:v>-5.4463449919155416E-3</c:v>
                </c:pt>
                <c:pt idx="379">
                  <c:v>1.3191929643041833E-2</c:v>
                </c:pt>
                <c:pt idx="380">
                  <c:v>-2.55419257267685E-2</c:v>
                </c:pt>
                <c:pt idx="381">
                  <c:v>-1.4000497059067141E-2</c:v>
                </c:pt>
                <c:pt idx="382">
                  <c:v>-3.9607228319168408E-3</c:v>
                </c:pt>
                <c:pt idx="383">
                  <c:v>7.4318744838985928E-4</c:v>
                </c:pt>
                <c:pt idx="384">
                  <c:v>-2.6527331189710734E-2</c:v>
                </c:pt>
                <c:pt idx="385">
                  <c:v>6.3520560827562633E-2</c:v>
                </c:pt>
                <c:pt idx="386">
                  <c:v>1.7395842393667982E-2</c:v>
                </c:pt>
                <c:pt idx="387">
                  <c:v>-9.5585679527288026E-4</c:v>
                </c:pt>
                <c:pt idx="388">
                  <c:v>1.6967126193001114E-2</c:v>
                </c:pt>
                <c:pt idx="389">
                  <c:v>-2.8669527896995728E-2</c:v>
                </c:pt>
                <c:pt idx="390">
                  <c:v>3.0791010440629929E-2</c:v>
                </c:pt>
                <c:pt idx="391">
                  <c:v>-3.2280160972686156E-2</c:v>
                </c:pt>
                <c:pt idx="392">
                  <c:v>8.4621362576633441E-3</c:v>
                </c:pt>
                <c:pt idx="393">
                  <c:v>1.5075817337189878E-2</c:v>
                </c:pt>
                <c:pt idx="394">
                  <c:v>-7.5678496868475387E-3</c:v>
                </c:pt>
                <c:pt idx="395">
                  <c:v>2.386889918061974E-2</c:v>
                </c:pt>
                <c:pt idx="396">
                  <c:v>3.7516170763260082E-2</c:v>
                </c:pt>
                <c:pt idx="397">
                  <c:v>1.026885735623595E-2</c:v>
                </c:pt>
                <c:pt idx="398">
                  <c:v>-4.1946158662015898E-2</c:v>
                </c:pt>
                <c:pt idx="399">
                  <c:v>1.5715843023255793E-2</c:v>
                </c:pt>
                <c:pt idx="400">
                  <c:v>3.0325720703856085E-2</c:v>
                </c:pt>
                <c:pt idx="401">
                  <c:v>-3.1720137756026778E-2</c:v>
                </c:pt>
                <c:pt idx="402">
                  <c:v>-1.5963613662712817E-2</c:v>
                </c:pt>
                <c:pt idx="403">
                  <c:v>-2.9513588367664934E-2</c:v>
                </c:pt>
                <c:pt idx="404">
                  <c:v>1.5603328710125375E-3</c:v>
                </c:pt>
                <c:pt idx="405">
                  <c:v>3.0000000000000027E-2</c:v>
                </c:pt>
                <c:pt idx="406">
                  <c:v>-1.3128910036126484E-2</c:v>
                </c:pt>
                <c:pt idx="407">
                  <c:v>-3.2645755199454451E-2</c:v>
                </c:pt>
                <c:pt idx="408">
                  <c:v>3.9886544938840585E-2</c:v>
                </c:pt>
                <c:pt idx="409">
                  <c:v>-6.7294973544973602E-2</c:v>
                </c:pt>
                <c:pt idx="410">
                  <c:v>6.6181336863002649E-4</c:v>
                </c:pt>
                <c:pt idx="411">
                  <c:v>-8.0060882800608857E-2</c:v>
                </c:pt>
                <c:pt idx="412">
                  <c:v>-2.0718437919213017E-2</c:v>
                </c:pt>
                <c:pt idx="413">
                  <c:v>3.9832610043397443E-2</c:v>
                </c:pt>
                <c:pt idx="414">
                  <c:v>3.3891515102956404E-2</c:v>
                </c:pt>
                <c:pt idx="415">
                  <c:v>-1.5998720102392561E-3</c:v>
                </c:pt>
                <c:pt idx="416">
                  <c:v>-1.1934871957002824E-2</c:v>
                </c:pt>
                <c:pt idx="417">
                  <c:v>1.3619612241627888E-2</c:v>
                </c:pt>
                <c:pt idx="418">
                  <c:v>-8.2631495312252001E-3</c:v>
                </c:pt>
                <c:pt idx="419">
                  <c:v>1.1980381120848982E-2</c:v>
                </c:pt>
                <c:pt idx="420">
                  <c:v>5.1487994589110686E-2</c:v>
                </c:pt>
                <c:pt idx="421">
                  <c:v>2.2210699161697489E-2</c:v>
                </c:pt>
                <c:pt idx="422">
                  <c:v>1.2980269989615323E-3</c:v>
                </c:pt>
                <c:pt idx="423">
                  <c:v>8.2889800191956464E-3</c:v>
                </c:pt>
                <c:pt idx="424">
                  <c:v>-2.6107388390914643E-3</c:v>
                </c:pt>
                <c:pt idx="425">
                  <c:v>-8.6948960959920552E-4</c:v>
                </c:pt>
                <c:pt idx="426">
                  <c:v>1.7697548889478831E-2</c:v>
                </c:pt>
                <c:pt idx="427">
                  <c:v>3.3187054306089037E-2</c:v>
                </c:pt>
                <c:pt idx="428">
                  <c:v>-2.9717022975250695E-2</c:v>
                </c:pt>
                <c:pt idx="429">
                  <c:v>1.4580145801458055E-2</c:v>
                </c:pt>
                <c:pt idx="430">
                  <c:v>-2.4495171202809529E-2</c:v>
                </c:pt>
                <c:pt idx="431">
                  <c:v>3.4890059967290554E-2</c:v>
                </c:pt>
                <c:pt idx="432">
                  <c:v>3.5561229141971573E-3</c:v>
                </c:pt>
                <c:pt idx="433">
                  <c:v>6.7009362952084039E-3</c:v>
                </c:pt>
                <c:pt idx="434">
                  <c:v>2.5221155655938299E-2</c:v>
                </c:pt>
                <c:pt idx="435">
                  <c:v>0.1046886370724609</c:v>
                </c:pt>
                <c:pt idx="436">
                  <c:v>1.210016835016825E-2</c:v>
                </c:pt>
                <c:pt idx="437">
                  <c:v>1.919571045576407E-2</c:v>
                </c:pt>
                <c:pt idx="438">
                  <c:v>-1.6453960552684332E-2</c:v>
                </c:pt>
                <c:pt idx="439">
                  <c:v>2.3755533959615605E-2</c:v>
                </c:pt>
                <c:pt idx="440">
                  <c:v>-2.5848142164781596E-3</c:v>
                </c:pt>
                <c:pt idx="441">
                  <c:v>-4.544052636989826E-2</c:v>
                </c:pt>
                <c:pt idx="442">
                  <c:v>2.7835051546392098E-3</c:v>
                </c:pt>
                <c:pt idx="443">
                  <c:v>-1.3826758845058906E-2</c:v>
                </c:pt>
                <c:pt idx="444">
                  <c:v>2.1073393543029173E-2</c:v>
                </c:pt>
                <c:pt idx="445">
                  <c:v>-1.9685039370078705E-3</c:v>
                </c:pt>
                <c:pt idx="446">
                  <c:v>-1.2279983626688473E-2</c:v>
                </c:pt>
                <c:pt idx="447">
                  <c:v>6.7999175767565756E-3</c:v>
                </c:pt>
                <c:pt idx="448">
                  <c:v>1.654796816087134E-2</c:v>
                </c:pt>
                <c:pt idx="449">
                  <c:v>-4.5871559633027248E-3</c:v>
                </c:pt>
                <c:pt idx="450">
                  <c:v>1.7754569190600034E-3</c:v>
                </c:pt>
                <c:pt idx="451">
                  <c:v>4.3003985735263761E-3</c:v>
                </c:pt>
                <c:pt idx="452">
                  <c:v>2.3290758827948954E-2</c:v>
                </c:pt>
                <c:pt idx="453">
                  <c:v>-3.1029317355016905E-3</c:v>
                </c:pt>
                <c:pt idx="454">
                  <c:v>2.6694496319894512E-2</c:v>
                </c:pt>
                <c:pt idx="455">
                  <c:v>0</c:v>
                </c:pt>
                <c:pt idx="456">
                  <c:v>-1.8640350877192624E-3</c:v>
                </c:pt>
                <c:pt idx="457">
                  <c:v>8.4033613445377853E-3</c:v>
                </c:pt>
                <c:pt idx="458">
                  <c:v>2.2961203483768733E-2</c:v>
                </c:pt>
                <c:pt idx="459">
                  <c:v>-3.0698388334612359E-2</c:v>
                </c:pt>
                <c:pt idx="460">
                  <c:v>1.3331852016442491E-2</c:v>
                </c:pt>
                <c:pt idx="461">
                  <c:v>-1.7679799192404144E-2</c:v>
                </c:pt>
                <c:pt idx="462">
                  <c:v>2.1288452964779214E-2</c:v>
                </c:pt>
                <c:pt idx="463">
                  <c:v>2.6192382477410403E-2</c:v>
                </c:pt>
                <c:pt idx="464">
                  <c:v>-5.6863414079381114E-3</c:v>
                </c:pt>
                <c:pt idx="465">
                  <c:v>3.4129692832762792E-4</c:v>
                </c:pt>
                <c:pt idx="466">
                  <c:v>-1.3633265167006803E-3</c:v>
                </c:pt>
                <c:pt idx="467">
                  <c:v>2.6472303206997116E-2</c:v>
                </c:pt>
                <c:pt idx="468">
                  <c:v>1.2396694214876103E-2</c:v>
                </c:pt>
                <c:pt idx="469">
                  <c:v>8.6935810408479419E-3</c:v>
                </c:pt>
                <c:pt idx="470">
                  <c:v>-4.8067112572270698E-2</c:v>
                </c:pt>
                <c:pt idx="471">
                  <c:v>2.5697674418604599E-2</c:v>
                </c:pt>
                <c:pt idx="472">
                  <c:v>3.1669865642994344E-2</c:v>
                </c:pt>
                <c:pt idx="473">
                  <c:v>5.791505791505891E-3</c:v>
                </c:pt>
                <c:pt idx="474">
                  <c:v>2.8543062794738061E-2</c:v>
                </c:pt>
                <c:pt idx="475">
                  <c:v>-8.612204724409489E-3</c:v>
                </c:pt>
                <c:pt idx="476">
                  <c:v>5.5672398861810191E-3</c:v>
                </c:pt>
                <c:pt idx="477">
                  <c:v>4.5985582898335764E-3</c:v>
                </c:pt>
                <c:pt idx="478">
                  <c:v>1.2202792804126394E-2</c:v>
                </c:pt>
                <c:pt idx="479">
                  <c:v>-8.7983911513334068E-4</c:v>
                </c:pt>
                <c:pt idx="480">
                  <c:v>3.772161448509781E-4</c:v>
                </c:pt>
                <c:pt idx="481">
                  <c:v>4.4203081586258186E-3</c:v>
                </c:pt>
                <c:pt idx="482">
                  <c:v>-6.7737079779226494E-3</c:v>
                </c:pt>
                <c:pt idx="483">
                  <c:v>6.4385809872491429E-3</c:v>
                </c:pt>
                <c:pt idx="484">
                  <c:v>-7.5178549054004673E-3</c:v>
                </c:pt>
                <c:pt idx="485">
                  <c:v>1.9414995529441814E-2</c:v>
                </c:pt>
                <c:pt idx="486">
                  <c:v>-5.7150114300227317E-3</c:v>
                </c:pt>
                <c:pt idx="487">
                  <c:v>2.352788249057558E-2</c:v>
                </c:pt>
                <c:pt idx="488">
                  <c:v>-5.9439204031528359E-3</c:v>
                </c:pt>
                <c:pt idx="489">
                  <c:v>6.2410609803666972E-3</c:v>
                </c:pt>
                <c:pt idx="490">
                  <c:v>-1.2074502247912622E-2</c:v>
                </c:pt>
                <c:pt idx="491">
                  <c:v>-1.1428571428571455E-2</c:v>
                </c:pt>
                <c:pt idx="492">
                  <c:v>1.5735844189346038E-2</c:v>
                </c:pt>
                <c:pt idx="493">
                  <c:v>2.1072040036876016E-2</c:v>
                </c:pt>
                <c:pt idx="494">
                  <c:v>1.0244811069717974E-2</c:v>
                </c:pt>
                <c:pt idx="495">
                  <c:v>1.0350853609355948E-2</c:v>
                </c:pt>
                <c:pt idx="496">
                  <c:v>1.5008868877063541E-2</c:v>
                </c:pt>
                <c:pt idx="497">
                  <c:v>1.4113740141137532E-2</c:v>
                </c:pt>
                <c:pt idx="498">
                  <c:v>-1.6065350578625015E-2</c:v>
                </c:pt>
                <c:pt idx="499">
                  <c:v>2.1131655776449376E-2</c:v>
                </c:pt>
                <c:pt idx="500">
                  <c:v>3.2883400344629665E-2</c:v>
                </c:pt>
                <c:pt idx="501">
                  <c:v>-1.6245232377454566E-2</c:v>
                </c:pt>
                <c:pt idx="502">
                  <c:v>7.0681368391301014E-4</c:v>
                </c:pt>
                <c:pt idx="503">
                  <c:v>2.8795811518324443E-2</c:v>
                </c:pt>
                <c:pt idx="504">
                  <c:v>-3.9113428943936546E-3</c:v>
                </c:pt>
                <c:pt idx="505">
                  <c:v>2.8916380980771983E-2</c:v>
                </c:pt>
                <c:pt idx="506">
                  <c:v>-3.0911454571717512E-2</c:v>
                </c:pt>
                <c:pt idx="507">
                  <c:v>-2.0792079207920811E-2</c:v>
                </c:pt>
                <c:pt idx="508">
                  <c:v>-1.3534254220733954E-2</c:v>
                </c:pt>
                <c:pt idx="509">
                  <c:v>7.875123048797672E-3</c:v>
                </c:pt>
                <c:pt idx="510">
                  <c:v>-9.0579710144927938E-3</c:v>
                </c:pt>
                <c:pt idx="511">
                  <c:v>5.0505050505050608E-2</c:v>
                </c:pt>
                <c:pt idx="512">
                  <c:v>1.9552238805970124E-2</c:v>
                </c:pt>
                <c:pt idx="513">
                  <c:v>7.2158749248347753E-3</c:v>
                </c:pt>
                <c:pt idx="514">
                  <c:v>2.5593586185630457E-2</c:v>
                </c:pt>
                <c:pt idx="515">
                  <c:v>-1.1581834806461577E-2</c:v>
                </c:pt>
                <c:pt idx="516">
                  <c:v>8.7323943661971937E-2</c:v>
                </c:pt>
                <c:pt idx="517">
                  <c:v>-1.4372039849746776E-2</c:v>
                </c:pt>
                <c:pt idx="518">
                  <c:v>1.6603021749958424E-2</c:v>
                </c:pt>
                <c:pt idx="519">
                  <c:v>-5.2540506528236608E-2</c:v>
                </c:pt>
                <c:pt idx="520">
                  <c:v>-2.0408163265306367E-3</c:v>
                </c:pt>
                <c:pt idx="521">
                  <c:v>2.841459476913144E-2</c:v>
                </c:pt>
                <c:pt idx="522">
                  <c:v>-4.1324872310787852E-2</c:v>
                </c:pt>
                <c:pt idx="523">
                  <c:v>5.2623004235907489E-2</c:v>
                </c:pt>
                <c:pt idx="524">
                  <c:v>-5.50874918988975E-3</c:v>
                </c:pt>
                <c:pt idx="525">
                  <c:v>0.10037439828846484</c:v>
                </c:pt>
                <c:pt idx="526">
                  <c:v>-2.1287733379863893E-2</c:v>
                </c:pt>
                <c:pt idx="527">
                  <c:v>-6.356209150326797E-2</c:v>
                </c:pt>
                <c:pt idx="528">
                  <c:v>-7.6212096643424321E-3</c:v>
                </c:pt>
                <c:pt idx="529">
                  <c:v>-2.4517557734893947E-2</c:v>
                </c:pt>
                <c:pt idx="530">
                  <c:v>4.4095788604459063E-2</c:v>
                </c:pt>
                <c:pt idx="531">
                  <c:v>-0.12865160454741686</c:v>
                </c:pt>
                <c:pt idx="532">
                  <c:v>0.11972284885594564</c:v>
                </c:pt>
                <c:pt idx="533">
                  <c:v>-9.875108916642461E-2</c:v>
                </c:pt>
                <c:pt idx="534">
                  <c:v>-3.4627786345156286E-2</c:v>
                </c:pt>
                <c:pt idx="535">
                  <c:v>7.1986774872257131E-2</c:v>
                </c:pt>
                <c:pt idx="536">
                  <c:v>-7.9158593966233037E-2</c:v>
                </c:pt>
                <c:pt idx="537">
                  <c:v>-1.3245937457326162E-2</c:v>
                </c:pt>
                <c:pt idx="538">
                  <c:v>-3.2373150105708293E-2</c:v>
                </c:pt>
                <c:pt idx="539">
                  <c:v>4.6315498410065103E-2</c:v>
                </c:pt>
                <c:pt idx="540">
                  <c:v>-3.1726907630522105E-2</c:v>
                </c:pt>
                <c:pt idx="541">
                  <c:v>9.3064091308165064E-2</c:v>
                </c:pt>
                <c:pt idx="542">
                  <c:v>-5.8496636443394756E-4</c:v>
                </c:pt>
                <c:pt idx="543">
                  <c:v>-6.5336249316566453E-2</c:v>
                </c:pt>
                <c:pt idx="544">
                  <c:v>1.5828936406553806E-2</c:v>
                </c:pt>
                <c:pt idx="545">
                  <c:v>-3.3807351757445758E-2</c:v>
                </c:pt>
                <c:pt idx="546">
                  <c:v>-4.7533861487349838E-2</c:v>
                </c:pt>
                <c:pt idx="547">
                  <c:v>-2.2605220432121764E-2</c:v>
                </c:pt>
                <c:pt idx="548">
                  <c:v>-1.0259579728059465E-2</c:v>
                </c:pt>
                <c:pt idx="549">
                  <c:v>1.4420062695924774E-2</c:v>
                </c:pt>
                <c:pt idx="550">
                  <c:v>-1.8340718857705496E-2</c:v>
                </c:pt>
                <c:pt idx="551">
                  <c:v>2.462447672986201E-4</c:v>
                </c:pt>
                <c:pt idx="552">
                  <c:v>-7.0904645476772554E-3</c:v>
                </c:pt>
                <c:pt idx="553">
                  <c:v>2.3779724655819567E-2</c:v>
                </c:pt>
                <c:pt idx="554">
                  <c:v>-6.0952854832689862E-3</c:v>
                </c:pt>
                <c:pt idx="555">
                  <c:v>4.7494063242095041E-3</c:v>
                </c:pt>
                <c:pt idx="556">
                  <c:v>-1.5867158671586612E-2</c:v>
                </c:pt>
                <c:pt idx="557">
                  <c:v>1.1697361871577883E-2</c:v>
                </c:pt>
                <c:pt idx="558">
                  <c:v>8.1545602810186857E-3</c:v>
                </c:pt>
                <c:pt idx="559">
                  <c:v>3.2914344952701624E-2</c:v>
                </c:pt>
                <c:pt idx="560">
                  <c:v>-2.713879555440557E-3</c:v>
                </c:pt>
                <c:pt idx="561">
                  <c:v>-4.433740891688287E-2</c:v>
                </c:pt>
                <c:pt idx="562">
                  <c:v>-1.3566847557967554E-3</c:v>
                </c:pt>
                <c:pt idx="563">
                  <c:v>2.0901536136993082E-2</c:v>
                </c:pt>
                <c:pt idx="564">
                  <c:v>2.8223718280683707E-2</c:v>
                </c:pt>
                <c:pt idx="565">
                  <c:v>-2.9404372958029668E-2</c:v>
                </c:pt>
                <c:pt idx="566">
                  <c:v>-2.8818443804035088E-3</c:v>
                </c:pt>
                <c:pt idx="567">
                  <c:v>4.7840866171471319E-3</c:v>
                </c:pt>
                <c:pt idx="568">
                  <c:v>3.6643922163255294E-3</c:v>
                </c:pt>
                <c:pt idx="569">
                  <c:v>-6.777108433735024E-3</c:v>
                </c:pt>
                <c:pt idx="570">
                  <c:v>1.1039208222306973E-2</c:v>
                </c:pt>
                <c:pt idx="571">
                  <c:v>1.2591545676474469E-2</c:v>
                </c:pt>
                <c:pt idx="572">
                  <c:v>-4.3494946910579424E-3</c:v>
                </c:pt>
                <c:pt idx="573">
                  <c:v>-1.3503281171125647E-2</c:v>
                </c:pt>
                <c:pt idx="574">
                  <c:v>2.1397267336942472E-2</c:v>
                </c:pt>
                <c:pt idx="575">
                  <c:v>2.1960986952589412E-3</c:v>
                </c:pt>
                <c:pt idx="576">
                  <c:v>2.1240105540897058E-2</c:v>
                </c:pt>
                <c:pt idx="577">
                  <c:v>1.6085790884718509E-2</c:v>
                </c:pt>
                <c:pt idx="578">
                  <c:v>-4.6697798532355783E-3</c:v>
                </c:pt>
                <c:pt idx="579">
                  <c:v>7.9343733189887189E-3</c:v>
                </c:pt>
                <c:pt idx="580">
                  <c:v>-9.7216673325343228E-3</c:v>
                </c:pt>
                <c:pt idx="581">
                  <c:v>2.2885165508786276E-2</c:v>
                </c:pt>
                <c:pt idx="582">
                  <c:v>7.2722283205268745E-3</c:v>
                </c:pt>
                <c:pt idx="583">
                  <c:v>5.9351276742580783E-3</c:v>
                </c:pt>
                <c:pt idx="584">
                  <c:v>-4.1390728476820016E-4</c:v>
                </c:pt>
                <c:pt idx="585">
                  <c:v>1.9839594765724167E-2</c:v>
                </c:pt>
                <c:pt idx="586">
                  <c:v>9.8591549295767855E-4</c:v>
                </c:pt>
                <c:pt idx="587">
                  <c:v>1.6318350987689634E-2</c:v>
                </c:pt>
                <c:pt idx="588">
                  <c:v>-2.0000000000000018E-3</c:v>
                </c:pt>
                <c:pt idx="589">
                  <c:v>1.0010010010008674E-3</c:v>
                </c:pt>
                <c:pt idx="590">
                  <c:v>-2.4251069900140809E-3</c:v>
                </c:pt>
                <c:pt idx="591">
                  <c:v>2.0011435105775632E-3</c:v>
                </c:pt>
                <c:pt idx="592">
                  <c:v>1.7008286088094016E-2</c:v>
                </c:pt>
                <c:pt idx="593">
                  <c:v>1.3704686118479303E-2</c:v>
                </c:pt>
                <c:pt idx="594">
                  <c:v>2.5114492539519695E-3</c:v>
                </c:pt>
                <c:pt idx="595">
                  <c:v>8.492252681763901E-3</c:v>
                </c:pt>
                <c:pt idx="596">
                  <c:v>5.8444477746140144E-3</c:v>
                </c:pt>
                <c:pt idx="597">
                  <c:v>-1.4036643026004714E-2</c:v>
                </c:pt>
                <c:pt idx="598">
                  <c:v>1.9430637144148388E-2</c:v>
                </c:pt>
                <c:pt idx="599">
                  <c:v>1.467216872994026E-2</c:v>
                </c:pt>
                <c:pt idx="600">
                  <c:v>8.7881591119334246E-3</c:v>
                </c:pt>
                <c:pt idx="601">
                  <c:v>-1.7867958812840756E-2</c:v>
                </c:pt>
                <c:pt idx="602">
                  <c:v>-1.1525220775333023E-2</c:v>
                </c:pt>
                <c:pt idx="603">
                  <c:v>-2.2401433691755512E-3</c:v>
                </c:pt>
                <c:pt idx="604">
                  <c:v>1.3470561525654512E-2</c:v>
                </c:pt>
                <c:pt idx="605">
                  <c:v>-7.8089803273766467E-3</c:v>
                </c:pt>
                <c:pt idx="606">
                  <c:v>1.7573349633251967E-2</c:v>
                </c:pt>
                <c:pt idx="607">
                  <c:v>-9.1603053435118653E-4</c:v>
                </c:pt>
                <c:pt idx="608">
                  <c:v>-4.5592705167172287E-3</c:v>
                </c:pt>
                <c:pt idx="609">
                  <c:v>-1.1566771819137678E-2</c:v>
                </c:pt>
                <c:pt idx="610">
                  <c:v>-3.1446540880504248E-3</c:v>
                </c:pt>
                <c:pt idx="611">
                  <c:v>5.1173991571342725E-3</c:v>
                </c:pt>
                <c:pt idx="612">
                  <c:v>1.1879378617118519E-2</c:v>
                </c:pt>
                <c:pt idx="613">
                  <c:v>-6.9570477918936557E-3</c:v>
                </c:pt>
                <c:pt idx="614">
                  <c:v>9.6197892808063123E-3</c:v>
                </c:pt>
                <c:pt idx="615">
                  <c:v>-9.1533180778036183E-4</c:v>
                </c:pt>
                <c:pt idx="616">
                  <c:v>7.8413284132838879E-3</c:v>
                </c:pt>
                <c:pt idx="617">
                  <c:v>2.7752081406107187E-3</c:v>
                </c:pt>
                <c:pt idx="618">
                  <c:v>8.5523246773440142E-3</c:v>
                </c:pt>
                <c:pt idx="619">
                  <c:v>4.6670815183569303E-4</c:v>
                </c:pt>
                <c:pt idx="620">
                  <c:v>-1.5532774153462769E-3</c:v>
                </c:pt>
                <c:pt idx="621">
                  <c:v>6.5666041275795894E-3</c:v>
                </c:pt>
                <c:pt idx="622">
                  <c:v>2.8461167390255726E-2</c:v>
                </c:pt>
                <c:pt idx="623">
                  <c:v>2.2693635915145505E-2</c:v>
                </c:pt>
                <c:pt idx="624">
                  <c:v>-1.6441959881619006E-4</c:v>
                </c:pt>
                <c:pt idx="625">
                  <c:v>-2.312881464824923E-2</c:v>
                </c:pt>
                <c:pt idx="626">
                  <c:v>9.8945660989455675E-3</c:v>
                </c:pt>
                <c:pt idx="627">
                  <c:v>1.2315270935960632E-2</c:v>
                </c:pt>
                <c:pt idx="628">
                  <c:v>1.8095081427866866E-3</c:v>
                </c:pt>
                <c:pt idx="629">
                  <c:v>1.3335555925987563E-2</c:v>
                </c:pt>
                <c:pt idx="630">
                  <c:v>-2.3282887077997749E-3</c:v>
                </c:pt>
                <c:pt idx="631">
                  <c:v>1.742808798646367E-2</c:v>
                </c:pt>
                <c:pt idx="632">
                  <c:v>4.7602856171371499E-3</c:v>
                </c:pt>
                <c:pt idx="633">
                  <c:v>3.9255845707457659E-3</c:v>
                </c:pt>
                <c:pt idx="634">
                  <c:v>-4.0795512493624342E-3</c:v>
                </c:pt>
                <c:pt idx="635">
                  <c:v>-2.3740885195862038E-3</c:v>
                </c:pt>
                <c:pt idx="636">
                  <c:v>-1.3547840812869749E-3</c:v>
                </c:pt>
                <c:pt idx="637">
                  <c:v>2.6599443671766254E-2</c:v>
                </c:pt>
                <c:pt idx="638">
                  <c:v>1.3389711064129672E-2</c:v>
                </c:pt>
                <c:pt idx="639">
                  <c:v>1.1764705882352899E-2</c:v>
                </c:pt>
                <c:pt idx="640">
                  <c:v>-1.1627906976744096E-2</c:v>
                </c:pt>
                <c:pt idx="641">
                  <c:v>1.7621145374446812E-4</c:v>
                </c:pt>
                <c:pt idx="642">
                  <c:v>2.7893497554790869E-2</c:v>
                </c:pt>
                <c:pt idx="643">
                  <c:v>8.5860431128972348E-3</c:v>
                </c:pt>
                <c:pt idx="644">
                  <c:v>-2.5111308993766679E-2</c:v>
                </c:pt>
                <c:pt idx="645">
                  <c:v>2.8576531523485382E-3</c:v>
                </c:pt>
                <c:pt idx="646">
                  <c:v>2.3396088466459464E-2</c:v>
                </c:pt>
                <c:pt idx="647">
                  <c:v>-4.7298526468982915E-3</c:v>
                </c:pt>
                <c:pt idx="648">
                  <c:v>-5.24791892870069E-3</c:v>
                </c:pt>
                <c:pt idx="649">
                  <c:v>1.5435501653803696E-2</c:v>
                </c:pt>
                <c:pt idx="650">
                  <c:v>-4.7549378200438808E-3</c:v>
                </c:pt>
                <c:pt idx="651">
                  <c:v>4.5930553003858954E-3</c:v>
                </c:pt>
                <c:pt idx="652">
                  <c:v>-1.4663287472845843E-2</c:v>
                </c:pt>
                <c:pt idx="653">
                  <c:v>-8.0804453223198847E-3</c:v>
                </c:pt>
                <c:pt idx="654">
                  <c:v>9.4254123617907304E-3</c:v>
                </c:pt>
                <c:pt idx="655">
                  <c:v>3.638348189921814E-3</c:v>
                </c:pt>
                <c:pt idx="656">
                  <c:v>5.1197659535564544E-3</c:v>
                </c:pt>
                <c:pt idx="657">
                  <c:v>-1.9365250134480982E-2</c:v>
                </c:pt>
                <c:pt idx="658">
                  <c:v>-2.3255813953487747E-3</c:v>
                </c:pt>
                <c:pt idx="659">
                  <c:v>3.1936496215617449E-2</c:v>
                </c:pt>
                <c:pt idx="660">
                  <c:v>1.1766903249906591E-2</c:v>
                </c:pt>
                <c:pt idx="661">
                  <c:v>4.3143875445506019E-3</c:v>
                </c:pt>
                <c:pt idx="662">
                  <c:v>-1.8754688672162345E-4</c:v>
                </c:pt>
                <c:pt idx="663">
                  <c:v>1.9502868068833612E-2</c:v>
                </c:pt>
                <c:pt idx="664">
                  <c:v>1.711396343835081E-2</c:v>
                </c:pt>
                <c:pt idx="665">
                  <c:v>-1.4753784249856183E-2</c:v>
                </c:pt>
                <c:pt idx="666">
                  <c:v>-1.1483253588516762E-3</c:v>
                </c:pt>
                <c:pt idx="667">
                  <c:v>1.6932658622031971E-2</c:v>
                </c:pt>
                <c:pt idx="668">
                  <c:v>6.6614420062696134E-3</c:v>
                </c:pt>
                <c:pt idx="669">
                  <c:v>-1.1235955056179692E-2</c:v>
                </c:pt>
                <c:pt idx="670">
                  <c:v>1.8949861823924108E-2</c:v>
                </c:pt>
                <c:pt idx="671">
                  <c:v>-4.6310240963855387E-2</c:v>
                </c:pt>
                <c:pt idx="672">
                  <c:v>-7.5244544770503019E-4</c:v>
                </c:pt>
                <c:pt idx="673">
                  <c:v>1.0838562464346779E-2</c:v>
                </c:pt>
                <c:pt idx="674">
                  <c:v>0</c:v>
                </c:pt>
                <c:pt idx="675">
                  <c:v>1.8791166214645605E-2</c:v>
                </c:pt>
                <c:pt idx="676">
                  <c:v>2.3394131641554239E-2</c:v>
                </c:pt>
                <c:pt idx="677">
                  <c:v>-4.9319392385085425E-3</c:v>
                </c:pt>
                <c:pt idx="678">
                  <c:v>-2.9670750382848499E-2</c:v>
                </c:pt>
                <c:pt idx="679">
                  <c:v>4.2298483639265916E-2</c:v>
                </c:pt>
                <c:pt idx="680">
                  <c:v>-2.5870646766169569E-3</c:v>
                </c:pt>
                <c:pt idx="681">
                  <c:v>-1.1993708218639432E-2</c:v>
                </c:pt>
                <c:pt idx="682">
                  <c:v>2.2106109324758982E-2</c:v>
                </c:pt>
                <c:pt idx="683">
                  <c:v>1.035532994923849E-2</c:v>
                </c:pt>
                <c:pt idx="684">
                  <c:v>1.9035795572108549E-2</c:v>
                </c:pt>
                <c:pt idx="685">
                  <c:v>-5.2538717898451326E-2</c:v>
                </c:pt>
                <c:pt idx="686">
                  <c:v>-2.1109192093648033E-2</c:v>
                </c:pt>
                <c:pt idx="687">
                  <c:v>-2.1592189260232764E-2</c:v>
                </c:pt>
                <c:pt idx="688">
                  <c:v>2.0306513409961591E-2</c:v>
                </c:pt>
                <c:pt idx="689">
                  <c:v>-4.1968714231209736E-3</c:v>
                </c:pt>
                <c:pt idx="690">
                  <c:v>9.241432422025575E-3</c:v>
                </c:pt>
                <c:pt idx="691">
                  <c:v>3.4775888717155645E-3</c:v>
                </c:pt>
                <c:pt idx="692">
                  <c:v>-7.8589227525398542E-3</c:v>
                </c:pt>
                <c:pt idx="693">
                  <c:v>-7.6613675541081783E-4</c:v>
                </c:pt>
                <c:pt idx="694">
                  <c:v>7.915057915057977E-3</c:v>
                </c:pt>
                <c:pt idx="695">
                  <c:v>2.2704837117472731E-2</c:v>
                </c:pt>
                <c:pt idx="696">
                  <c:v>-1.4974718008557097E-2</c:v>
                </c:pt>
                <c:pt idx="697">
                  <c:v>1.1408339889850572E-2</c:v>
                </c:pt>
                <c:pt idx="698">
                  <c:v>-5.4773082942095597E-3</c:v>
                </c:pt>
                <c:pt idx="699">
                  <c:v>-3.5087719298245723E-3</c:v>
                </c:pt>
                <c:pt idx="700">
                  <c:v>9.2465079677355178E-3</c:v>
                </c:pt>
                <c:pt idx="701">
                  <c:v>7.7319587628865705E-3</c:v>
                </c:pt>
                <c:pt idx="702">
                  <c:v>-7.2820310962410373E-3</c:v>
                </c:pt>
                <c:pt idx="703">
                  <c:v>9.9383820314051796E-3</c:v>
                </c:pt>
                <c:pt idx="704">
                  <c:v>5.998800239952029E-3</c:v>
                </c:pt>
                <c:pt idx="705">
                  <c:v>-2.0564042303172769E-2</c:v>
                </c:pt>
                <c:pt idx="706">
                  <c:v>-7.8277886497057914E-4</c:v>
                </c:pt>
                <c:pt idx="707">
                  <c:v>8.2872928176795924E-3</c:v>
                </c:pt>
                <c:pt idx="708">
                  <c:v>5.7551101409010208E-3</c:v>
                </c:pt>
                <c:pt idx="709">
                  <c:v>1.8391269199676819E-2</c:v>
                </c:pt>
                <c:pt idx="710">
                  <c:v>-9.2110532639166909E-3</c:v>
                </c:pt>
                <c:pt idx="711">
                  <c:v>-2.0020020020028451E-4</c:v>
                </c:pt>
                <c:pt idx="712">
                  <c:v>2.1681325424422138E-2</c:v>
                </c:pt>
                <c:pt idx="713">
                  <c:v>-1.5307150050352436E-2</c:v>
                </c:pt>
                <c:pt idx="714">
                  <c:v>-1.006036217303885E-3</c:v>
                </c:pt>
                <c:pt idx="715">
                  <c:v>-3.4088630439140788E-3</c:v>
                </c:pt>
                <c:pt idx="716">
                  <c:v>8.0857085102081783E-3</c:v>
                </c:pt>
                <c:pt idx="717">
                  <c:v>-2.8220116911913395E-3</c:v>
                </c:pt>
                <c:pt idx="718">
                  <c:v>2.3519702909015949E-2</c:v>
                </c:pt>
                <c:pt idx="719">
                  <c:v>5.8103340942103898E-3</c:v>
                </c:pt>
                <c:pt idx="720">
                  <c:v>-7.2105480016481094E-3</c:v>
                </c:pt>
                <c:pt idx="721">
                  <c:v>-2.0597322348092639E-4</c:v>
                </c:pt>
                <c:pt idx="722">
                  <c:v>-3.0800821355236874E-3</c:v>
                </c:pt>
                <c:pt idx="723">
                  <c:v>1.1422637590861928E-2</c:v>
                </c:pt>
                <c:pt idx="724">
                  <c:v>1.2831299957930087E-2</c:v>
                </c:pt>
                <c:pt idx="725">
                  <c:v>2.6781857451403823E-2</c:v>
                </c:pt>
                <c:pt idx="726">
                  <c:v>1.468332237562997E-2</c:v>
                </c:pt>
                <c:pt idx="727">
                  <c:v>1.6032064128256751E-2</c:v>
                </c:pt>
                <c:pt idx="728">
                  <c:v>3.6464343411031663E-2</c:v>
                </c:pt>
                <c:pt idx="729">
                  <c:v>-1.0052547406899759E-2</c:v>
                </c:pt>
                <c:pt idx="730">
                  <c:v>-1.8169582772543658E-2</c:v>
                </c:pt>
                <c:pt idx="731">
                  <c:v>5.1860202931228727E-3</c:v>
                </c:pt>
                <c:pt idx="732">
                  <c:v>-4.7127468581688037E-3</c:v>
                </c:pt>
                <c:pt idx="733">
                  <c:v>-4.0232454179705002E-3</c:v>
                </c:pt>
                <c:pt idx="734">
                  <c:v>-4.0071237756010847E-3</c:v>
                </c:pt>
                <c:pt idx="735">
                  <c:v>-1.7067833698030666E-2</c:v>
                </c:pt>
                <c:pt idx="736">
                  <c:v>-2.0364415862808016E-2</c:v>
                </c:pt>
                <c:pt idx="737">
                  <c:v>1.9226567620712176E-2</c:v>
                </c:pt>
                <c:pt idx="738">
                  <c:v>-3.1322751322751308E-2</c:v>
                </c:pt>
                <c:pt idx="739">
                  <c:v>-5.6818181818182323E-3</c:v>
                </c:pt>
                <c:pt idx="740">
                  <c:v>-4.3997485857949492E-3</c:v>
                </c:pt>
                <c:pt idx="741">
                  <c:v>1.1871952512189754E-2</c:v>
                </c:pt>
                <c:pt idx="742">
                  <c:v>1.5937971139349694E-2</c:v>
                </c:pt>
                <c:pt idx="743">
                  <c:v>-5.8023939947250969E-2</c:v>
                </c:pt>
                <c:pt idx="744">
                  <c:v>-1.7736149860502204E-2</c:v>
                </c:pt>
                <c:pt idx="745">
                  <c:v>-1.0646687697160817E-2</c:v>
                </c:pt>
                <c:pt idx="746">
                  <c:v>0</c:v>
                </c:pt>
                <c:pt idx="747">
                  <c:v>-2.6861089792785897E-2</c:v>
                </c:pt>
                <c:pt idx="748">
                  <c:v>-1.5489233094068799E-2</c:v>
                </c:pt>
                <c:pt idx="749">
                  <c:v>1.2430675081277487E-2</c:v>
                </c:pt>
                <c:pt idx="750">
                  <c:v>-6.4601938058141961E-3</c:v>
                </c:pt>
                <c:pt idx="751">
                  <c:v>4.9033286824795796E-2</c:v>
                </c:pt>
                <c:pt idx="752">
                  <c:v>-1.9159335288367441E-2</c:v>
                </c:pt>
                <c:pt idx="753">
                  <c:v>1.3703993735316722E-3</c:v>
                </c:pt>
                <c:pt idx="754">
                  <c:v>-4.6765393608729777E-3</c:v>
                </c:pt>
                <c:pt idx="755">
                  <c:v>-9.0751110252944578E-3</c:v>
                </c:pt>
                <c:pt idx="756">
                  <c:v>-1.5423173317909988E-3</c:v>
                </c:pt>
                <c:pt idx="757">
                  <c:v>1.4472912184627429E-2</c:v>
                </c:pt>
                <c:pt idx="758">
                  <c:v>3.1391014322150745E-3</c:v>
                </c:pt>
                <c:pt idx="759">
                  <c:v>3.7416305632138602E-3</c:v>
                </c:pt>
                <c:pt idx="760">
                  <c:v>1.9474001204577318E-2</c:v>
                </c:pt>
                <c:pt idx="761">
                  <c:v>0</c:v>
                </c:pt>
                <c:pt idx="762">
                  <c:v>1.8101367658891476E-3</c:v>
                </c:pt>
                <c:pt idx="763">
                  <c:v>-4.0209087253728626E-4</c:v>
                </c:pt>
                <c:pt idx="764">
                  <c:v>-8.1754735792621824E-3</c:v>
                </c:pt>
                <c:pt idx="765">
                  <c:v>5.4129911788292073E-3</c:v>
                </c:pt>
                <c:pt idx="766">
                  <c:v>-2.9982010793523362E-3</c:v>
                </c:pt>
                <c:pt idx="767">
                  <c:v>1.5837563451776671E-2</c:v>
                </c:pt>
                <c:pt idx="768">
                  <c:v>6.7457072771872628E-3</c:v>
                </c:pt>
                <c:pt idx="769">
                  <c:v>1.6380016380015405E-3</c:v>
                </c:pt>
                <c:pt idx="770">
                  <c:v>6.8027210884353817E-3</c:v>
                </c:pt>
                <c:pt idx="771">
                  <c:v>1.4641288433381972E-2</c:v>
                </c:pt>
                <c:pt idx="772">
                  <c:v>6.7382606864603289E-3</c:v>
                </c:pt>
                <c:pt idx="773">
                  <c:v>6.570580754557076E-3</c:v>
                </c:pt>
                <c:pt idx="774">
                  <c:v>1.2733446519526126E-3</c:v>
                </c:pt>
                <c:pt idx="775">
                  <c:v>8.9935760171304668E-3</c:v>
                </c:pt>
                <c:pt idx="776">
                  <c:v>-1.0383555838101133E-2</c:v>
                </c:pt>
                <c:pt idx="777">
                  <c:v>-1.1934673366834181E-2</c:v>
                </c:pt>
                <c:pt idx="778">
                  <c:v>-2.0709452532294503E-2</c:v>
                </c:pt>
                <c:pt idx="779">
                  <c:v>3.6777210884353817E-2</c:v>
                </c:pt>
                <c:pt idx="780">
                  <c:v>8.7926227750374508E-3</c:v>
                </c:pt>
                <c:pt idx="781">
                  <c:v>-8.0833865135077065E-3</c:v>
                </c:pt>
                <c:pt idx="782">
                  <c:v>1.0315925209542165E-2</c:v>
                </c:pt>
                <c:pt idx="783">
                  <c:v>1.3063357282821819E-2</c:v>
                </c:pt>
                <c:pt idx="784">
                  <c:v>1.1005943209333013E-2</c:v>
                </c:pt>
                <c:pt idx="785">
                  <c:v>4.4218439089100947E-3</c:v>
                </c:pt>
                <c:pt idx="786">
                  <c:v>1.1404293381037434E-2</c:v>
                </c:pt>
                <c:pt idx="787">
                  <c:v>3.4466805459171912E-2</c:v>
                </c:pt>
                <c:pt idx="788">
                  <c:v>2.5510204081633514E-3</c:v>
                </c:pt>
                <c:pt idx="789">
                  <c:v>-1.1689204675682019E-2</c:v>
                </c:pt>
                <c:pt idx="790">
                  <c:v>-5.697356426618061E-3</c:v>
                </c:pt>
                <c:pt idx="791">
                  <c:v>-1.8198362147406888E-3</c:v>
                </c:pt>
                <c:pt idx="792">
                  <c:v>5.0297210791037106E-3</c:v>
                </c:pt>
                <c:pt idx="793">
                  <c:v>1.0395010395010562E-2</c:v>
                </c:pt>
                <c:pt idx="794">
                  <c:v>-9.8353156450137202E-3</c:v>
                </c:pt>
                <c:pt idx="795">
                  <c:v>3.2124827902708653E-3</c:v>
                </c:pt>
                <c:pt idx="796">
                  <c:v>4.5913682277309853E-4</c:v>
                </c:pt>
                <c:pt idx="797">
                  <c:v>7.4005550416280652E-3</c:v>
                </c:pt>
                <c:pt idx="798">
                  <c:v>1.1225444340505319E-2</c:v>
                </c:pt>
                <c:pt idx="799">
                  <c:v>-5.8126017205301084E-3</c:v>
                </c:pt>
                <c:pt idx="800">
                  <c:v>6.5527732272407935E-3</c:v>
                </c:pt>
                <c:pt idx="801">
                  <c:v>3.0516431924880738E-3</c:v>
                </c:pt>
                <c:pt idx="802">
                  <c:v>-2.3419203747072626E-3</c:v>
                </c:pt>
                <c:pt idx="803">
                  <c:v>3.761165961448043E-3</c:v>
                </c:pt>
                <c:pt idx="804">
                  <c:v>-4.2134831460673983E-3</c:v>
                </c:pt>
                <c:pt idx="805">
                  <c:v>8.4985835694051381E-3</c:v>
                </c:pt>
                <c:pt idx="806">
                  <c:v>-5.6338028169014009E-3</c:v>
                </c:pt>
                <c:pt idx="807">
                  <c:v>-3.2756200280767978E-3</c:v>
                </c:pt>
                <c:pt idx="808">
                  <c:v>-1.8824609733700703E-2</c:v>
                </c:pt>
                <c:pt idx="809">
                  <c:v>4.5934772622890918E-4</c:v>
                </c:pt>
                <c:pt idx="810">
                  <c:v>1.7052090633029593E-2</c:v>
                </c:pt>
                <c:pt idx="811">
                  <c:v>2.8344943550324242E-2</c:v>
                </c:pt>
                <c:pt idx="812">
                  <c:v>4.806536890171742E-4</c:v>
                </c:pt>
                <c:pt idx="813">
                  <c:v>7.2621641249090985E-3</c:v>
                </c:pt>
                <c:pt idx="814">
                  <c:v>6.8269976726144321E-2</c:v>
                </c:pt>
                <c:pt idx="815">
                  <c:v>-1.0491299897645745E-2</c:v>
                </c:pt>
                <c:pt idx="816">
                  <c:v>-9.1277890466531231E-3</c:v>
                </c:pt>
                <c:pt idx="817">
                  <c:v>3.3272203301021541E-2</c:v>
                </c:pt>
                <c:pt idx="818">
                  <c:v>-8.0561330561329525E-3</c:v>
                </c:pt>
                <c:pt idx="819">
                  <c:v>3.9133837725018328E-3</c:v>
                </c:pt>
                <c:pt idx="820">
                  <c:v>-2.2443254271869439E-2</c:v>
                </c:pt>
                <c:pt idx="821">
                  <c:v>6.1585835257891297E-3</c:v>
                </c:pt>
                <c:pt idx="822">
                  <c:v>5.9370160041301023E-3</c:v>
                </c:pt>
                <c:pt idx="823">
                  <c:v>1.228116017768488E-2</c:v>
                </c:pt>
                <c:pt idx="824">
                  <c:v>2.0533333333333514E-2</c:v>
                </c:pt>
                <c:pt idx="825">
                  <c:v>-1.4972419227738398E-2</c:v>
                </c:pt>
                <c:pt idx="826">
                  <c:v>-9.8829648894669386E-3</c:v>
                </c:pt>
                <c:pt idx="827">
                  <c:v>3.1307070180017771E-3</c:v>
                </c:pt>
                <c:pt idx="828">
                  <c:v>1.6980631467232721E-2</c:v>
                </c:pt>
                <c:pt idx="829">
                  <c:v>1.919956733369399E-2</c:v>
                </c:pt>
                <c:pt idx="830">
                  <c:v>-2.1586616297897265E-3</c:v>
                </c:pt>
                <c:pt idx="831">
                  <c:v>4.2475386779184499E-2</c:v>
                </c:pt>
                <c:pt idx="832">
                  <c:v>-9.9544072948328233E-2</c:v>
                </c:pt>
                <c:pt idx="833">
                  <c:v>1.0141987829614951E-3</c:v>
                </c:pt>
                <c:pt idx="834">
                  <c:v>9.7286226318482605E-3</c:v>
                </c:pt>
                <c:pt idx="835">
                  <c:v>5.1229508196737328E-4</c:v>
                </c:pt>
                <c:pt idx="836">
                  <c:v>-6.3629422244846356E-3</c:v>
                </c:pt>
                <c:pt idx="837">
                  <c:v>7.028057749931893E-2</c:v>
                </c:pt>
                <c:pt idx="838">
                  <c:v>-2.5743099787685741E-2</c:v>
                </c:pt>
                <c:pt idx="839">
                  <c:v>-3.9020657995409325E-2</c:v>
                </c:pt>
                <c:pt idx="840">
                  <c:v>-2.5111884634510195E-2</c:v>
                </c:pt>
                <c:pt idx="841">
                  <c:v>-3.1310211946050215E-2</c:v>
                </c:pt>
                <c:pt idx="842">
                  <c:v>1.2929982922664118E-2</c:v>
                </c:pt>
                <c:pt idx="843">
                  <c:v>-9.1854000483441167E-3</c:v>
                </c:pt>
                <c:pt idx="844">
                  <c:v>-3.2054281703322474E-2</c:v>
                </c:pt>
                <c:pt idx="845">
                  <c:v>1.0879848628192912E-2</c:v>
                </c:pt>
                <c:pt idx="846">
                  <c:v>2.8462998102467552E-3</c:v>
                </c:pt>
                <c:pt idx="847">
                  <c:v>-5.6603773584905648E-3</c:v>
                </c:pt>
                <c:pt idx="848">
                  <c:v>6.647673314339908E-3</c:v>
                </c:pt>
                <c:pt idx="849">
                  <c:v>-3.5714285714285809E-2</c:v>
                </c:pt>
                <c:pt idx="850">
                  <c:v>-1.1093502377179099E-2</c:v>
                </c:pt>
                <c:pt idx="851">
                  <c:v>-4.4146288682103463E-2</c:v>
                </c:pt>
                <c:pt idx="852">
                  <c:v>3.4938409854423425E-2</c:v>
                </c:pt>
                <c:pt idx="853">
                  <c:v>-5.3464023167744124E-3</c:v>
                </c:pt>
                <c:pt idx="854">
                  <c:v>-7.7365163572060691E-3</c:v>
                </c:pt>
                <c:pt idx="855">
                  <c:v>3.8567493112947604E-2</c:v>
                </c:pt>
                <c:pt idx="856">
                  <c:v>-2.0618556701029744E-3</c:v>
                </c:pt>
                <c:pt idx="857">
                  <c:v>1.3466449965172878E-2</c:v>
                </c:pt>
                <c:pt idx="858">
                  <c:v>-2.5565610859728527E-2</c:v>
                </c:pt>
                <c:pt idx="859">
                  <c:v>-9.0415913200725395E-4</c:v>
                </c:pt>
                <c:pt idx="860">
                  <c:v>-4.7987949214546965E-2</c:v>
                </c:pt>
                <c:pt idx="861">
                  <c:v>-3.9479123604795441E-2</c:v>
                </c:pt>
                <c:pt idx="862">
                  <c:v>1.1076280041797393E-2</c:v>
                </c:pt>
                <c:pt idx="863">
                  <c:v>2.4625267665952855E-2</c:v>
                </c:pt>
                <c:pt idx="864">
                  <c:v>-2.8297960882230577E-2</c:v>
                </c:pt>
                <c:pt idx="865">
                  <c:v>-9.8887515451173691E-3</c:v>
                </c:pt>
                <c:pt idx="866">
                  <c:v>-5.0469483568075124E-2</c:v>
                </c:pt>
                <c:pt idx="867">
                  <c:v>-1.9186492709132752E-2</c:v>
                </c:pt>
                <c:pt idx="868">
                  <c:v>-7.0489617069918742E-3</c:v>
                </c:pt>
                <c:pt idx="869">
                  <c:v>3.042795445622315E-2</c:v>
                </c:pt>
                <c:pt idx="870">
                  <c:v>1.0714285714285676E-2</c:v>
                </c:pt>
                <c:pt idx="871">
                  <c:v>-2.8340080971659853E-2</c:v>
                </c:pt>
                <c:pt idx="872">
                  <c:v>-6.6246624662466225E-2</c:v>
                </c:pt>
                <c:pt idx="873">
                  <c:v>1.5168128654970747E-2</c:v>
                </c:pt>
                <c:pt idx="874">
                  <c:v>2.6064129008062986E-2</c:v>
                </c:pt>
                <c:pt idx="875">
                  <c:v>5.0885789672068249E-3</c:v>
                </c:pt>
                <c:pt idx="876">
                  <c:v>-1.8860946745562046E-2</c:v>
                </c:pt>
                <c:pt idx="877">
                  <c:v>-1.5832575068243981E-2</c:v>
                </c:pt>
                <c:pt idx="878">
                  <c:v>2.1945322670634093E-2</c:v>
                </c:pt>
                <c:pt idx="879">
                  <c:v>-3.4303160919540221E-2</c:v>
                </c:pt>
                <c:pt idx="880">
                  <c:v>9.4271211022480816E-3</c:v>
                </c:pt>
                <c:pt idx="881">
                  <c:v>6.0186029545867825E-3</c:v>
                </c:pt>
                <c:pt idx="882">
                  <c:v>1.5182373634512025E-2</c:v>
                </c:pt>
                <c:pt idx="883">
                  <c:v>-2.3327305605786552E-2</c:v>
                </c:pt>
                <c:pt idx="884">
                  <c:v>-4.3212099387829328E-3</c:v>
                </c:pt>
                <c:pt idx="885">
                  <c:v>2.2083179977916645E-2</c:v>
                </c:pt>
                <c:pt idx="886">
                  <c:v>-2.1429857734557856E-2</c:v>
                </c:pt>
                <c:pt idx="887">
                  <c:v>3.5814213766088399E-2</c:v>
                </c:pt>
                <c:pt idx="888">
                  <c:v>-8.8740987243484115E-3</c:v>
                </c:pt>
                <c:pt idx="889">
                  <c:v>-4.6368124118476683E-2</c:v>
                </c:pt>
                <c:pt idx="890">
                  <c:v>1.394351090454049E-2</c:v>
                </c:pt>
                <c:pt idx="891">
                  <c:v>-2.318530408418118E-3</c:v>
                </c:pt>
                <c:pt idx="892">
                  <c:v>-1.6315789473684172E-2</c:v>
                </c:pt>
                <c:pt idx="893">
                  <c:v>-1.7580144777662898E-2</c:v>
                </c:pt>
                <c:pt idx="894">
                  <c:v>1.2212142358688061E-2</c:v>
                </c:pt>
                <c:pt idx="895">
                  <c:v>8.9772927301530192E-3</c:v>
                </c:pt>
                <c:pt idx="896">
                  <c:v>6.5556343019135266E-3</c:v>
                </c:pt>
                <c:pt idx="897">
                  <c:v>3.5561877667140696E-3</c:v>
                </c:pt>
                <c:pt idx="898">
                  <c:v>2.0689655172413834E-2</c:v>
                </c:pt>
                <c:pt idx="899">
                  <c:v>-8.1008100810080474E-3</c:v>
                </c:pt>
                <c:pt idx="900">
                  <c:v>6.3405797101447892E-3</c:v>
                </c:pt>
                <c:pt idx="901">
                  <c:v>1.4332965821389321E-2</c:v>
                </c:pt>
                <c:pt idx="902">
                  <c:v>-1.0725322668605597E-2</c:v>
                </c:pt>
                <c:pt idx="903">
                  <c:v>7.6937167979482801E-3</c:v>
                </c:pt>
                <c:pt idx="904">
                  <c:v>5.498533724339616E-4</c:v>
                </c:pt>
                <c:pt idx="905">
                  <c:v>1.6522856618321757E-3</c:v>
                </c:pt>
                <c:pt idx="906">
                  <c:v>-2.6626161543960025E-2</c:v>
                </c:pt>
                <c:pt idx="907">
                  <c:v>-1.1307420494699683E-2</c:v>
                </c:pt>
                <c:pt idx="908">
                  <c:v>2.4063687352994467E-2</c:v>
                </c:pt>
                <c:pt idx="909">
                  <c:v>-1.2330235882773377E-2</c:v>
                </c:pt>
                <c:pt idx="910">
                  <c:v>2.5283986808354753E-2</c:v>
                </c:pt>
                <c:pt idx="911">
                  <c:v>-1.3555033435749153E-2</c:v>
                </c:pt>
                <c:pt idx="912">
                  <c:v>-8.0674076730011812E-3</c:v>
                </c:pt>
                <c:pt idx="913">
                  <c:v>-1.6572637517630384E-2</c:v>
                </c:pt>
                <c:pt idx="914">
                  <c:v>-6.4809949203014083E-3</c:v>
                </c:pt>
                <c:pt idx="915">
                  <c:v>3.1628887717449761E-3</c:v>
                </c:pt>
                <c:pt idx="916">
                  <c:v>1.1553501599715688E-2</c:v>
                </c:pt>
                <c:pt idx="917">
                  <c:v>9.3290276282740336E-3</c:v>
                </c:pt>
                <c:pt idx="918">
                  <c:v>1.4930808448652577E-2</c:v>
                </c:pt>
                <c:pt idx="919">
                  <c:v>7.8913562121489811E-3</c:v>
                </c:pt>
                <c:pt idx="920">
                  <c:v>8.3271650629164196E-3</c:v>
                </c:pt>
                <c:pt idx="921">
                  <c:v>3.1557453127901702E-3</c:v>
                </c:pt>
                <c:pt idx="922">
                  <c:v>2.0461309523809312E-3</c:v>
                </c:pt>
                <c:pt idx="923">
                  <c:v>0</c:v>
                </c:pt>
                <c:pt idx="924">
                  <c:v>-2.0419528494524108E-3</c:v>
                </c:pt>
                <c:pt idx="925">
                  <c:v>-9.7426470588235503E-3</c:v>
                </c:pt>
                <c:pt idx="926">
                  <c:v>2.0063753984624011E-2</c:v>
                </c:pt>
                <c:pt idx="927">
                  <c:v>1.4649923896499217E-2</c:v>
                </c:pt>
                <c:pt idx="928">
                  <c:v>2.2883295194509046E-3</c:v>
                </c:pt>
                <c:pt idx="929">
                  <c:v>4.2129452317118954E-3</c:v>
                </c:pt>
                <c:pt idx="930">
                  <c:v>6.5535851966074254E-3</c:v>
                </c:pt>
                <c:pt idx="931">
                  <c:v>-6.5109153581002222E-3</c:v>
                </c:pt>
                <c:pt idx="932">
                  <c:v>7.9135302065238555E-3</c:v>
                </c:pt>
                <c:pt idx="933">
                  <c:v>5.7937427578225176E-4</c:v>
                </c:pt>
                <c:pt idx="934">
                  <c:v>-9.3744021427205615E-3</c:v>
                </c:pt>
                <c:pt idx="935">
                  <c:v>5.1923076923077183E-3</c:v>
                </c:pt>
                <c:pt idx="936">
                  <c:v>2.8929604628735728E-3</c:v>
                </c:pt>
                <c:pt idx="937">
                  <c:v>2.9178245335450548E-2</c:v>
                </c:pt>
                <c:pt idx="938">
                  <c:v>5.9070842968257375E-2</c:v>
                </c:pt>
                <c:pt idx="939">
                  <c:v>1.8955349620892736E-3</c:v>
                </c:pt>
                <c:pt idx="940">
                  <c:v>-5.446166736489455E-3</c:v>
                </c:pt>
                <c:pt idx="941">
                  <c:v>-1.6683831101956592E-2</c:v>
                </c:pt>
                <c:pt idx="942">
                  <c:v>-3.2847464586327479E-3</c:v>
                </c:pt>
                <c:pt idx="943">
                  <c:v>9.5336787564765935E-3</c:v>
                </c:pt>
                <c:pt idx="944">
                  <c:v>7.3068893528183132E-3</c:v>
                </c:pt>
                <c:pt idx="945">
                  <c:v>8.3577099874632133E-4</c:v>
                </c:pt>
                <c:pt idx="946">
                  <c:v>-2.2930998540754421E-3</c:v>
                </c:pt>
                <c:pt idx="947">
                  <c:v>7.7731092436974514E-3</c:v>
                </c:pt>
                <c:pt idx="948">
                  <c:v>-5.4325114918511996E-3</c:v>
                </c:pt>
                <c:pt idx="949">
                  <c:v>2.723653886444577E-3</c:v>
                </c:pt>
                <c:pt idx="950">
                  <c:v>-2.0907380305248413E-3</c:v>
                </c:pt>
                <c:pt idx="951">
                  <c:v>1.4656616415409385E-3</c:v>
                </c:pt>
                <c:pt idx="952">
                  <c:v>1.6819246327443027E-2</c:v>
                </c:pt>
                <c:pt idx="953">
                  <c:v>-1.3027947047699162E-2</c:v>
                </c:pt>
                <c:pt idx="954">
                  <c:v>-1.2591815320041055E-3</c:v>
                </c:pt>
                <c:pt idx="955">
                  <c:v>1.404554160459659E-2</c:v>
                </c:pt>
                <c:pt idx="956">
                  <c:v>1.3807982740021485E-2</c:v>
                </c:pt>
                <c:pt idx="957">
                  <c:v>8.0469769464985852E-3</c:v>
                </c:pt>
                <c:pt idx="958">
                  <c:v>-1.7311391322932246E-2</c:v>
                </c:pt>
                <c:pt idx="959">
                  <c:v>1.1019878997406973E-2</c:v>
                </c:pt>
                <c:pt idx="960">
                  <c:v>-2.1561017680035155E-3</c:v>
                </c:pt>
                <c:pt idx="961">
                  <c:v>7.3848827106863801E-3</c:v>
                </c:pt>
                <c:pt idx="962">
                  <c:v>-1.5181088700932932E-3</c:v>
                </c:pt>
                <c:pt idx="963">
                  <c:v>1.2516469038208244E-2</c:v>
                </c:pt>
                <c:pt idx="964">
                  <c:v>-1.492537313432829E-2</c:v>
                </c:pt>
                <c:pt idx="965">
                  <c:v>-3.019193444037116E-3</c:v>
                </c:pt>
                <c:pt idx="966">
                  <c:v>-5.3625053625053765E-3</c:v>
                </c:pt>
                <c:pt idx="967">
                  <c:v>4.3084877208099392E-3</c:v>
                </c:pt>
                <c:pt idx="968">
                  <c:v>-1.6317016317016209E-2</c:v>
                </c:pt>
                <c:pt idx="969">
                  <c:v>-4.2363905952136349E-4</c:v>
                </c:pt>
                <c:pt idx="970">
                  <c:v>-1.0272536687631062E-2</c:v>
                </c:pt>
                <c:pt idx="971">
                  <c:v>6.293266205161796E-4</c:v>
                </c:pt>
                <c:pt idx="972">
                  <c:v>-8.3211982525482897E-3</c:v>
                </c:pt>
                <c:pt idx="973">
                  <c:v>5.4381928466846752E-3</c:v>
                </c:pt>
                <c:pt idx="974">
                  <c:v>-2.2954924874790672E-3</c:v>
                </c:pt>
                <c:pt idx="975">
                  <c:v>-9.3032871614636692E-3</c:v>
                </c:pt>
                <c:pt idx="976">
                  <c:v>-2.4747370591875484E-3</c:v>
                </c:pt>
                <c:pt idx="977">
                  <c:v>3.3105731429754481E-3</c:v>
                </c:pt>
                <c:pt idx="978">
                  <c:v>7.7147623019182543E-3</c:v>
                </c:pt>
                <c:pt idx="979">
                  <c:v>8.410428931875602E-3</c:v>
                </c:pt>
                <c:pt idx="980">
                  <c:v>1.7979452054794676E-2</c:v>
                </c:pt>
                <c:pt idx="981">
                  <c:v>-3.4129692832765013E-3</c:v>
                </c:pt>
                <c:pt idx="982">
                  <c:v>-1.9161166702149623E-3</c:v>
                </c:pt>
                <c:pt idx="983">
                  <c:v>-3.8176033934251841E-3</c:v>
                </c:pt>
                <c:pt idx="984">
                  <c:v>2.3384353741495723E-3</c:v>
                </c:pt>
                <c:pt idx="985">
                  <c:v>-1.0617965597792267E-3</c:v>
                </c:pt>
                <c:pt idx="986">
                  <c:v>6.4116264159008729E-3</c:v>
                </c:pt>
                <c:pt idx="987">
                  <c:v>-2.558089959496801E-3</c:v>
                </c:pt>
                <c:pt idx="988">
                  <c:v>7.0845856590810996E-3</c:v>
                </c:pt>
                <c:pt idx="989">
                  <c:v>-3.6363636363636598E-3</c:v>
                </c:pt>
                <c:pt idx="990">
                  <c:v>-6.1649659863944883E-3</c:v>
                </c:pt>
                <c:pt idx="991">
                  <c:v>9.2254880926838645E-3</c:v>
                </c:pt>
                <c:pt idx="992">
                  <c:v>-9.141156462585065E-3</c:v>
                </c:pt>
                <c:pt idx="993">
                  <c:v>-2.3329798515376865E-3</c:v>
                </c:pt>
                <c:pt idx="994">
                  <c:v>-7.5773521363923235E-3</c:v>
                </c:pt>
                <c:pt idx="995">
                  <c:v>1.4304013663535287E-2</c:v>
                </c:pt>
                <c:pt idx="996">
                  <c:v>7.0952483336919059E-3</c:v>
                </c:pt>
                <c:pt idx="997">
                  <c:v>4.7526463599050217E-3</c:v>
                </c:pt>
                <c:pt idx="998">
                  <c:v>7.1801566579634546E-3</c:v>
                </c:pt>
                <c:pt idx="999">
                  <c:v>3.9348710990502189E-2</c:v>
                </c:pt>
                <c:pt idx="1000">
                  <c:v>1.8124150430447461E-3</c:v>
                </c:pt>
                <c:pt idx="1001">
                  <c:v>4.3992431409650035E-2</c:v>
                </c:pt>
                <c:pt idx="1002">
                  <c:v>2.3480997337206544E-2</c:v>
                </c:pt>
                <c:pt idx="1003">
                  <c:v>1.7989157220305696E-2</c:v>
                </c:pt>
                <c:pt idx="1004">
                  <c:v>-1.1449451887941553E-2</c:v>
                </c:pt>
                <c:pt idx="1005">
                  <c:v>3.4221461745294057E-3</c:v>
                </c:pt>
                <c:pt idx="1006">
                  <c:v>4.17280314187507E-3</c:v>
                </c:pt>
                <c:pt idx="1007">
                  <c:v>-1.3798111837327487E-2</c:v>
                </c:pt>
                <c:pt idx="1008">
                  <c:v>-2.8964518464880129E-3</c:v>
                </c:pt>
                <c:pt idx="1009">
                  <c:v>-4.0972222222222299E-2</c:v>
                </c:pt>
                <c:pt idx="1010">
                  <c:v>-2.8340080971659853E-2</c:v>
                </c:pt>
                <c:pt idx="1011">
                  <c:v>-2.244165170556589E-3</c:v>
                </c:pt>
                <c:pt idx="1012">
                  <c:v>1.364877161055511E-2</c:v>
                </c:pt>
                <c:pt idx="1013">
                  <c:v>6.4102564102563875E-3</c:v>
                </c:pt>
                <c:pt idx="1014">
                  <c:v>3.4458993797381599E-3</c:v>
                </c:pt>
                <c:pt idx="1015">
                  <c:v>9.7425191370912323E-3</c:v>
                </c:pt>
                <c:pt idx="1016">
                  <c:v>-4.617871161394671E-3</c:v>
                </c:pt>
                <c:pt idx="1017">
                  <c:v>1.8819101387908876E-2</c:v>
                </c:pt>
                <c:pt idx="1018">
                  <c:v>9.7387173396674687E-3</c:v>
                </c:pt>
                <c:pt idx="1019">
                  <c:v>-2.5462962962963021E-2</c:v>
                </c:pt>
                <c:pt idx="1020">
                  <c:v>6.9930069930070893E-3</c:v>
                </c:pt>
                <c:pt idx="1021">
                  <c:v>1.9002375296911955E-2</c:v>
                </c:pt>
                <c:pt idx="1022">
                  <c:v>1.0319174466042691E-2</c:v>
                </c:pt>
                <c:pt idx="1023">
                  <c:v>-6.6746126340881951E-3</c:v>
                </c:pt>
                <c:pt idx="1024">
                  <c:v>7.9288803459875989E-3</c:v>
                </c:pt>
                <c:pt idx="1025">
                  <c:v>-1.0931558935361241E-2</c:v>
                </c:pt>
                <c:pt idx="1026">
                  <c:v>-2.5700393609631833E-2</c:v>
                </c:pt>
                <c:pt idx="1027">
                  <c:v>4.7284190106692492E-2</c:v>
                </c:pt>
                <c:pt idx="1028">
                  <c:v>-2.2980336413172209E-2</c:v>
                </c:pt>
                <c:pt idx="1029">
                  <c:v>-1.4245679588977045E-2</c:v>
                </c:pt>
                <c:pt idx="1030">
                  <c:v>-2.2597580461081956E-2</c:v>
                </c:pt>
                <c:pt idx="1031">
                  <c:v>-4.563084645219373E-4</c:v>
                </c:pt>
                <c:pt idx="1032">
                  <c:v>-1.5277465738036344E-2</c:v>
                </c:pt>
                <c:pt idx="1033">
                  <c:v>-3.3587102552619097E-3</c:v>
                </c:pt>
                <c:pt idx="1034">
                  <c:v>1.1208249271463799E-3</c:v>
                </c:pt>
                <c:pt idx="1035">
                  <c:v>-8.4463214047566515E-3</c:v>
                </c:pt>
                <c:pt idx="1036">
                  <c:v>-9.6852300242130651E-3</c:v>
                </c:pt>
                <c:pt idx="1037">
                  <c:v>9.7799511002445438E-3</c:v>
                </c:pt>
                <c:pt idx="1038">
                  <c:v>1.6952983725135651E-2</c:v>
                </c:pt>
                <c:pt idx="1039">
                  <c:v>1.0968921389396868E-2</c:v>
                </c:pt>
                <c:pt idx="1040">
                  <c:v>-9.282318315598892E-3</c:v>
                </c:pt>
                <c:pt idx="1041">
                  <c:v>-9.0477267586519527E-4</c:v>
                </c:pt>
                <c:pt idx="1042">
                  <c:v>3.6322360953462418E-3</c:v>
                </c:pt>
                <c:pt idx="1043">
                  <c:v>6.857142857142895E-3</c:v>
                </c:pt>
                <c:pt idx="1044">
                  <c:v>-1.7516281158769353E-2</c:v>
                </c:pt>
                <c:pt idx="1045">
                  <c:v>-1.5695067264573925E-3</c:v>
                </c:pt>
                <c:pt idx="1046">
                  <c:v>-3.129190880643784E-3</c:v>
                </c:pt>
                <c:pt idx="1047">
                  <c:v>1.9598906107566094E-2</c:v>
                </c:pt>
                <c:pt idx="1048">
                  <c:v>1.7625231910946226E-2</c:v>
                </c:pt>
                <c:pt idx="1049">
                  <c:v>8.1833060556464332E-3</c:v>
                </c:pt>
                <c:pt idx="1050">
                  <c:v>-4.4227188081936708E-3</c:v>
                </c:pt>
                <c:pt idx="1051">
                  <c:v>-3.47947112038971E-3</c:v>
                </c:pt>
                <c:pt idx="1052">
                  <c:v>-3.2369942196531776E-3</c:v>
                </c:pt>
                <c:pt idx="1053">
                  <c:v>3.3699808795411013E-2</c:v>
                </c:pt>
                <c:pt idx="1054">
                  <c:v>1.8500486854917453E-2</c:v>
                </c:pt>
                <c:pt idx="1055">
                  <c:v>9.8328416912487615E-3</c:v>
                </c:pt>
                <c:pt idx="1056">
                  <c:v>4.0409207161125282E-2</c:v>
                </c:pt>
                <c:pt idx="1057">
                  <c:v>7.9917504511473059E-3</c:v>
                </c:pt>
                <c:pt idx="1058">
                  <c:v>-2.7331995987963986E-2</c:v>
                </c:pt>
                <c:pt idx="1059">
                  <c:v>-2.158979391560345E-2</c:v>
                </c:pt>
                <c:pt idx="1060">
                  <c:v>4.1922290388548111E-2</c:v>
                </c:pt>
                <c:pt idx="1061">
                  <c:v>-2.4925224327018936E-2</c:v>
                </c:pt>
                <c:pt idx="1062">
                  <c:v>-4.3623361144219386E-2</c:v>
                </c:pt>
                <c:pt idx="1063">
                  <c:v>2.1500238891543066E-3</c:v>
                </c:pt>
                <c:pt idx="1064">
                  <c:v>2.8749401054144474E-3</c:v>
                </c:pt>
                <c:pt idx="1065">
                  <c:v>-5.9537985234580093E-3</c:v>
                </c:pt>
                <c:pt idx="1066">
                  <c:v>-2.0755597014925353E-2</c:v>
                </c:pt>
                <c:pt idx="1067">
                  <c:v>2.3375409069659181E-3</c:v>
                </c:pt>
                <c:pt idx="1068">
                  <c:v>-1.7680826636050417E-2</c:v>
                </c:pt>
                <c:pt idx="1069">
                  <c:v>-1.6041572525982817E-2</c:v>
                </c:pt>
                <c:pt idx="1070">
                  <c:v>2.2598870056489417E-4</c:v>
                </c:pt>
                <c:pt idx="1071">
                  <c:v>-8.2922456297623848E-3</c:v>
                </c:pt>
                <c:pt idx="1072">
                  <c:v>-4.2401249721045753E-3</c:v>
                </c:pt>
                <c:pt idx="1073">
                  <c:v>6.6994193836533711E-4</c:v>
                </c:pt>
                <c:pt idx="1074">
                  <c:v>1.6572077185017076E-2</c:v>
                </c:pt>
                <c:pt idx="1075">
                  <c:v>-4.9695053083353979E-3</c:v>
                </c:pt>
                <c:pt idx="1076">
                  <c:v>1.0269283432222887E-2</c:v>
                </c:pt>
                <c:pt idx="1077">
                  <c:v>5.7378930456737365E-3</c:v>
                </c:pt>
                <c:pt idx="1078">
                  <c:v>-2.2946305644788723E-4</c:v>
                </c:pt>
                <c:pt idx="1079">
                  <c:v>-2.2941041523294459E-4</c:v>
                </c:pt>
                <c:pt idx="1080">
                  <c:v>-3.6571428571428033E-3</c:v>
                </c:pt>
                <c:pt idx="1081">
                  <c:v>1.1326860841424091E-2</c:v>
                </c:pt>
                <c:pt idx="1082">
                  <c:v>4.644681839294007E-3</c:v>
                </c:pt>
                <c:pt idx="1083">
                  <c:v>0</c:v>
                </c:pt>
                <c:pt idx="1084">
                  <c:v>1.7726305837863388E-2</c:v>
                </c:pt>
                <c:pt idx="1085">
                  <c:v>-1.0755202244563944E-2</c:v>
                </c:pt>
                <c:pt idx="1086">
                  <c:v>2.8135990621338536E-3</c:v>
                </c:pt>
                <c:pt idx="1087">
                  <c:v>2.3452157598491397E-4</c:v>
                </c:pt>
                <c:pt idx="1088">
                  <c:v>-2.53714285714286E-2</c:v>
                </c:pt>
                <c:pt idx="1089">
                  <c:v>0</c:v>
                </c:pt>
                <c:pt idx="1090">
                  <c:v>3.6705666437255591E-3</c:v>
                </c:pt>
                <c:pt idx="1091">
                  <c:v>-9.1680036672014964E-4</c:v>
                </c:pt>
                <c:pt idx="1092">
                  <c:v>-1.0657596371882017E-2</c:v>
                </c:pt>
                <c:pt idx="1093">
                  <c:v>1.4026212922510828E-2</c:v>
                </c:pt>
                <c:pt idx="1094">
                  <c:v>1.0220673635307875E-2</c:v>
                </c:pt>
                <c:pt idx="1095">
                  <c:v>-4.6436034362673517E-4</c:v>
                </c:pt>
                <c:pt idx="1096">
                  <c:v>3.4948741845293174E-3</c:v>
                </c:pt>
                <c:pt idx="1097">
                  <c:v>-5.7910586055130997E-3</c:v>
                </c:pt>
                <c:pt idx="1098">
                  <c:v>1.9603212092583755E-2</c:v>
                </c:pt>
                <c:pt idx="1099">
                  <c:v>2.3623907394298982E-4</c:v>
                </c:pt>
                <c:pt idx="1100">
                  <c:v>1.8934911242602936E-3</c:v>
                </c:pt>
                <c:pt idx="1101">
                  <c:v>-3.7726951190756308E-3</c:v>
                </c:pt>
                <c:pt idx="1102">
                  <c:v>-9.4228504122506607E-4</c:v>
                </c:pt>
                <c:pt idx="1103">
                  <c:v>-7.2497661365761301E-3</c:v>
                </c:pt>
                <c:pt idx="1104">
                  <c:v>-4.6554934823092031E-3</c:v>
                </c:pt>
                <c:pt idx="1105">
                  <c:v>1.3924946896389123E-2</c:v>
                </c:pt>
                <c:pt idx="1106">
                  <c:v>-2.0799630228796051E-2</c:v>
                </c:pt>
                <c:pt idx="1107">
                  <c:v>-5.7444852941176405E-3</c:v>
                </c:pt>
                <c:pt idx="1108">
                  <c:v>-5.0297210791038216E-3</c:v>
                </c:pt>
                <c:pt idx="1109">
                  <c:v>0</c:v>
                </c:pt>
                <c:pt idx="1110">
                  <c:v>1.0628465804066511E-2</c:v>
                </c:pt>
                <c:pt idx="1111">
                  <c:v>1.8592610025888412E-2</c:v>
                </c:pt>
                <c:pt idx="1112">
                  <c:v>-1.1753643629524024E-3</c:v>
                </c:pt>
                <c:pt idx="1113">
                  <c:v>-5.6100981767180924E-3</c:v>
                </c:pt>
                <c:pt idx="1114">
                  <c:v>1.2065294535131166E-2</c:v>
                </c:pt>
                <c:pt idx="1115">
                  <c:v>-1.307494746672877E-2</c:v>
                </c:pt>
                <c:pt idx="1116">
                  <c:v>-1.5175902506323391E-2</c:v>
                </c:pt>
                <c:pt idx="1117">
                  <c:v>-4.1218227616212078E-3</c:v>
                </c:pt>
                <c:pt idx="1118">
                  <c:v>-6.8228337502842518E-3</c:v>
                </c:pt>
                <c:pt idx="1119">
                  <c:v>-2.0426690876078624E-3</c:v>
                </c:pt>
                <c:pt idx="1120">
                  <c:v>8.2379862700228124E-3</c:v>
                </c:pt>
                <c:pt idx="1121">
                  <c:v>3.2139577594123558E-3</c:v>
                </c:pt>
                <c:pt idx="1122">
                  <c:v>1.0204081632653184E-2</c:v>
                </c:pt>
                <c:pt idx="1123">
                  <c:v>2.5933856768974417E-2</c:v>
                </c:pt>
                <c:pt idx="1124">
                  <c:v>7.4304889741132474E-3</c:v>
                </c:pt>
                <c:pt idx="1125">
                  <c:v>-1.2778040700425874E-2</c:v>
                </c:pt>
                <c:pt idx="1126">
                  <c:v>1.3915547024951902E-2</c:v>
                </c:pt>
                <c:pt idx="1127">
                  <c:v>2.2571148184494572E-2</c:v>
                </c:pt>
                <c:pt idx="1128">
                  <c:v>3.5832274459974389E-2</c:v>
                </c:pt>
                <c:pt idx="1129">
                  <c:v>6.3938618925831747E-3</c:v>
                </c:pt>
                <c:pt idx="1130">
                  <c:v>-4.5824847250509615E-3</c:v>
                </c:pt>
                <c:pt idx="1131">
                  <c:v>6.147540983606703E-3</c:v>
                </c:pt>
                <c:pt idx="1132">
                  <c:v>-5.1203277009737036E-4</c:v>
                </c:pt>
                <c:pt idx="1133">
                  <c:v>1.7953321364452268E-3</c:v>
                </c:pt>
                <c:pt idx="1134">
                  <c:v>-2.3785678517776576E-2</c:v>
                </c:pt>
                <c:pt idx="1135">
                  <c:v>-4.4865403788634239E-3</c:v>
                </c:pt>
                <c:pt idx="1136">
                  <c:v>3.7528146109582217E-3</c:v>
                </c:pt>
                <c:pt idx="1137">
                  <c:v>1.8343949044586028E-2</c:v>
                </c:pt>
                <c:pt idx="1138">
                  <c:v>6.4102564102563875E-3</c:v>
                </c:pt>
                <c:pt idx="1139">
                  <c:v>-3.5769034236076136E-3</c:v>
                </c:pt>
                <c:pt idx="1140">
                  <c:v>4.3623299974340224E-3</c:v>
                </c:pt>
                <c:pt idx="1141">
                  <c:v>2.5667351129365912E-4</c:v>
                </c:pt>
                <c:pt idx="1142">
                  <c:v>3.3479268606748658E-3</c:v>
                </c:pt>
                <c:pt idx="1143">
                  <c:v>-5.1480051480057298E-4</c:v>
                </c:pt>
                <c:pt idx="1144">
                  <c:v>1.2509773260359847E-2</c:v>
                </c:pt>
                <c:pt idx="1145">
                  <c:v>-6.4733298808907769E-3</c:v>
                </c:pt>
                <c:pt idx="1146">
                  <c:v>4.4213263979191453E-3</c:v>
                </c:pt>
                <c:pt idx="1147">
                  <c:v>-2.0763041785620828E-3</c:v>
                </c:pt>
                <c:pt idx="1148">
                  <c:v>5.4801670146138459E-3</c:v>
                </c:pt>
                <c:pt idx="1149">
                  <c:v>-6.2240663900415827E-3</c:v>
                </c:pt>
                <c:pt idx="1150">
                  <c:v>7.3145245559038674E-3</c:v>
                </c:pt>
                <c:pt idx="1151">
                  <c:v>1.7003188097768351E-2</c:v>
                </c:pt>
                <c:pt idx="1152">
                  <c:v>-8.6910718988675306E-3</c:v>
                </c:pt>
                <c:pt idx="1153">
                  <c:v>-9.9087353324641692E-3</c:v>
                </c:pt>
                <c:pt idx="1154">
                  <c:v>-1.7170681701691448E-2</c:v>
                </c:pt>
                <c:pt idx="1155">
                  <c:v>-1.6633064516128893E-2</c:v>
                </c:pt>
                <c:pt idx="1156">
                  <c:v>2.5207965717166658E-4</c:v>
                </c:pt>
                <c:pt idx="1157">
                  <c:v>-7.5056292219163323E-3</c:v>
                </c:pt>
                <c:pt idx="1158">
                  <c:v>1.0108668182966962E-2</c:v>
                </c:pt>
                <c:pt idx="1159">
                  <c:v>-8.5191681282885678E-3</c:v>
                </c:pt>
                <c:pt idx="1160">
                  <c:v>-7.7076081551467057E-3</c:v>
                </c:pt>
                <c:pt idx="1161">
                  <c:v>-3.9623576027737473E-3</c:v>
                </c:pt>
                <c:pt idx="1162">
                  <c:v>1.8154311649016819E-2</c:v>
                </c:pt>
                <c:pt idx="1163">
                  <c:v>-1.6125031009675106E-2</c:v>
                </c:pt>
                <c:pt idx="1164">
                  <c:v>-4.1996047430828964E-3</c:v>
                </c:pt>
                <c:pt idx="1165">
                  <c:v>-9.8716683119459692E-4</c:v>
                </c:pt>
                <c:pt idx="1166">
                  <c:v>-1.1948305291392236E-2</c:v>
                </c:pt>
                <c:pt idx="1167">
                  <c:v>2.4390243902439046E-4</c:v>
                </c:pt>
                <c:pt idx="1168">
                  <c:v>3.9177277179234249E-3</c:v>
                </c:pt>
                <c:pt idx="1169">
                  <c:v>2.7007120058926137E-3</c:v>
                </c:pt>
                <c:pt idx="1170">
                  <c:v>8.9175130047065565E-3</c:v>
                </c:pt>
                <c:pt idx="1171">
                  <c:v>1.0007505629221924E-2</c:v>
                </c:pt>
                <c:pt idx="1172">
                  <c:v>3.7669512807634309E-3</c:v>
                </c:pt>
                <c:pt idx="1173">
                  <c:v>-4.2510627656914268E-3</c:v>
                </c:pt>
                <c:pt idx="1174">
                  <c:v>1.0012515644555187E-3</c:v>
                </c:pt>
                <c:pt idx="1175">
                  <c:v>1.6539440203562572E-2</c:v>
                </c:pt>
                <c:pt idx="1176">
                  <c:v>-2.0314880650077471E-3</c:v>
                </c:pt>
                <c:pt idx="1177">
                  <c:v>-2.2802128198631255E-3</c:v>
                </c:pt>
                <c:pt idx="1178">
                  <c:v>-1.9135188866799324E-2</c:v>
                </c:pt>
                <c:pt idx="1179">
                  <c:v>-3.9603960396038529E-3</c:v>
                </c:pt>
                <c:pt idx="1180">
                  <c:v>1.1011011011010874E-2</c:v>
                </c:pt>
                <c:pt idx="1181">
                  <c:v>1.4986029972060111E-2</c:v>
                </c:pt>
                <c:pt idx="1182">
                  <c:v>1.3906773113572024E-2</c:v>
                </c:pt>
                <c:pt idx="1183">
                  <c:v>-3.5519125683060149E-2</c:v>
                </c:pt>
                <c:pt idx="1184">
                  <c:v>5.9970014992503096E-3</c:v>
                </c:pt>
                <c:pt idx="1185">
                  <c:v>8.0604534005037642E-3</c:v>
                </c:pt>
                <c:pt idx="1186">
                  <c:v>1.5345268542199531E-2</c:v>
                </c:pt>
                <c:pt idx="1187">
                  <c:v>5.3998457186936744E-3</c:v>
                </c:pt>
                <c:pt idx="1188">
                  <c:v>-9.9287169042769907E-3</c:v>
                </c:pt>
                <c:pt idx="1189">
                  <c:v>4.7187416688883044E-2</c:v>
                </c:pt>
                <c:pt idx="1190">
                  <c:v>8.8757396449703485E-3</c:v>
                </c:pt>
                <c:pt idx="1191">
                  <c:v>-5.3504547886571441E-3</c:v>
                </c:pt>
                <c:pt idx="1192">
                  <c:v>-6.907545164718365E-3</c:v>
                </c:pt>
                <c:pt idx="1193">
                  <c:v>-1.9025280166796943E-2</c:v>
                </c:pt>
                <c:pt idx="1194">
                  <c:v>4.7132757266299397E-3</c:v>
                </c:pt>
                <c:pt idx="1195">
                  <c:v>4.471330878484947E-3</c:v>
                </c:pt>
                <c:pt idx="1196">
                  <c:v>1.1977641735427369E-2</c:v>
                </c:pt>
                <c:pt idx="1197">
                  <c:v>-2.6609898882379301E-4</c:v>
                </c:pt>
                <c:pt idx="1198">
                  <c:v>-4.7669491525423879E-3</c:v>
                </c:pt>
                <c:pt idx="1199">
                  <c:v>6.3965884861405531E-3</c:v>
                </c:pt>
                <c:pt idx="1200">
                  <c:v>3.4768654720513936E-3</c:v>
                </c:pt>
                <c:pt idx="1201">
                  <c:v>3.4889962426194465E-3</c:v>
                </c:pt>
                <c:pt idx="1202">
                  <c:v>8.6626962642122329E-3</c:v>
                </c:pt>
                <c:pt idx="1203">
                  <c:v>1.3721185510428002E-2</c:v>
                </c:pt>
                <c:pt idx="1204">
                  <c:v>1.6492578339746267E-3</c:v>
                </c:pt>
                <c:pt idx="1205">
                  <c:v>3.309431880860636E-3</c:v>
                </c:pt>
                <c:pt idx="1206">
                  <c:v>6.1043285238624456E-3</c:v>
                </c:pt>
                <c:pt idx="1207">
                  <c:v>1.0089686098654793E-2</c:v>
                </c:pt>
                <c:pt idx="1208">
                  <c:v>-9.4392004441977706E-3</c:v>
                </c:pt>
                <c:pt idx="1209">
                  <c:v>3.9018952062430667E-3</c:v>
                </c:pt>
                <c:pt idx="1210">
                  <c:v>-3.6101083032489267E-3</c:v>
                </c:pt>
                <c:pt idx="1211">
                  <c:v>2.5055679287304677E-3</c:v>
                </c:pt>
                <c:pt idx="1212">
                  <c:v>-1.4810751508502418E-2</c:v>
                </c:pt>
                <c:pt idx="1213">
                  <c:v>1.4750904536598997E-2</c:v>
                </c:pt>
                <c:pt idx="1214">
                  <c:v>-1.4536478332419112E-2</c:v>
                </c:pt>
                <c:pt idx="1215">
                  <c:v>-3.0079299972655127E-3</c:v>
                </c:pt>
                <c:pt idx="1216">
                  <c:v>4.3943971436419815E-3</c:v>
                </c:pt>
                <c:pt idx="1217">
                  <c:v>-1.6451878256101837E-3</c:v>
                </c:pt>
                <c:pt idx="1218">
                  <c:v>6.0689655172414536E-3</c:v>
                </c:pt>
                <c:pt idx="1219">
                  <c:v>-9.0213231273920114E-3</c:v>
                </c:pt>
                <c:pt idx="1220">
                  <c:v>2.8394714647174579E-2</c:v>
                </c:pt>
                <c:pt idx="1221">
                  <c:v>-1.3861935126143643E-2</c:v>
                </c:pt>
                <c:pt idx="1222">
                  <c:v>-6.0622761091209121E-3</c:v>
                </c:pt>
                <c:pt idx="1223">
                  <c:v>-9.8226466575715987E-3</c:v>
                </c:pt>
                <c:pt idx="1224">
                  <c:v>8.2530949105914519E-3</c:v>
                </c:pt>
                <c:pt idx="1225">
                  <c:v>-2.3899033297529515E-2</c:v>
                </c:pt>
                <c:pt idx="1226">
                  <c:v>-3.8967741935483802E-2</c:v>
                </c:pt>
                <c:pt idx="1227">
                  <c:v>-2.3171987641606995E-3</c:v>
                </c:pt>
                <c:pt idx="1228">
                  <c:v>5.9570059570059897E-3</c:v>
                </c:pt>
                <c:pt idx="1229">
                  <c:v>3.3783783783785104E-3</c:v>
                </c:pt>
                <c:pt idx="1230">
                  <c:v>-9.7786927431806614E-3</c:v>
                </c:pt>
                <c:pt idx="1231">
                  <c:v>1.4886393314181179E-2</c:v>
                </c:pt>
                <c:pt idx="1232">
                  <c:v>2.6184865147944603E-3</c:v>
                </c:pt>
                <c:pt idx="1233">
                  <c:v>-5.9864653826132708E-3</c:v>
                </c:pt>
                <c:pt idx="1234">
                  <c:v>5.2083333333330373E-4</c:v>
                </c:pt>
                <c:pt idx="1235">
                  <c:v>-1.8195996880686627E-3</c:v>
                </c:pt>
                <c:pt idx="1236">
                  <c:v>3.6524915210018882E-3</c:v>
                </c:pt>
                <c:pt idx="1237">
                  <c:v>-3.1209362808843899E-3</c:v>
                </c:pt>
                <c:pt idx="1238">
                  <c:v>-1.2987012987012436E-3</c:v>
                </c:pt>
                <c:pt idx="1239">
                  <c:v>6.2728698379508341E-3</c:v>
                </c:pt>
                <c:pt idx="1240">
                  <c:v>3.4093889325987892E-3</c:v>
                </c:pt>
                <c:pt idx="1241">
                  <c:v>1.5175718849840258E-2</c:v>
                </c:pt>
                <c:pt idx="1242">
                  <c:v>-3.3702083869307842E-2</c:v>
                </c:pt>
                <c:pt idx="1243">
                  <c:v>-1.284686536485169E-3</c:v>
                </c:pt>
                <c:pt idx="1244">
                  <c:v>-2.8183448629259811E-3</c:v>
                </c:pt>
                <c:pt idx="1245">
                  <c:v>1.4029618082618933E-2</c:v>
                </c:pt>
                <c:pt idx="1246">
                  <c:v>4.6985121378229078E-3</c:v>
                </c:pt>
                <c:pt idx="1247">
                  <c:v>-4.9350649350649034E-3</c:v>
                </c:pt>
                <c:pt idx="1248">
                  <c:v>6.5359477124182774E-3</c:v>
                </c:pt>
                <c:pt idx="1249">
                  <c:v>2.7121374865735737E-2</c:v>
                </c:pt>
                <c:pt idx="1250">
                  <c:v>1.665301665301655E-2</c:v>
                </c:pt>
                <c:pt idx="1251">
                  <c:v>-3.5364526659411588E-3</c:v>
                </c:pt>
                <c:pt idx="1252">
                  <c:v>-3.2537960954448497E-3</c:v>
                </c:pt>
                <c:pt idx="1253">
                  <c:v>6.2755798090041726E-3</c:v>
                </c:pt>
                <c:pt idx="1254">
                  <c:v>2.0607073238652296E-2</c:v>
                </c:pt>
                <c:pt idx="1255">
                  <c:v>-1.1126564673158423E-3</c:v>
                </c:pt>
                <c:pt idx="1256">
                  <c:v>8.3518930957682258E-4</c:v>
                </c:pt>
                <c:pt idx="1257">
                  <c:v>-5.8123443122058971E-3</c:v>
                </c:pt>
                <c:pt idx="1258">
                  <c:v>6.1264271790588687E-3</c:v>
                </c:pt>
                <c:pt idx="1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F-41AF-9018-8898211B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100"/>
        <c:crosses val="autoZero"/>
        <c:auto val="0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drawdown vs benchmark S&amp;P500 drawdown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Historicos!$E$1</c:f>
              <c:strCache>
                <c:ptCount val="1"/>
                <c:pt idx="0">
                  <c:v>Caída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Historicos!$A$2:$A$1261</c:f>
              <c:numCache>
                <c:formatCode>m/d/yyyy</c:formatCode>
                <c:ptCount val="1260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44655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44648</c:v>
                </c:pt>
                <c:pt idx="19">
                  <c:v>44645</c:v>
                </c:pt>
                <c:pt idx="20">
                  <c:v>44644</c:v>
                </c:pt>
                <c:pt idx="21">
                  <c:v>44643</c:v>
                </c:pt>
                <c:pt idx="22">
                  <c:v>44642</c:v>
                </c:pt>
                <c:pt idx="23">
                  <c:v>44641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44627</c:v>
                </c:pt>
                <c:pt idx="34">
                  <c:v>44624</c:v>
                </c:pt>
                <c:pt idx="35">
                  <c:v>44623</c:v>
                </c:pt>
                <c:pt idx="36">
                  <c:v>44622</c:v>
                </c:pt>
                <c:pt idx="37">
                  <c:v>44621</c:v>
                </c:pt>
                <c:pt idx="38">
                  <c:v>44620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  <c:pt idx="42">
                  <c:v>44614</c:v>
                </c:pt>
                <c:pt idx="43">
                  <c:v>44610</c:v>
                </c:pt>
                <c:pt idx="44">
                  <c:v>44609</c:v>
                </c:pt>
                <c:pt idx="45">
                  <c:v>44608</c:v>
                </c:pt>
                <c:pt idx="46">
                  <c:v>44607</c:v>
                </c:pt>
                <c:pt idx="47">
                  <c:v>44606</c:v>
                </c:pt>
                <c:pt idx="48">
                  <c:v>44603</c:v>
                </c:pt>
                <c:pt idx="49">
                  <c:v>44602</c:v>
                </c:pt>
                <c:pt idx="50">
                  <c:v>44601</c:v>
                </c:pt>
                <c:pt idx="51">
                  <c:v>44600</c:v>
                </c:pt>
                <c:pt idx="52">
                  <c:v>44599</c:v>
                </c:pt>
                <c:pt idx="53">
                  <c:v>44596</c:v>
                </c:pt>
                <c:pt idx="54">
                  <c:v>44595</c:v>
                </c:pt>
                <c:pt idx="55">
                  <c:v>44594</c:v>
                </c:pt>
                <c:pt idx="56">
                  <c:v>44593</c:v>
                </c:pt>
                <c:pt idx="57">
                  <c:v>44592</c:v>
                </c:pt>
                <c:pt idx="58">
                  <c:v>44589</c:v>
                </c:pt>
                <c:pt idx="59">
                  <c:v>44588</c:v>
                </c:pt>
                <c:pt idx="60">
                  <c:v>44587</c:v>
                </c:pt>
                <c:pt idx="61">
                  <c:v>44586</c:v>
                </c:pt>
                <c:pt idx="62">
                  <c:v>44585</c:v>
                </c:pt>
                <c:pt idx="63">
                  <c:v>44582</c:v>
                </c:pt>
                <c:pt idx="64">
                  <c:v>44581</c:v>
                </c:pt>
                <c:pt idx="65">
                  <c:v>44580</c:v>
                </c:pt>
                <c:pt idx="66">
                  <c:v>44579</c:v>
                </c:pt>
                <c:pt idx="67">
                  <c:v>44575</c:v>
                </c:pt>
                <c:pt idx="68">
                  <c:v>44574</c:v>
                </c:pt>
                <c:pt idx="69">
                  <c:v>44573</c:v>
                </c:pt>
                <c:pt idx="70">
                  <c:v>44572</c:v>
                </c:pt>
                <c:pt idx="71">
                  <c:v>44571</c:v>
                </c:pt>
                <c:pt idx="72">
                  <c:v>44568</c:v>
                </c:pt>
                <c:pt idx="73">
                  <c:v>44567</c:v>
                </c:pt>
                <c:pt idx="74">
                  <c:v>44566</c:v>
                </c:pt>
                <c:pt idx="75">
                  <c:v>44565</c:v>
                </c:pt>
                <c:pt idx="76">
                  <c:v>44564</c:v>
                </c:pt>
                <c:pt idx="77">
                  <c:v>44561</c:v>
                </c:pt>
                <c:pt idx="78">
                  <c:v>44560</c:v>
                </c:pt>
                <c:pt idx="79">
                  <c:v>44559</c:v>
                </c:pt>
                <c:pt idx="80">
                  <c:v>44558</c:v>
                </c:pt>
                <c:pt idx="81">
                  <c:v>44557</c:v>
                </c:pt>
                <c:pt idx="82">
                  <c:v>44553</c:v>
                </c:pt>
                <c:pt idx="83">
                  <c:v>44552</c:v>
                </c:pt>
                <c:pt idx="84">
                  <c:v>44551</c:v>
                </c:pt>
                <c:pt idx="85">
                  <c:v>44550</c:v>
                </c:pt>
                <c:pt idx="86">
                  <c:v>44547</c:v>
                </c:pt>
                <c:pt idx="87">
                  <c:v>44546</c:v>
                </c:pt>
                <c:pt idx="88">
                  <c:v>44545</c:v>
                </c:pt>
                <c:pt idx="89">
                  <c:v>44544</c:v>
                </c:pt>
                <c:pt idx="90">
                  <c:v>44543</c:v>
                </c:pt>
                <c:pt idx="91">
                  <c:v>44540</c:v>
                </c:pt>
                <c:pt idx="92">
                  <c:v>44539</c:v>
                </c:pt>
                <c:pt idx="93">
                  <c:v>44538</c:v>
                </c:pt>
                <c:pt idx="94">
                  <c:v>44537</c:v>
                </c:pt>
                <c:pt idx="95">
                  <c:v>44536</c:v>
                </c:pt>
                <c:pt idx="96">
                  <c:v>44533</c:v>
                </c:pt>
                <c:pt idx="97">
                  <c:v>44532</c:v>
                </c:pt>
                <c:pt idx="98">
                  <c:v>44531</c:v>
                </c:pt>
                <c:pt idx="99">
                  <c:v>44530</c:v>
                </c:pt>
                <c:pt idx="100">
                  <c:v>44529</c:v>
                </c:pt>
                <c:pt idx="101">
                  <c:v>44526</c:v>
                </c:pt>
                <c:pt idx="102">
                  <c:v>44524</c:v>
                </c:pt>
                <c:pt idx="103">
                  <c:v>44523</c:v>
                </c:pt>
                <c:pt idx="104">
                  <c:v>44522</c:v>
                </c:pt>
                <c:pt idx="105">
                  <c:v>44519</c:v>
                </c:pt>
                <c:pt idx="106">
                  <c:v>44518</c:v>
                </c:pt>
                <c:pt idx="107">
                  <c:v>44517</c:v>
                </c:pt>
                <c:pt idx="108">
                  <c:v>44516</c:v>
                </c:pt>
                <c:pt idx="109">
                  <c:v>44515</c:v>
                </c:pt>
                <c:pt idx="110">
                  <c:v>44512</c:v>
                </c:pt>
                <c:pt idx="111">
                  <c:v>44511</c:v>
                </c:pt>
                <c:pt idx="112">
                  <c:v>44510</c:v>
                </c:pt>
                <c:pt idx="113">
                  <c:v>44509</c:v>
                </c:pt>
                <c:pt idx="114">
                  <c:v>44508</c:v>
                </c:pt>
                <c:pt idx="115">
                  <c:v>44505</c:v>
                </c:pt>
                <c:pt idx="116">
                  <c:v>44504</c:v>
                </c:pt>
                <c:pt idx="117">
                  <c:v>44503</c:v>
                </c:pt>
                <c:pt idx="118">
                  <c:v>44502</c:v>
                </c:pt>
                <c:pt idx="119">
                  <c:v>44501</c:v>
                </c:pt>
                <c:pt idx="120">
                  <c:v>44498</c:v>
                </c:pt>
                <c:pt idx="121">
                  <c:v>44497</c:v>
                </c:pt>
                <c:pt idx="122">
                  <c:v>44496</c:v>
                </c:pt>
                <c:pt idx="123">
                  <c:v>44495</c:v>
                </c:pt>
                <c:pt idx="124">
                  <c:v>44494</c:v>
                </c:pt>
                <c:pt idx="125">
                  <c:v>44491</c:v>
                </c:pt>
                <c:pt idx="126">
                  <c:v>44490</c:v>
                </c:pt>
                <c:pt idx="127">
                  <c:v>44489</c:v>
                </c:pt>
                <c:pt idx="128">
                  <c:v>44488</c:v>
                </c:pt>
                <c:pt idx="129">
                  <c:v>44487</c:v>
                </c:pt>
                <c:pt idx="130">
                  <c:v>44484</c:v>
                </c:pt>
                <c:pt idx="131">
                  <c:v>44483</c:v>
                </c:pt>
                <c:pt idx="132">
                  <c:v>44482</c:v>
                </c:pt>
                <c:pt idx="133">
                  <c:v>44481</c:v>
                </c:pt>
                <c:pt idx="134">
                  <c:v>44480</c:v>
                </c:pt>
                <c:pt idx="135">
                  <c:v>44477</c:v>
                </c:pt>
                <c:pt idx="136">
                  <c:v>44476</c:v>
                </c:pt>
                <c:pt idx="137">
                  <c:v>44475</c:v>
                </c:pt>
                <c:pt idx="138">
                  <c:v>44474</c:v>
                </c:pt>
                <c:pt idx="139">
                  <c:v>44473</c:v>
                </c:pt>
                <c:pt idx="140">
                  <c:v>44470</c:v>
                </c:pt>
                <c:pt idx="141">
                  <c:v>44469</c:v>
                </c:pt>
                <c:pt idx="142">
                  <c:v>44468</c:v>
                </c:pt>
                <c:pt idx="143">
                  <c:v>44467</c:v>
                </c:pt>
                <c:pt idx="144">
                  <c:v>44466</c:v>
                </c:pt>
                <c:pt idx="145">
                  <c:v>44463</c:v>
                </c:pt>
                <c:pt idx="146">
                  <c:v>44462</c:v>
                </c:pt>
                <c:pt idx="147">
                  <c:v>44461</c:v>
                </c:pt>
                <c:pt idx="148">
                  <c:v>44460</c:v>
                </c:pt>
                <c:pt idx="149">
                  <c:v>44459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44449</c:v>
                </c:pt>
                <c:pt idx="156">
                  <c:v>44448</c:v>
                </c:pt>
                <c:pt idx="157">
                  <c:v>44447</c:v>
                </c:pt>
                <c:pt idx="158">
                  <c:v>44446</c:v>
                </c:pt>
                <c:pt idx="159">
                  <c:v>44442</c:v>
                </c:pt>
                <c:pt idx="160">
                  <c:v>44441</c:v>
                </c:pt>
                <c:pt idx="161">
                  <c:v>44440</c:v>
                </c:pt>
                <c:pt idx="162">
                  <c:v>44439</c:v>
                </c:pt>
                <c:pt idx="163">
                  <c:v>44438</c:v>
                </c:pt>
                <c:pt idx="164">
                  <c:v>44435</c:v>
                </c:pt>
                <c:pt idx="165">
                  <c:v>44434</c:v>
                </c:pt>
                <c:pt idx="166">
                  <c:v>44433</c:v>
                </c:pt>
                <c:pt idx="167">
                  <c:v>44432</c:v>
                </c:pt>
                <c:pt idx="168">
                  <c:v>44431</c:v>
                </c:pt>
                <c:pt idx="169">
                  <c:v>44428</c:v>
                </c:pt>
                <c:pt idx="170">
                  <c:v>44427</c:v>
                </c:pt>
                <c:pt idx="171">
                  <c:v>44426</c:v>
                </c:pt>
                <c:pt idx="172">
                  <c:v>44425</c:v>
                </c:pt>
                <c:pt idx="173">
                  <c:v>44424</c:v>
                </c:pt>
                <c:pt idx="174">
                  <c:v>44421</c:v>
                </c:pt>
                <c:pt idx="175">
                  <c:v>44420</c:v>
                </c:pt>
                <c:pt idx="176">
                  <c:v>44419</c:v>
                </c:pt>
                <c:pt idx="177">
                  <c:v>44418</c:v>
                </c:pt>
                <c:pt idx="178">
                  <c:v>44417</c:v>
                </c:pt>
                <c:pt idx="179">
                  <c:v>44414</c:v>
                </c:pt>
                <c:pt idx="180">
                  <c:v>44413</c:v>
                </c:pt>
                <c:pt idx="181">
                  <c:v>44412</c:v>
                </c:pt>
                <c:pt idx="182">
                  <c:v>44411</c:v>
                </c:pt>
                <c:pt idx="183">
                  <c:v>44410</c:v>
                </c:pt>
                <c:pt idx="184">
                  <c:v>44407</c:v>
                </c:pt>
                <c:pt idx="185">
                  <c:v>44406</c:v>
                </c:pt>
                <c:pt idx="186">
                  <c:v>44405</c:v>
                </c:pt>
                <c:pt idx="187">
                  <c:v>44404</c:v>
                </c:pt>
                <c:pt idx="188">
                  <c:v>44403</c:v>
                </c:pt>
                <c:pt idx="189">
                  <c:v>44400</c:v>
                </c:pt>
                <c:pt idx="190">
                  <c:v>44399</c:v>
                </c:pt>
                <c:pt idx="191">
                  <c:v>44398</c:v>
                </c:pt>
                <c:pt idx="192">
                  <c:v>44397</c:v>
                </c:pt>
                <c:pt idx="193">
                  <c:v>44396</c:v>
                </c:pt>
                <c:pt idx="194">
                  <c:v>44393</c:v>
                </c:pt>
                <c:pt idx="195">
                  <c:v>44392</c:v>
                </c:pt>
                <c:pt idx="196">
                  <c:v>44391</c:v>
                </c:pt>
                <c:pt idx="197">
                  <c:v>44390</c:v>
                </c:pt>
                <c:pt idx="198">
                  <c:v>44389</c:v>
                </c:pt>
                <c:pt idx="199">
                  <c:v>44386</c:v>
                </c:pt>
                <c:pt idx="200">
                  <c:v>44385</c:v>
                </c:pt>
                <c:pt idx="201">
                  <c:v>44384</c:v>
                </c:pt>
                <c:pt idx="202">
                  <c:v>44383</c:v>
                </c:pt>
                <c:pt idx="203">
                  <c:v>44379</c:v>
                </c:pt>
                <c:pt idx="204">
                  <c:v>44378</c:v>
                </c:pt>
                <c:pt idx="205">
                  <c:v>44377</c:v>
                </c:pt>
                <c:pt idx="206">
                  <c:v>44376</c:v>
                </c:pt>
                <c:pt idx="207">
                  <c:v>44375</c:v>
                </c:pt>
                <c:pt idx="208">
                  <c:v>44372</c:v>
                </c:pt>
                <c:pt idx="209">
                  <c:v>44371</c:v>
                </c:pt>
                <c:pt idx="210">
                  <c:v>44370</c:v>
                </c:pt>
                <c:pt idx="211">
                  <c:v>44369</c:v>
                </c:pt>
                <c:pt idx="212">
                  <c:v>44368</c:v>
                </c:pt>
                <c:pt idx="213">
                  <c:v>44365</c:v>
                </c:pt>
                <c:pt idx="214">
                  <c:v>44364</c:v>
                </c:pt>
                <c:pt idx="215">
                  <c:v>44363</c:v>
                </c:pt>
                <c:pt idx="216">
                  <c:v>44362</c:v>
                </c:pt>
                <c:pt idx="217">
                  <c:v>44361</c:v>
                </c:pt>
                <c:pt idx="218">
                  <c:v>44358</c:v>
                </c:pt>
                <c:pt idx="219">
                  <c:v>44357</c:v>
                </c:pt>
                <c:pt idx="220">
                  <c:v>44356</c:v>
                </c:pt>
                <c:pt idx="221">
                  <c:v>44355</c:v>
                </c:pt>
                <c:pt idx="222">
                  <c:v>44354</c:v>
                </c:pt>
                <c:pt idx="223">
                  <c:v>44351</c:v>
                </c:pt>
                <c:pt idx="224">
                  <c:v>44350</c:v>
                </c:pt>
                <c:pt idx="225">
                  <c:v>44349</c:v>
                </c:pt>
                <c:pt idx="226">
                  <c:v>44348</c:v>
                </c:pt>
                <c:pt idx="227">
                  <c:v>44344</c:v>
                </c:pt>
                <c:pt idx="228">
                  <c:v>44343</c:v>
                </c:pt>
                <c:pt idx="229">
                  <c:v>44342</c:v>
                </c:pt>
                <c:pt idx="230">
                  <c:v>44341</c:v>
                </c:pt>
                <c:pt idx="231">
                  <c:v>44340</c:v>
                </c:pt>
                <c:pt idx="232">
                  <c:v>44337</c:v>
                </c:pt>
                <c:pt idx="233">
                  <c:v>44336</c:v>
                </c:pt>
                <c:pt idx="234">
                  <c:v>44335</c:v>
                </c:pt>
                <c:pt idx="235">
                  <c:v>44334</c:v>
                </c:pt>
                <c:pt idx="236">
                  <c:v>44333</c:v>
                </c:pt>
                <c:pt idx="237">
                  <c:v>44330</c:v>
                </c:pt>
                <c:pt idx="238">
                  <c:v>44329</c:v>
                </c:pt>
                <c:pt idx="239">
                  <c:v>44328</c:v>
                </c:pt>
                <c:pt idx="240">
                  <c:v>44327</c:v>
                </c:pt>
                <c:pt idx="241">
                  <c:v>44326</c:v>
                </c:pt>
                <c:pt idx="242">
                  <c:v>44323</c:v>
                </c:pt>
                <c:pt idx="243">
                  <c:v>44322</c:v>
                </c:pt>
                <c:pt idx="244">
                  <c:v>44321</c:v>
                </c:pt>
                <c:pt idx="245">
                  <c:v>44320</c:v>
                </c:pt>
                <c:pt idx="246">
                  <c:v>44319</c:v>
                </c:pt>
                <c:pt idx="247">
                  <c:v>44316</c:v>
                </c:pt>
                <c:pt idx="248">
                  <c:v>44315</c:v>
                </c:pt>
                <c:pt idx="249">
                  <c:v>44314</c:v>
                </c:pt>
                <c:pt idx="250">
                  <c:v>44313</c:v>
                </c:pt>
                <c:pt idx="251">
                  <c:v>44312</c:v>
                </c:pt>
                <c:pt idx="252">
                  <c:v>44309</c:v>
                </c:pt>
                <c:pt idx="253">
                  <c:v>44308</c:v>
                </c:pt>
                <c:pt idx="254">
                  <c:v>44307</c:v>
                </c:pt>
                <c:pt idx="255">
                  <c:v>44306</c:v>
                </c:pt>
                <c:pt idx="256">
                  <c:v>44305</c:v>
                </c:pt>
                <c:pt idx="257">
                  <c:v>44302</c:v>
                </c:pt>
                <c:pt idx="258">
                  <c:v>44301</c:v>
                </c:pt>
                <c:pt idx="259">
                  <c:v>44300</c:v>
                </c:pt>
                <c:pt idx="260">
                  <c:v>44299</c:v>
                </c:pt>
                <c:pt idx="261">
                  <c:v>44298</c:v>
                </c:pt>
                <c:pt idx="262">
                  <c:v>44295</c:v>
                </c:pt>
                <c:pt idx="263">
                  <c:v>44294</c:v>
                </c:pt>
                <c:pt idx="264">
                  <c:v>44293</c:v>
                </c:pt>
                <c:pt idx="265">
                  <c:v>44292</c:v>
                </c:pt>
                <c:pt idx="266">
                  <c:v>44291</c:v>
                </c:pt>
                <c:pt idx="267">
                  <c:v>44287</c:v>
                </c:pt>
                <c:pt idx="268">
                  <c:v>44286</c:v>
                </c:pt>
                <c:pt idx="269">
                  <c:v>44285</c:v>
                </c:pt>
                <c:pt idx="270">
                  <c:v>44284</c:v>
                </c:pt>
                <c:pt idx="271">
                  <c:v>44281</c:v>
                </c:pt>
                <c:pt idx="272">
                  <c:v>44280</c:v>
                </c:pt>
                <c:pt idx="273">
                  <c:v>44279</c:v>
                </c:pt>
                <c:pt idx="274">
                  <c:v>44278</c:v>
                </c:pt>
                <c:pt idx="275">
                  <c:v>44277</c:v>
                </c:pt>
                <c:pt idx="276">
                  <c:v>44274</c:v>
                </c:pt>
                <c:pt idx="277">
                  <c:v>44273</c:v>
                </c:pt>
                <c:pt idx="278">
                  <c:v>44272</c:v>
                </c:pt>
                <c:pt idx="279">
                  <c:v>44271</c:v>
                </c:pt>
                <c:pt idx="280">
                  <c:v>44270</c:v>
                </c:pt>
                <c:pt idx="281">
                  <c:v>44267</c:v>
                </c:pt>
                <c:pt idx="282">
                  <c:v>44266</c:v>
                </c:pt>
                <c:pt idx="283">
                  <c:v>44265</c:v>
                </c:pt>
                <c:pt idx="284">
                  <c:v>44264</c:v>
                </c:pt>
                <c:pt idx="285">
                  <c:v>44263</c:v>
                </c:pt>
                <c:pt idx="286">
                  <c:v>44260</c:v>
                </c:pt>
                <c:pt idx="287">
                  <c:v>44259</c:v>
                </c:pt>
                <c:pt idx="288">
                  <c:v>44258</c:v>
                </c:pt>
                <c:pt idx="289">
                  <c:v>44257</c:v>
                </c:pt>
                <c:pt idx="290">
                  <c:v>44256</c:v>
                </c:pt>
                <c:pt idx="291">
                  <c:v>44253</c:v>
                </c:pt>
                <c:pt idx="292">
                  <c:v>44252</c:v>
                </c:pt>
                <c:pt idx="293">
                  <c:v>44251</c:v>
                </c:pt>
                <c:pt idx="294">
                  <c:v>44250</c:v>
                </c:pt>
                <c:pt idx="295">
                  <c:v>44249</c:v>
                </c:pt>
                <c:pt idx="296">
                  <c:v>44246</c:v>
                </c:pt>
                <c:pt idx="297">
                  <c:v>44245</c:v>
                </c:pt>
                <c:pt idx="298">
                  <c:v>44244</c:v>
                </c:pt>
                <c:pt idx="299">
                  <c:v>44243</c:v>
                </c:pt>
                <c:pt idx="300">
                  <c:v>44239</c:v>
                </c:pt>
                <c:pt idx="301">
                  <c:v>44238</c:v>
                </c:pt>
                <c:pt idx="302">
                  <c:v>44237</c:v>
                </c:pt>
                <c:pt idx="303">
                  <c:v>44236</c:v>
                </c:pt>
                <c:pt idx="304">
                  <c:v>44235</c:v>
                </c:pt>
                <c:pt idx="305">
                  <c:v>44232</c:v>
                </c:pt>
                <c:pt idx="306">
                  <c:v>44231</c:v>
                </c:pt>
                <c:pt idx="307">
                  <c:v>44230</c:v>
                </c:pt>
                <c:pt idx="308">
                  <c:v>44229</c:v>
                </c:pt>
                <c:pt idx="309">
                  <c:v>44228</c:v>
                </c:pt>
                <c:pt idx="310">
                  <c:v>44225</c:v>
                </c:pt>
                <c:pt idx="311">
                  <c:v>44224</c:v>
                </c:pt>
                <c:pt idx="312">
                  <c:v>44223</c:v>
                </c:pt>
                <c:pt idx="313">
                  <c:v>44222</c:v>
                </c:pt>
                <c:pt idx="314">
                  <c:v>44221</c:v>
                </c:pt>
                <c:pt idx="315">
                  <c:v>44218</c:v>
                </c:pt>
                <c:pt idx="316">
                  <c:v>44217</c:v>
                </c:pt>
                <c:pt idx="317">
                  <c:v>44216</c:v>
                </c:pt>
                <c:pt idx="318">
                  <c:v>44215</c:v>
                </c:pt>
                <c:pt idx="319">
                  <c:v>44211</c:v>
                </c:pt>
                <c:pt idx="320">
                  <c:v>44210</c:v>
                </c:pt>
                <c:pt idx="321">
                  <c:v>44209</c:v>
                </c:pt>
                <c:pt idx="322">
                  <c:v>44208</c:v>
                </c:pt>
                <c:pt idx="323">
                  <c:v>44207</c:v>
                </c:pt>
                <c:pt idx="324">
                  <c:v>44204</c:v>
                </c:pt>
                <c:pt idx="325">
                  <c:v>44203</c:v>
                </c:pt>
                <c:pt idx="326">
                  <c:v>44202</c:v>
                </c:pt>
                <c:pt idx="327">
                  <c:v>44201</c:v>
                </c:pt>
                <c:pt idx="328">
                  <c:v>44200</c:v>
                </c:pt>
                <c:pt idx="329">
                  <c:v>44196</c:v>
                </c:pt>
                <c:pt idx="330">
                  <c:v>44195</c:v>
                </c:pt>
                <c:pt idx="331">
                  <c:v>44194</c:v>
                </c:pt>
                <c:pt idx="332">
                  <c:v>44193</c:v>
                </c:pt>
                <c:pt idx="333">
                  <c:v>44189</c:v>
                </c:pt>
                <c:pt idx="334">
                  <c:v>44188</c:v>
                </c:pt>
                <c:pt idx="335">
                  <c:v>44187</c:v>
                </c:pt>
                <c:pt idx="336">
                  <c:v>44186</c:v>
                </c:pt>
                <c:pt idx="337">
                  <c:v>44183</c:v>
                </c:pt>
                <c:pt idx="338">
                  <c:v>44182</c:v>
                </c:pt>
                <c:pt idx="339">
                  <c:v>44181</c:v>
                </c:pt>
                <c:pt idx="340">
                  <c:v>44180</c:v>
                </c:pt>
                <c:pt idx="341">
                  <c:v>44179</c:v>
                </c:pt>
                <c:pt idx="342">
                  <c:v>44176</c:v>
                </c:pt>
                <c:pt idx="343">
                  <c:v>44175</c:v>
                </c:pt>
                <c:pt idx="344">
                  <c:v>44174</c:v>
                </c:pt>
                <c:pt idx="345">
                  <c:v>44173</c:v>
                </c:pt>
                <c:pt idx="346">
                  <c:v>44172</c:v>
                </c:pt>
                <c:pt idx="347">
                  <c:v>44169</c:v>
                </c:pt>
                <c:pt idx="348">
                  <c:v>44168</c:v>
                </c:pt>
                <c:pt idx="349">
                  <c:v>44167</c:v>
                </c:pt>
                <c:pt idx="350">
                  <c:v>44166</c:v>
                </c:pt>
                <c:pt idx="351">
                  <c:v>44165</c:v>
                </c:pt>
                <c:pt idx="352">
                  <c:v>44162</c:v>
                </c:pt>
                <c:pt idx="353">
                  <c:v>44160</c:v>
                </c:pt>
                <c:pt idx="354">
                  <c:v>44159</c:v>
                </c:pt>
                <c:pt idx="355">
                  <c:v>44158</c:v>
                </c:pt>
                <c:pt idx="356">
                  <c:v>44155</c:v>
                </c:pt>
                <c:pt idx="357">
                  <c:v>44154</c:v>
                </c:pt>
                <c:pt idx="358">
                  <c:v>44153</c:v>
                </c:pt>
                <c:pt idx="359">
                  <c:v>44152</c:v>
                </c:pt>
                <c:pt idx="360">
                  <c:v>44151</c:v>
                </c:pt>
                <c:pt idx="361">
                  <c:v>44148</c:v>
                </c:pt>
                <c:pt idx="362">
                  <c:v>44147</c:v>
                </c:pt>
                <c:pt idx="363">
                  <c:v>44146</c:v>
                </c:pt>
                <c:pt idx="364">
                  <c:v>44145</c:v>
                </c:pt>
                <c:pt idx="365">
                  <c:v>44144</c:v>
                </c:pt>
                <c:pt idx="366">
                  <c:v>44141</c:v>
                </c:pt>
                <c:pt idx="367">
                  <c:v>44140</c:v>
                </c:pt>
                <c:pt idx="368">
                  <c:v>44139</c:v>
                </c:pt>
                <c:pt idx="369">
                  <c:v>44138</c:v>
                </c:pt>
                <c:pt idx="370">
                  <c:v>44137</c:v>
                </c:pt>
                <c:pt idx="371">
                  <c:v>44134</c:v>
                </c:pt>
                <c:pt idx="372">
                  <c:v>44133</c:v>
                </c:pt>
                <c:pt idx="373">
                  <c:v>44132</c:v>
                </c:pt>
                <c:pt idx="374">
                  <c:v>44131</c:v>
                </c:pt>
                <c:pt idx="375">
                  <c:v>44130</c:v>
                </c:pt>
                <c:pt idx="376">
                  <c:v>44127</c:v>
                </c:pt>
                <c:pt idx="377">
                  <c:v>44126</c:v>
                </c:pt>
                <c:pt idx="378">
                  <c:v>44125</c:v>
                </c:pt>
                <c:pt idx="379">
                  <c:v>44124</c:v>
                </c:pt>
                <c:pt idx="380">
                  <c:v>44123</c:v>
                </c:pt>
                <c:pt idx="381">
                  <c:v>44120</c:v>
                </c:pt>
                <c:pt idx="382">
                  <c:v>44119</c:v>
                </c:pt>
                <c:pt idx="383">
                  <c:v>44118</c:v>
                </c:pt>
                <c:pt idx="384">
                  <c:v>44117</c:v>
                </c:pt>
                <c:pt idx="385">
                  <c:v>44116</c:v>
                </c:pt>
                <c:pt idx="386">
                  <c:v>44113</c:v>
                </c:pt>
                <c:pt idx="387">
                  <c:v>44112</c:v>
                </c:pt>
                <c:pt idx="388">
                  <c:v>44111</c:v>
                </c:pt>
                <c:pt idx="389">
                  <c:v>44110</c:v>
                </c:pt>
                <c:pt idx="390">
                  <c:v>44109</c:v>
                </c:pt>
                <c:pt idx="391">
                  <c:v>44106</c:v>
                </c:pt>
                <c:pt idx="392">
                  <c:v>44105</c:v>
                </c:pt>
                <c:pt idx="393">
                  <c:v>44104</c:v>
                </c:pt>
                <c:pt idx="394">
                  <c:v>44103</c:v>
                </c:pt>
                <c:pt idx="395">
                  <c:v>44102</c:v>
                </c:pt>
                <c:pt idx="396">
                  <c:v>44099</c:v>
                </c:pt>
                <c:pt idx="397">
                  <c:v>44098</c:v>
                </c:pt>
                <c:pt idx="398">
                  <c:v>44097</c:v>
                </c:pt>
                <c:pt idx="399">
                  <c:v>44096</c:v>
                </c:pt>
                <c:pt idx="400">
                  <c:v>44095</c:v>
                </c:pt>
                <c:pt idx="401">
                  <c:v>44092</c:v>
                </c:pt>
                <c:pt idx="402">
                  <c:v>44091</c:v>
                </c:pt>
                <c:pt idx="403">
                  <c:v>44090</c:v>
                </c:pt>
                <c:pt idx="404">
                  <c:v>44089</c:v>
                </c:pt>
                <c:pt idx="405">
                  <c:v>44088</c:v>
                </c:pt>
                <c:pt idx="406">
                  <c:v>44085</c:v>
                </c:pt>
                <c:pt idx="407">
                  <c:v>44084</c:v>
                </c:pt>
                <c:pt idx="408">
                  <c:v>44083</c:v>
                </c:pt>
                <c:pt idx="409">
                  <c:v>44082</c:v>
                </c:pt>
                <c:pt idx="410">
                  <c:v>44078</c:v>
                </c:pt>
                <c:pt idx="411">
                  <c:v>44077</c:v>
                </c:pt>
                <c:pt idx="412">
                  <c:v>44076</c:v>
                </c:pt>
                <c:pt idx="413">
                  <c:v>44075</c:v>
                </c:pt>
                <c:pt idx="414">
                  <c:v>44074</c:v>
                </c:pt>
                <c:pt idx="415">
                  <c:v>44071</c:v>
                </c:pt>
                <c:pt idx="416">
                  <c:v>44070</c:v>
                </c:pt>
                <c:pt idx="417">
                  <c:v>44069</c:v>
                </c:pt>
                <c:pt idx="418">
                  <c:v>44068</c:v>
                </c:pt>
                <c:pt idx="419">
                  <c:v>44067</c:v>
                </c:pt>
                <c:pt idx="420">
                  <c:v>44064</c:v>
                </c:pt>
                <c:pt idx="421">
                  <c:v>44063</c:v>
                </c:pt>
                <c:pt idx="422">
                  <c:v>44062</c:v>
                </c:pt>
                <c:pt idx="423">
                  <c:v>44061</c:v>
                </c:pt>
                <c:pt idx="424">
                  <c:v>44060</c:v>
                </c:pt>
                <c:pt idx="425">
                  <c:v>44057</c:v>
                </c:pt>
                <c:pt idx="426">
                  <c:v>44056</c:v>
                </c:pt>
                <c:pt idx="427">
                  <c:v>44055</c:v>
                </c:pt>
                <c:pt idx="428">
                  <c:v>44054</c:v>
                </c:pt>
                <c:pt idx="429">
                  <c:v>44053</c:v>
                </c:pt>
                <c:pt idx="430">
                  <c:v>44050</c:v>
                </c:pt>
                <c:pt idx="431">
                  <c:v>44049</c:v>
                </c:pt>
                <c:pt idx="432">
                  <c:v>44048</c:v>
                </c:pt>
                <c:pt idx="433">
                  <c:v>44047</c:v>
                </c:pt>
                <c:pt idx="434">
                  <c:v>44046</c:v>
                </c:pt>
                <c:pt idx="435">
                  <c:v>44043</c:v>
                </c:pt>
                <c:pt idx="436">
                  <c:v>44042</c:v>
                </c:pt>
                <c:pt idx="437">
                  <c:v>44041</c:v>
                </c:pt>
                <c:pt idx="438">
                  <c:v>44040</c:v>
                </c:pt>
                <c:pt idx="439">
                  <c:v>44039</c:v>
                </c:pt>
                <c:pt idx="440">
                  <c:v>44036</c:v>
                </c:pt>
                <c:pt idx="441">
                  <c:v>44035</c:v>
                </c:pt>
                <c:pt idx="442">
                  <c:v>44034</c:v>
                </c:pt>
                <c:pt idx="443">
                  <c:v>44033</c:v>
                </c:pt>
                <c:pt idx="444">
                  <c:v>44032</c:v>
                </c:pt>
                <c:pt idx="445">
                  <c:v>44029</c:v>
                </c:pt>
                <c:pt idx="446">
                  <c:v>44028</c:v>
                </c:pt>
                <c:pt idx="447">
                  <c:v>44027</c:v>
                </c:pt>
                <c:pt idx="448">
                  <c:v>44026</c:v>
                </c:pt>
                <c:pt idx="449">
                  <c:v>44025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44014</c:v>
                </c:pt>
                <c:pt idx="456">
                  <c:v>44013</c:v>
                </c:pt>
                <c:pt idx="457">
                  <c:v>44012</c:v>
                </c:pt>
                <c:pt idx="458">
                  <c:v>44011</c:v>
                </c:pt>
                <c:pt idx="459">
                  <c:v>44008</c:v>
                </c:pt>
                <c:pt idx="460">
                  <c:v>44007</c:v>
                </c:pt>
                <c:pt idx="461">
                  <c:v>44006</c:v>
                </c:pt>
                <c:pt idx="462">
                  <c:v>44005</c:v>
                </c:pt>
                <c:pt idx="463">
                  <c:v>44004</c:v>
                </c:pt>
                <c:pt idx="464">
                  <c:v>44001</c:v>
                </c:pt>
                <c:pt idx="465">
                  <c:v>44000</c:v>
                </c:pt>
                <c:pt idx="466">
                  <c:v>43999</c:v>
                </c:pt>
                <c:pt idx="467">
                  <c:v>43998</c:v>
                </c:pt>
                <c:pt idx="468">
                  <c:v>43997</c:v>
                </c:pt>
                <c:pt idx="469">
                  <c:v>43994</c:v>
                </c:pt>
                <c:pt idx="470">
                  <c:v>43993</c:v>
                </c:pt>
                <c:pt idx="471">
                  <c:v>43992</c:v>
                </c:pt>
                <c:pt idx="472">
                  <c:v>43991</c:v>
                </c:pt>
                <c:pt idx="473">
                  <c:v>43990</c:v>
                </c:pt>
                <c:pt idx="474">
                  <c:v>43987</c:v>
                </c:pt>
                <c:pt idx="475">
                  <c:v>43986</c:v>
                </c:pt>
                <c:pt idx="476">
                  <c:v>43985</c:v>
                </c:pt>
                <c:pt idx="477">
                  <c:v>43984</c:v>
                </c:pt>
                <c:pt idx="478">
                  <c:v>43983</c:v>
                </c:pt>
                <c:pt idx="479">
                  <c:v>43980</c:v>
                </c:pt>
                <c:pt idx="480">
                  <c:v>43979</c:v>
                </c:pt>
                <c:pt idx="481">
                  <c:v>43978</c:v>
                </c:pt>
                <c:pt idx="482">
                  <c:v>43977</c:v>
                </c:pt>
                <c:pt idx="483">
                  <c:v>43973</c:v>
                </c:pt>
                <c:pt idx="484">
                  <c:v>43972</c:v>
                </c:pt>
                <c:pt idx="485">
                  <c:v>43971</c:v>
                </c:pt>
                <c:pt idx="486">
                  <c:v>43970</c:v>
                </c:pt>
                <c:pt idx="487">
                  <c:v>43969</c:v>
                </c:pt>
                <c:pt idx="488">
                  <c:v>43966</c:v>
                </c:pt>
                <c:pt idx="489">
                  <c:v>43965</c:v>
                </c:pt>
                <c:pt idx="490">
                  <c:v>43964</c:v>
                </c:pt>
                <c:pt idx="491">
                  <c:v>43963</c:v>
                </c:pt>
                <c:pt idx="492">
                  <c:v>43962</c:v>
                </c:pt>
                <c:pt idx="493">
                  <c:v>43959</c:v>
                </c:pt>
                <c:pt idx="494">
                  <c:v>43958</c:v>
                </c:pt>
                <c:pt idx="495">
                  <c:v>43957</c:v>
                </c:pt>
                <c:pt idx="496">
                  <c:v>43956</c:v>
                </c:pt>
                <c:pt idx="497">
                  <c:v>43955</c:v>
                </c:pt>
                <c:pt idx="498">
                  <c:v>43952</c:v>
                </c:pt>
                <c:pt idx="499">
                  <c:v>43951</c:v>
                </c:pt>
                <c:pt idx="500">
                  <c:v>43950</c:v>
                </c:pt>
                <c:pt idx="501">
                  <c:v>43949</c:v>
                </c:pt>
                <c:pt idx="502">
                  <c:v>43948</c:v>
                </c:pt>
                <c:pt idx="503">
                  <c:v>43945</c:v>
                </c:pt>
                <c:pt idx="504">
                  <c:v>43944</c:v>
                </c:pt>
                <c:pt idx="505">
                  <c:v>43943</c:v>
                </c:pt>
                <c:pt idx="506">
                  <c:v>43942</c:v>
                </c:pt>
                <c:pt idx="507">
                  <c:v>43941</c:v>
                </c:pt>
                <c:pt idx="508">
                  <c:v>43938</c:v>
                </c:pt>
                <c:pt idx="509">
                  <c:v>43937</c:v>
                </c:pt>
                <c:pt idx="510">
                  <c:v>43936</c:v>
                </c:pt>
                <c:pt idx="511">
                  <c:v>43935</c:v>
                </c:pt>
                <c:pt idx="512">
                  <c:v>43934</c:v>
                </c:pt>
                <c:pt idx="513">
                  <c:v>43930</c:v>
                </c:pt>
                <c:pt idx="514">
                  <c:v>43929</c:v>
                </c:pt>
                <c:pt idx="515">
                  <c:v>43928</c:v>
                </c:pt>
                <c:pt idx="516">
                  <c:v>43927</c:v>
                </c:pt>
                <c:pt idx="517">
                  <c:v>43924</c:v>
                </c:pt>
                <c:pt idx="518">
                  <c:v>43923</c:v>
                </c:pt>
                <c:pt idx="519">
                  <c:v>43922</c:v>
                </c:pt>
                <c:pt idx="520">
                  <c:v>43921</c:v>
                </c:pt>
                <c:pt idx="521">
                  <c:v>43920</c:v>
                </c:pt>
                <c:pt idx="522">
                  <c:v>43917</c:v>
                </c:pt>
                <c:pt idx="523">
                  <c:v>43916</c:v>
                </c:pt>
                <c:pt idx="524">
                  <c:v>43915</c:v>
                </c:pt>
                <c:pt idx="525">
                  <c:v>43914</c:v>
                </c:pt>
                <c:pt idx="526">
                  <c:v>43913</c:v>
                </c:pt>
                <c:pt idx="527">
                  <c:v>43910</c:v>
                </c:pt>
                <c:pt idx="528">
                  <c:v>43909</c:v>
                </c:pt>
                <c:pt idx="529">
                  <c:v>43908</c:v>
                </c:pt>
                <c:pt idx="530">
                  <c:v>43907</c:v>
                </c:pt>
                <c:pt idx="531">
                  <c:v>43906</c:v>
                </c:pt>
                <c:pt idx="532">
                  <c:v>43903</c:v>
                </c:pt>
                <c:pt idx="533">
                  <c:v>43902</c:v>
                </c:pt>
                <c:pt idx="534">
                  <c:v>43901</c:v>
                </c:pt>
                <c:pt idx="535">
                  <c:v>43900</c:v>
                </c:pt>
                <c:pt idx="536">
                  <c:v>43899</c:v>
                </c:pt>
                <c:pt idx="537">
                  <c:v>43896</c:v>
                </c:pt>
                <c:pt idx="538">
                  <c:v>43895</c:v>
                </c:pt>
                <c:pt idx="539">
                  <c:v>43894</c:v>
                </c:pt>
                <c:pt idx="540">
                  <c:v>43893</c:v>
                </c:pt>
                <c:pt idx="541">
                  <c:v>43892</c:v>
                </c:pt>
                <c:pt idx="542">
                  <c:v>43889</c:v>
                </c:pt>
                <c:pt idx="543">
                  <c:v>43888</c:v>
                </c:pt>
                <c:pt idx="544">
                  <c:v>43887</c:v>
                </c:pt>
                <c:pt idx="545">
                  <c:v>43886</c:v>
                </c:pt>
                <c:pt idx="546">
                  <c:v>43885</c:v>
                </c:pt>
                <c:pt idx="547">
                  <c:v>43882</c:v>
                </c:pt>
                <c:pt idx="548">
                  <c:v>43881</c:v>
                </c:pt>
                <c:pt idx="549">
                  <c:v>43880</c:v>
                </c:pt>
                <c:pt idx="550">
                  <c:v>43879</c:v>
                </c:pt>
                <c:pt idx="551">
                  <c:v>43875</c:v>
                </c:pt>
                <c:pt idx="552">
                  <c:v>43874</c:v>
                </c:pt>
                <c:pt idx="553">
                  <c:v>43873</c:v>
                </c:pt>
                <c:pt idx="554">
                  <c:v>43872</c:v>
                </c:pt>
                <c:pt idx="555">
                  <c:v>43871</c:v>
                </c:pt>
                <c:pt idx="556">
                  <c:v>43868</c:v>
                </c:pt>
                <c:pt idx="557">
                  <c:v>43867</c:v>
                </c:pt>
                <c:pt idx="558">
                  <c:v>43866</c:v>
                </c:pt>
                <c:pt idx="559">
                  <c:v>43865</c:v>
                </c:pt>
                <c:pt idx="560">
                  <c:v>43864</c:v>
                </c:pt>
                <c:pt idx="561">
                  <c:v>43861</c:v>
                </c:pt>
                <c:pt idx="562">
                  <c:v>43860</c:v>
                </c:pt>
                <c:pt idx="563">
                  <c:v>43859</c:v>
                </c:pt>
                <c:pt idx="564">
                  <c:v>43858</c:v>
                </c:pt>
                <c:pt idx="565">
                  <c:v>43857</c:v>
                </c:pt>
                <c:pt idx="566">
                  <c:v>43854</c:v>
                </c:pt>
                <c:pt idx="567">
                  <c:v>43853</c:v>
                </c:pt>
                <c:pt idx="568">
                  <c:v>43852</c:v>
                </c:pt>
                <c:pt idx="569">
                  <c:v>43851</c:v>
                </c:pt>
                <c:pt idx="570">
                  <c:v>43847</c:v>
                </c:pt>
                <c:pt idx="571">
                  <c:v>43846</c:v>
                </c:pt>
                <c:pt idx="572">
                  <c:v>43845</c:v>
                </c:pt>
                <c:pt idx="573">
                  <c:v>43844</c:v>
                </c:pt>
                <c:pt idx="574">
                  <c:v>43843</c:v>
                </c:pt>
                <c:pt idx="575">
                  <c:v>43840</c:v>
                </c:pt>
                <c:pt idx="576">
                  <c:v>43839</c:v>
                </c:pt>
                <c:pt idx="577">
                  <c:v>43838</c:v>
                </c:pt>
                <c:pt idx="578">
                  <c:v>43837</c:v>
                </c:pt>
                <c:pt idx="579">
                  <c:v>43836</c:v>
                </c:pt>
                <c:pt idx="580">
                  <c:v>43833</c:v>
                </c:pt>
                <c:pt idx="581">
                  <c:v>43832</c:v>
                </c:pt>
                <c:pt idx="582">
                  <c:v>43830</c:v>
                </c:pt>
                <c:pt idx="583">
                  <c:v>43829</c:v>
                </c:pt>
                <c:pt idx="584">
                  <c:v>43826</c:v>
                </c:pt>
                <c:pt idx="585">
                  <c:v>43825</c:v>
                </c:pt>
                <c:pt idx="586">
                  <c:v>43823</c:v>
                </c:pt>
                <c:pt idx="587">
                  <c:v>43822</c:v>
                </c:pt>
                <c:pt idx="588">
                  <c:v>43819</c:v>
                </c:pt>
                <c:pt idx="589">
                  <c:v>43818</c:v>
                </c:pt>
                <c:pt idx="590">
                  <c:v>43817</c:v>
                </c:pt>
                <c:pt idx="591">
                  <c:v>43816</c:v>
                </c:pt>
                <c:pt idx="592">
                  <c:v>43815</c:v>
                </c:pt>
                <c:pt idx="593">
                  <c:v>43812</c:v>
                </c:pt>
                <c:pt idx="594">
                  <c:v>43811</c:v>
                </c:pt>
                <c:pt idx="595">
                  <c:v>43810</c:v>
                </c:pt>
                <c:pt idx="596">
                  <c:v>43809</c:v>
                </c:pt>
                <c:pt idx="597">
                  <c:v>43808</c:v>
                </c:pt>
                <c:pt idx="598">
                  <c:v>43805</c:v>
                </c:pt>
                <c:pt idx="599">
                  <c:v>43804</c:v>
                </c:pt>
                <c:pt idx="600">
                  <c:v>43803</c:v>
                </c:pt>
                <c:pt idx="601">
                  <c:v>43802</c:v>
                </c:pt>
                <c:pt idx="602">
                  <c:v>43801</c:v>
                </c:pt>
                <c:pt idx="603">
                  <c:v>43798</c:v>
                </c:pt>
                <c:pt idx="604">
                  <c:v>43796</c:v>
                </c:pt>
                <c:pt idx="605">
                  <c:v>43795</c:v>
                </c:pt>
                <c:pt idx="606">
                  <c:v>43794</c:v>
                </c:pt>
                <c:pt idx="607">
                  <c:v>43791</c:v>
                </c:pt>
                <c:pt idx="608">
                  <c:v>43790</c:v>
                </c:pt>
                <c:pt idx="609">
                  <c:v>43789</c:v>
                </c:pt>
                <c:pt idx="610">
                  <c:v>43788</c:v>
                </c:pt>
                <c:pt idx="611">
                  <c:v>43787</c:v>
                </c:pt>
                <c:pt idx="612">
                  <c:v>43784</c:v>
                </c:pt>
                <c:pt idx="613">
                  <c:v>43783</c:v>
                </c:pt>
                <c:pt idx="614">
                  <c:v>43782</c:v>
                </c:pt>
                <c:pt idx="615">
                  <c:v>43781</c:v>
                </c:pt>
                <c:pt idx="616">
                  <c:v>43780</c:v>
                </c:pt>
                <c:pt idx="617">
                  <c:v>43777</c:v>
                </c:pt>
                <c:pt idx="618">
                  <c:v>43776</c:v>
                </c:pt>
                <c:pt idx="619">
                  <c:v>43775</c:v>
                </c:pt>
                <c:pt idx="620">
                  <c:v>43774</c:v>
                </c:pt>
                <c:pt idx="621">
                  <c:v>43773</c:v>
                </c:pt>
                <c:pt idx="622">
                  <c:v>43770</c:v>
                </c:pt>
                <c:pt idx="623">
                  <c:v>43769</c:v>
                </c:pt>
                <c:pt idx="624">
                  <c:v>43768</c:v>
                </c:pt>
                <c:pt idx="625">
                  <c:v>43767</c:v>
                </c:pt>
                <c:pt idx="626">
                  <c:v>43766</c:v>
                </c:pt>
                <c:pt idx="627">
                  <c:v>43763</c:v>
                </c:pt>
                <c:pt idx="628">
                  <c:v>43762</c:v>
                </c:pt>
                <c:pt idx="629">
                  <c:v>43761</c:v>
                </c:pt>
                <c:pt idx="630">
                  <c:v>43760</c:v>
                </c:pt>
                <c:pt idx="631">
                  <c:v>43759</c:v>
                </c:pt>
                <c:pt idx="632">
                  <c:v>43756</c:v>
                </c:pt>
                <c:pt idx="633">
                  <c:v>43755</c:v>
                </c:pt>
                <c:pt idx="634">
                  <c:v>43754</c:v>
                </c:pt>
                <c:pt idx="635">
                  <c:v>43753</c:v>
                </c:pt>
                <c:pt idx="636">
                  <c:v>43752</c:v>
                </c:pt>
                <c:pt idx="637">
                  <c:v>43749</c:v>
                </c:pt>
                <c:pt idx="638">
                  <c:v>43748</c:v>
                </c:pt>
                <c:pt idx="639">
                  <c:v>43747</c:v>
                </c:pt>
                <c:pt idx="640">
                  <c:v>43746</c:v>
                </c:pt>
                <c:pt idx="641">
                  <c:v>43745</c:v>
                </c:pt>
                <c:pt idx="642">
                  <c:v>43742</c:v>
                </c:pt>
                <c:pt idx="643">
                  <c:v>43741</c:v>
                </c:pt>
                <c:pt idx="644">
                  <c:v>43740</c:v>
                </c:pt>
                <c:pt idx="645">
                  <c:v>43739</c:v>
                </c:pt>
                <c:pt idx="646">
                  <c:v>43738</c:v>
                </c:pt>
                <c:pt idx="647">
                  <c:v>43735</c:v>
                </c:pt>
                <c:pt idx="648">
                  <c:v>43734</c:v>
                </c:pt>
                <c:pt idx="649">
                  <c:v>43733</c:v>
                </c:pt>
                <c:pt idx="650">
                  <c:v>43732</c:v>
                </c:pt>
                <c:pt idx="651">
                  <c:v>43731</c:v>
                </c:pt>
                <c:pt idx="652">
                  <c:v>43728</c:v>
                </c:pt>
                <c:pt idx="653">
                  <c:v>43727</c:v>
                </c:pt>
                <c:pt idx="654">
                  <c:v>43726</c:v>
                </c:pt>
                <c:pt idx="655">
                  <c:v>43725</c:v>
                </c:pt>
                <c:pt idx="656">
                  <c:v>43724</c:v>
                </c:pt>
                <c:pt idx="657">
                  <c:v>43721</c:v>
                </c:pt>
                <c:pt idx="658">
                  <c:v>43720</c:v>
                </c:pt>
                <c:pt idx="659">
                  <c:v>43719</c:v>
                </c:pt>
                <c:pt idx="660">
                  <c:v>43718</c:v>
                </c:pt>
                <c:pt idx="661">
                  <c:v>43717</c:v>
                </c:pt>
                <c:pt idx="662">
                  <c:v>43714</c:v>
                </c:pt>
                <c:pt idx="663">
                  <c:v>43713</c:v>
                </c:pt>
                <c:pt idx="664">
                  <c:v>43712</c:v>
                </c:pt>
                <c:pt idx="665">
                  <c:v>43711</c:v>
                </c:pt>
                <c:pt idx="666">
                  <c:v>43707</c:v>
                </c:pt>
                <c:pt idx="667">
                  <c:v>43706</c:v>
                </c:pt>
                <c:pt idx="668">
                  <c:v>43705</c:v>
                </c:pt>
                <c:pt idx="669">
                  <c:v>43704</c:v>
                </c:pt>
                <c:pt idx="670">
                  <c:v>43703</c:v>
                </c:pt>
                <c:pt idx="671">
                  <c:v>43700</c:v>
                </c:pt>
                <c:pt idx="672">
                  <c:v>43699</c:v>
                </c:pt>
                <c:pt idx="673">
                  <c:v>43698</c:v>
                </c:pt>
                <c:pt idx="674">
                  <c:v>43697</c:v>
                </c:pt>
                <c:pt idx="675">
                  <c:v>43696</c:v>
                </c:pt>
                <c:pt idx="676">
                  <c:v>43693</c:v>
                </c:pt>
                <c:pt idx="677">
                  <c:v>43692</c:v>
                </c:pt>
                <c:pt idx="678">
                  <c:v>43691</c:v>
                </c:pt>
                <c:pt idx="679">
                  <c:v>43690</c:v>
                </c:pt>
                <c:pt idx="680">
                  <c:v>43689</c:v>
                </c:pt>
                <c:pt idx="681">
                  <c:v>43686</c:v>
                </c:pt>
                <c:pt idx="682">
                  <c:v>43685</c:v>
                </c:pt>
                <c:pt idx="683">
                  <c:v>43684</c:v>
                </c:pt>
                <c:pt idx="684">
                  <c:v>43683</c:v>
                </c:pt>
                <c:pt idx="685">
                  <c:v>43682</c:v>
                </c:pt>
                <c:pt idx="686">
                  <c:v>43679</c:v>
                </c:pt>
                <c:pt idx="687">
                  <c:v>43678</c:v>
                </c:pt>
                <c:pt idx="688">
                  <c:v>43677</c:v>
                </c:pt>
                <c:pt idx="689">
                  <c:v>43676</c:v>
                </c:pt>
                <c:pt idx="690">
                  <c:v>43675</c:v>
                </c:pt>
                <c:pt idx="691">
                  <c:v>43672</c:v>
                </c:pt>
                <c:pt idx="692">
                  <c:v>43671</c:v>
                </c:pt>
                <c:pt idx="693">
                  <c:v>43670</c:v>
                </c:pt>
                <c:pt idx="694">
                  <c:v>43669</c:v>
                </c:pt>
                <c:pt idx="695">
                  <c:v>43668</c:v>
                </c:pt>
                <c:pt idx="696">
                  <c:v>43665</c:v>
                </c:pt>
                <c:pt idx="697">
                  <c:v>43664</c:v>
                </c:pt>
                <c:pt idx="698">
                  <c:v>43663</c:v>
                </c:pt>
                <c:pt idx="699">
                  <c:v>43662</c:v>
                </c:pt>
                <c:pt idx="700">
                  <c:v>43661</c:v>
                </c:pt>
                <c:pt idx="701">
                  <c:v>43658</c:v>
                </c:pt>
                <c:pt idx="702">
                  <c:v>43657</c:v>
                </c:pt>
                <c:pt idx="703">
                  <c:v>43656</c:v>
                </c:pt>
                <c:pt idx="704">
                  <c:v>43655</c:v>
                </c:pt>
                <c:pt idx="705">
                  <c:v>43654</c:v>
                </c:pt>
                <c:pt idx="706">
                  <c:v>43651</c:v>
                </c:pt>
                <c:pt idx="707">
                  <c:v>43649</c:v>
                </c:pt>
                <c:pt idx="708">
                  <c:v>43648</c:v>
                </c:pt>
                <c:pt idx="709">
                  <c:v>43647</c:v>
                </c:pt>
                <c:pt idx="710">
                  <c:v>43644</c:v>
                </c:pt>
                <c:pt idx="711">
                  <c:v>43643</c:v>
                </c:pt>
                <c:pt idx="712">
                  <c:v>43642</c:v>
                </c:pt>
                <c:pt idx="713">
                  <c:v>43641</c:v>
                </c:pt>
                <c:pt idx="714">
                  <c:v>43640</c:v>
                </c:pt>
                <c:pt idx="715">
                  <c:v>43637</c:v>
                </c:pt>
                <c:pt idx="716">
                  <c:v>43636</c:v>
                </c:pt>
                <c:pt idx="717">
                  <c:v>43635</c:v>
                </c:pt>
                <c:pt idx="718">
                  <c:v>43634</c:v>
                </c:pt>
                <c:pt idx="719">
                  <c:v>43633</c:v>
                </c:pt>
                <c:pt idx="720">
                  <c:v>43630</c:v>
                </c:pt>
                <c:pt idx="721">
                  <c:v>43629</c:v>
                </c:pt>
                <c:pt idx="722">
                  <c:v>43628</c:v>
                </c:pt>
                <c:pt idx="723">
                  <c:v>43627</c:v>
                </c:pt>
                <c:pt idx="724">
                  <c:v>43626</c:v>
                </c:pt>
                <c:pt idx="725">
                  <c:v>43623</c:v>
                </c:pt>
                <c:pt idx="726">
                  <c:v>43622</c:v>
                </c:pt>
                <c:pt idx="727">
                  <c:v>43621</c:v>
                </c:pt>
                <c:pt idx="728">
                  <c:v>43620</c:v>
                </c:pt>
                <c:pt idx="729">
                  <c:v>43619</c:v>
                </c:pt>
                <c:pt idx="730">
                  <c:v>43616</c:v>
                </c:pt>
                <c:pt idx="731">
                  <c:v>43615</c:v>
                </c:pt>
                <c:pt idx="732">
                  <c:v>43614</c:v>
                </c:pt>
                <c:pt idx="733">
                  <c:v>43613</c:v>
                </c:pt>
                <c:pt idx="734">
                  <c:v>43609</c:v>
                </c:pt>
                <c:pt idx="735">
                  <c:v>43608</c:v>
                </c:pt>
                <c:pt idx="736">
                  <c:v>43607</c:v>
                </c:pt>
                <c:pt idx="737">
                  <c:v>43606</c:v>
                </c:pt>
                <c:pt idx="738">
                  <c:v>43605</c:v>
                </c:pt>
                <c:pt idx="739">
                  <c:v>43602</c:v>
                </c:pt>
                <c:pt idx="740">
                  <c:v>43601</c:v>
                </c:pt>
                <c:pt idx="741">
                  <c:v>43600</c:v>
                </c:pt>
                <c:pt idx="742">
                  <c:v>43599</c:v>
                </c:pt>
                <c:pt idx="743">
                  <c:v>43598</c:v>
                </c:pt>
                <c:pt idx="744">
                  <c:v>43595</c:v>
                </c:pt>
                <c:pt idx="745">
                  <c:v>43594</c:v>
                </c:pt>
                <c:pt idx="746">
                  <c:v>43593</c:v>
                </c:pt>
                <c:pt idx="747">
                  <c:v>43592</c:v>
                </c:pt>
                <c:pt idx="748">
                  <c:v>43591</c:v>
                </c:pt>
                <c:pt idx="749">
                  <c:v>43588</c:v>
                </c:pt>
                <c:pt idx="750">
                  <c:v>43587</c:v>
                </c:pt>
                <c:pt idx="751">
                  <c:v>43586</c:v>
                </c:pt>
                <c:pt idx="752">
                  <c:v>43585</c:v>
                </c:pt>
                <c:pt idx="753">
                  <c:v>43584</c:v>
                </c:pt>
                <c:pt idx="754">
                  <c:v>43581</c:v>
                </c:pt>
                <c:pt idx="755">
                  <c:v>43580</c:v>
                </c:pt>
                <c:pt idx="756">
                  <c:v>43579</c:v>
                </c:pt>
                <c:pt idx="757">
                  <c:v>43578</c:v>
                </c:pt>
                <c:pt idx="758">
                  <c:v>43577</c:v>
                </c:pt>
                <c:pt idx="759">
                  <c:v>43573</c:v>
                </c:pt>
                <c:pt idx="760">
                  <c:v>43572</c:v>
                </c:pt>
                <c:pt idx="761">
                  <c:v>43571</c:v>
                </c:pt>
                <c:pt idx="762">
                  <c:v>43570</c:v>
                </c:pt>
                <c:pt idx="763">
                  <c:v>43567</c:v>
                </c:pt>
                <c:pt idx="764">
                  <c:v>43566</c:v>
                </c:pt>
                <c:pt idx="765">
                  <c:v>43565</c:v>
                </c:pt>
                <c:pt idx="766">
                  <c:v>43564</c:v>
                </c:pt>
                <c:pt idx="767">
                  <c:v>43563</c:v>
                </c:pt>
                <c:pt idx="768">
                  <c:v>43560</c:v>
                </c:pt>
                <c:pt idx="769">
                  <c:v>43559</c:v>
                </c:pt>
                <c:pt idx="770">
                  <c:v>43558</c:v>
                </c:pt>
                <c:pt idx="771">
                  <c:v>43557</c:v>
                </c:pt>
                <c:pt idx="772">
                  <c:v>43556</c:v>
                </c:pt>
                <c:pt idx="773">
                  <c:v>43553</c:v>
                </c:pt>
                <c:pt idx="774">
                  <c:v>43552</c:v>
                </c:pt>
                <c:pt idx="775">
                  <c:v>43551</c:v>
                </c:pt>
                <c:pt idx="776">
                  <c:v>43550</c:v>
                </c:pt>
                <c:pt idx="777">
                  <c:v>43549</c:v>
                </c:pt>
                <c:pt idx="778">
                  <c:v>43546</c:v>
                </c:pt>
                <c:pt idx="779">
                  <c:v>43545</c:v>
                </c:pt>
                <c:pt idx="780">
                  <c:v>43544</c:v>
                </c:pt>
                <c:pt idx="781">
                  <c:v>43543</c:v>
                </c:pt>
                <c:pt idx="782">
                  <c:v>43542</c:v>
                </c:pt>
                <c:pt idx="783">
                  <c:v>43539</c:v>
                </c:pt>
                <c:pt idx="784">
                  <c:v>43538</c:v>
                </c:pt>
                <c:pt idx="785">
                  <c:v>43537</c:v>
                </c:pt>
                <c:pt idx="786">
                  <c:v>43536</c:v>
                </c:pt>
                <c:pt idx="787">
                  <c:v>43535</c:v>
                </c:pt>
                <c:pt idx="788">
                  <c:v>43532</c:v>
                </c:pt>
                <c:pt idx="789">
                  <c:v>43531</c:v>
                </c:pt>
                <c:pt idx="790">
                  <c:v>43530</c:v>
                </c:pt>
                <c:pt idx="791">
                  <c:v>43529</c:v>
                </c:pt>
                <c:pt idx="792">
                  <c:v>43528</c:v>
                </c:pt>
                <c:pt idx="793">
                  <c:v>43525</c:v>
                </c:pt>
                <c:pt idx="794">
                  <c:v>43524</c:v>
                </c:pt>
                <c:pt idx="795">
                  <c:v>43523</c:v>
                </c:pt>
                <c:pt idx="796">
                  <c:v>43522</c:v>
                </c:pt>
                <c:pt idx="797">
                  <c:v>43521</c:v>
                </c:pt>
                <c:pt idx="798">
                  <c:v>43518</c:v>
                </c:pt>
                <c:pt idx="799">
                  <c:v>43517</c:v>
                </c:pt>
                <c:pt idx="800">
                  <c:v>43516</c:v>
                </c:pt>
                <c:pt idx="801">
                  <c:v>43515</c:v>
                </c:pt>
                <c:pt idx="802">
                  <c:v>43511</c:v>
                </c:pt>
                <c:pt idx="803">
                  <c:v>43510</c:v>
                </c:pt>
                <c:pt idx="804">
                  <c:v>43509</c:v>
                </c:pt>
                <c:pt idx="805">
                  <c:v>43508</c:v>
                </c:pt>
                <c:pt idx="806">
                  <c:v>43507</c:v>
                </c:pt>
                <c:pt idx="807">
                  <c:v>43504</c:v>
                </c:pt>
                <c:pt idx="808">
                  <c:v>43503</c:v>
                </c:pt>
                <c:pt idx="809">
                  <c:v>43502</c:v>
                </c:pt>
                <c:pt idx="810">
                  <c:v>43501</c:v>
                </c:pt>
                <c:pt idx="811">
                  <c:v>43500</c:v>
                </c:pt>
                <c:pt idx="812">
                  <c:v>43497</c:v>
                </c:pt>
                <c:pt idx="813">
                  <c:v>43496</c:v>
                </c:pt>
                <c:pt idx="814">
                  <c:v>43495</c:v>
                </c:pt>
                <c:pt idx="815">
                  <c:v>43494</c:v>
                </c:pt>
                <c:pt idx="816">
                  <c:v>43493</c:v>
                </c:pt>
                <c:pt idx="817">
                  <c:v>43490</c:v>
                </c:pt>
                <c:pt idx="818">
                  <c:v>43489</c:v>
                </c:pt>
                <c:pt idx="819">
                  <c:v>43488</c:v>
                </c:pt>
                <c:pt idx="820">
                  <c:v>43487</c:v>
                </c:pt>
                <c:pt idx="821">
                  <c:v>43483</c:v>
                </c:pt>
                <c:pt idx="822">
                  <c:v>43482</c:v>
                </c:pt>
                <c:pt idx="823">
                  <c:v>43481</c:v>
                </c:pt>
                <c:pt idx="824">
                  <c:v>43480</c:v>
                </c:pt>
                <c:pt idx="825">
                  <c:v>43479</c:v>
                </c:pt>
                <c:pt idx="826">
                  <c:v>43476</c:v>
                </c:pt>
                <c:pt idx="827">
                  <c:v>43475</c:v>
                </c:pt>
                <c:pt idx="828">
                  <c:v>43474</c:v>
                </c:pt>
                <c:pt idx="829">
                  <c:v>43473</c:v>
                </c:pt>
                <c:pt idx="830">
                  <c:v>43472</c:v>
                </c:pt>
                <c:pt idx="831">
                  <c:v>43469</c:v>
                </c:pt>
                <c:pt idx="832">
                  <c:v>43468</c:v>
                </c:pt>
                <c:pt idx="833">
                  <c:v>43467</c:v>
                </c:pt>
                <c:pt idx="834">
                  <c:v>43465</c:v>
                </c:pt>
                <c:pt idx="835">
                  <c:v>43462</c:v>
                </c:pt>
                <c:pt idx="836">
                  <c:v>43461</c:v>
                </c:pt>
                <c:pt idx="837">
                  <c:v>43460</c:v>
                </c:pt>
                <c:pt idx="838">
                  <c:v>43458</c:v>
                </c:pt>
                <c:pt idx="839">
                  <c:v>43455</c:v>
                </c:pt>
                <c:pt idx="840">
                  <c:v>43454</c:v>
                </c:pt>
                <c:pt idx="841">
                  <c:v>43453</c:v>
                </c:pt>
                <c:pt idx="842">
                  <c:v>43452</c:v>
                </c:pt>
                <c:pt idx="843">
                  <c:v>43451</c:v>
                </c:pt>
                <c:pt idx="844">
                  <c:v>43448</c:v>
                </c:pt>
                <c:pt idx="845">
                  <c:v>43447</c:v>
                </c:pt>
                <c:pt idx="846">
                  <c:v>43446</c:v>
                </c:pt>
                <c:pt idx="847">
                  <c:v>43445</c:v>
                </c:pt>
                <c:pt idx="848">
                  <c:v>43444</c:v>
                </c:pt>
                <c:pt idx="849">
                  <c:v>43441</c:v>
                </c:pt>
                <c:pt idx="850">
                  <c:v>43440</c:v>
                </c:pt>
                <c:pt idx="851">
                  <c:v>43438</c:v>
                </c:pt>
                <c:pt idx="852">
                  <c:v>43437</c:v>
                </c:pt>
                <c:pt idx="853">
                  <c:v>43434</c:v>
                </c:pt>
                <c:pt idx="854">
                  <c:v>43433</c:v>
                </c:pt>
                <c:pt idx="855">
                  <c:v>43432</c:v>
                </c:pt>
                <c:pt idx="856">
                  <c:v>43431</c:v>
                </c:pt>
                <c:pt idx="857">
                  <c:v>43430</c:v>
                </c:pt>
                <c:pt idx="858">
                  <c:v>43427</c:v>
                </c:pt>
                <c:pt idx="859">
                  <c:v>43425</c:v>
                </c:pt>
                <c:pt idx="860">
                  <c:v>43424</c:v>
                </c:pt>
                <c:pt idx="861">
                  <c:v>43423</c:v>
                </c:pt>
                <c:pt idx="862">
                  <c:v>43420</c:v>
                </c:pt>
                <c:pt idx="863">
                  <c:v>43419</c:v>
                </c:pt>
                <c:pt idx="864">
                  <c:v>43418</c:v>
                </c:pt>
                <c:pt idx="865">
                  <c:v>43417</c:v>
                </c:pt>
                <c:pt idx="866">
                  <c:v>43416</c:v>
                </c:pt>
                <c:pt idx="867">
                  <c:v>43413</c:v>
                </c:pt>
                <c:pt idx="868">
                  <c:v>43412</c:v>
                </c:pt>
                <c:pt idx="869">
                  <c:v>43411</c:v>
                </c:pt>
                <c:pt idx="870">
                  <c:v>43410</c:v>
                </c:pt>
                <c:pt idx="871">
                  <c:v>43409</c:v>
                </c:pt>
                <c:pt idx="872">
                  <c:v>43406</c:v>
                </c:pt>
                <c:pt idx="873">
                  <c:v>43405</c:v>
                </c:pt>
                <c:pt idx="874">
                  <c:v>43404</c:v>
                </c:pt>
                <c:pt idx="875">
                  <c:v>43403</c:v>
                </c:pt>
                <c:pt idx="876">
                  <c:v>43402</c:v>
                </c:pt>
                <c:pt idx="877">
                  <c:v>43399</c:v>
                </c:pt>
                <c:pt idx="878">
                  <c:v>43398</c:v>
                </c:pt>
                <c:pt idx="879">
                  <c:v>43397</c:v>
                </c:pt>
                <c:pt idx="880">
                  <c:v>43396</c:v>
                </c:pt>
                <c:pt idx="881">
                  <c:v>43395</c:v>
                </c:pt>
                <c:pt idx="882">
                  <c:v>43392</c:v>
                </c:pt>
                <c:pt idx="883">
                  <c:v>43391</c:v>
                </c:pt>
                <c:pt idx="884">
                  <c:v>43390</c:v>
                </c:pt>
                <c:pt idx="885">
                  <c:v>43389</c:v>
                </c:pt>
                <c:pt idx="886">
                  <c:v>43388</c:v>
                </c:pt>
                <c:pt idx="887">
                  <c:v>43385</c:v>
                </c:pt>
                <c:pt idx="888">
                  <c:v>43384</c:v>
                </c:pt>
                <c:pt idx="889">
                  <c:v>43383</c:v>
                </c:pt>
                <c:pt idx="890">
                  <c:v>43382</c:v>
                </c:pt>
                <c:pt idx="891">
                  <c:v>43381</c:v>
                </c:pt>
                <c:pt idx="892">
                  <c:v>43378</c:v>
                </c:pt>
                <c:pt idx="893">
                  <c:v>43377</c:v>
                </c:pt>
                <c:pt idx="894">
                  <c:v>43376</c:v>
                </c:pt>
                <c:pt idx="895">
                  <c:v>43375</c:v>
                </c:pt>
                <c:pt idx="896">
                  <c:v>43374</c:v>
                </c:pt>
                <c:pt idx="897">
                  <c:v>43371</c:v>
                </c:pt>
                <c:pt idx="898">
                  <c:v>43370</c:v>
                </c:pt>
                <c:pt idx="899">
                  <c:v>43369</c:v>
                </c:pt>
                <c:pt idx="900">
                  <c:v>43368</c:v>
                </c:pt>
                <c:pt idx="901">
                  <c:v>43367</c:v>
                </c:pt>
                <c:pt idx="902">
                  <c:v>43364</c:v>
                </c:pt>
                <c:pt idx="903">
                  <c:v>43363</c:v>
                </c:pt>
                <c:pt idx="904">
                  <c:v>43362</c:v>
                </c:pt>
                <c:pt idx="905">
                  <c:v>43361</c:v>
                </c:pt>
                <c:pt idx="906">
                  <c:v>43360</c:v>
                </c:pt>
                <c:pt idx="907">
                  <c:v>43357</c:v>
                </c:pt>
                <c:pt idx="908">
                  <c:v>43356</c:v>
                </c:pt>
                <c:pt idx="909">
                  <c:v>43355</c:v>
                </c:pt>
                <c:pt idx="910">
                  <c:v>43354</c:v>
                </c:pt>
                <c:pt idx="911">
                  <c:v>43353</c:v>
                </c:pt>
                <c:pt idx="912">
                  <c:v>43350</c:v>
                </c:pt>
                <c:pt idx="913">
                  <c:v>43349</c:v>
                </c:pt>
                <c:pt idx="914">
                  <c:v>43348</c:v>
                </c:pt>
                <c:pt idx="915">
                  <c:v>43347</c:v>
                </c:pt>
                <c:pt idx="916">
                  <c:v>43343</c:v>
                </c:pt>
                <c:pt idx="917">
                  <c:v>43342</c:v>
                </c:pt>
                <c:pt idx="918">
                  <c:v>43341</c:v>
                </c:pt>
                <c:pt idx="919">
                  <c:v>43340</c:v>
                </c:pt>
                <c:pt idx="920">
                  <c:v>43339</c:v>
                </c:pt>
                <c:pt idx="921">
                  <c:v>43336</c:v>
                </c:pt>
                <c:pt idx="922">
                  <c:v>43335</c:v>
                </c:pt>
                <c:pt idx="923">
                  <c:v>43334</c:v>
                </c:pt>
                <c:pt idx="924">
                  <c:v>43333</c:v>
                </c:pt>
                <c:pt idx="925">
                  <c:v>43332</c:v>
                </c:pt>
                <c:pt idx="926">
                  <c:v>43329</c:v>
                </c:pt>
                <c:pt idx="927">
                  <c:v>43328</c:v>
                </c:pt>
                <c:pt idx="928">
                  <c:v>43327</c:v>
                </c:pt>
                <c:pt idx="929">
                  <c:v>43326</c:v>
                </c:pt>
                <c:pt idx="930">
                  <c:v>43325</c:v>
                </c:pt>
                <c:pt idx="931">
                  <c:v>43322</c:v>
                </c:pt>
                <c:pt idx="932">
                  <c:v>43321</c:v>
                </c:pt>
                <c:pt idx="933">
                  <c:v>43320</c:v>
                </c:pt>
                <c:pt idx="934">
                  <c:v>43319</c:v>
                </c:pt>
                <c:pt idx="935">
                  <c:v>43318</c:v>
                </c:pt>
                <c:pt idx="936">
                  <c:v>43315</c:v>
                </c:pt>
                <c:pt idx="937">
                  <c:v>43314</c:v>
                </c:pt>
                <c:pt idx="938">
                  <c:v>43313</c:v>
                </c:pt>
                <c:pt idx="939">
                  <c:v>43312</c:v>
                </c:pt>
                <c:pt idx="940">
                  <c:v>43311</c:v>
                </c:pt>
                <c:pt idx="941">
                  <c:v>43308</c:v>
                </c:pt>
                <c:pt idx="942">
                  <c:v>43307</c:v>
                </c:pt>
                <c:pt idx="943">
                  <c:v>43306</c:v>
                </c:pt>
                <c:pt idx="944">
                  <c:v>43305</c:v>
                </c:pt>
                <c:pt idx="945">
                  <c:v>43304</c:v>
                </c:pt>
                <c:pt idx="946">
                  <c:v>43301</c:v>
                </c:pt>
                <c:pt idx="947">
                  <c:v>43300</c:v>
                </c:pt>
                <c:pt idx="948">
                  <c:v>43299</c:v>
                </c:pt>
                <c:pt idx="949">
                  <c:v>43298</c:v>
                </c:pt>
                <c:pt idx="950">
                  <c:v>43297</c:v>
                </c:pt>
                <c:pt idx="951">
                  <c:v>43294</c:v>
                </c:pt>
                <c:pt idx="952">
                  <c:v>43293</c:v>
                </c:pt>
                <c:pt idx="953">
                  <c:v>43292</c:v>
                </c:pt>
                <c:pt idx="954">
                  <c:v>43291</c:v>
                </c:pt>
                <c:pt idx="955">
                  <c:v>43290</c:v>
                </c:pt>
                <c:pt idx="956">
                  <c:v>43287</c:v>
                </c:pt>
                <c:pt idx="957">
                  <c:v>43286</c:v>
                </c:pt>
                <c:pt idx="958">
                  <c:v>43284</c:v>
                </c:pt>
                <c:pt idx="959">
                  <c:v>43283</c:v>
                </c:pt>
                <c:pt idx="960">
                  <c:v>43280</c:v>
                </c:pt>
                <c:pt idx="961">
                  <c:v>43279</c:v>
                </c:pt>
                <c:pt idx="962">
                  <c:v>43278</c:v>
                </c:pt>
                <c:pt idx="963">
                  <c:v>43277</c:v>
                </c:pt>
                <c:pt idx="964">
                  <c:v>43276</c:v>
                </c:pt>
                <c:pt idx="965">
                  <c:v>43273</c:v>
                </c:pt>
                <c:pt idx="966">
                  <c:v>43272</c:v>
                </c:pt>
                <c:pt idx="967">
                  <c:v>43271</c:v>
                </c:pt>
                <c:pt idx="968">
                  <c:v>43270</c:v>
                </c:pt>
                <c:pt idx="969">
                  <c:v>43269</c:v>
                </c:pt>
                <c:pt idx="970">
                  <c:v>43266</c:v>
                </c:pt>
                <c:pt idx="971">
                  <c:v>43265</c:v>
                </c:pt>
                <c:pt idx="972">
                  <c:v>43264</c:v>
                </c:pt>
                <c:pt idx="973">
                  <c:v>43263</c:v>
                </c:pt>
                <c:pt idx="974">
                  <c:v>43262</c:v>
                </c:pt>
                <c:pt idx="975">
                  <c:v>43259</c:v>
                </c:pt>
                <c:pt idx="976">
                  <c:v>43258</c:v>
                </c:pt>
                <c:pt idx="977">
                  <c:v>43257</c:v>
                </c:pt>
                <c:pt idx="978">
                  <c:v>43256</c:v>
                </c:pt>
                <c:pt idx="979">
                  <c:v>43255</c:v>
                </c:pt>
                <c:pt idx="980">
                  <c:v>43252</c:v>
                </c:pt>
                <c:pt idx="981">
                  <c:v>43251</c:v>
                </c:pt>
                <c:pt idx="982">
                  <c:v>43250</c:v>
                </c:pt>
                <c:pt idx="983">
                  <c:v>43249</c:v>
                </c:pt>
                <c:pt idx="984">
                  <c:v>43245</c:v>
                </c:pt>
                <c:pt idx="985">
                  <c:v>43244</c:v>
                </c:pt>
                <c:pt idx="986">
                  <c:v>43243</c:v>
                </c:pt>
                <c:pt idx="987">
                  <c:v>43242</c:v>
                </c:pt>
                <c:pt idx="988">
                  <c:v>43241</c:v>
                </c:pt>
                <c:pt idx="989">
                  <c:v>43238</c:v>
                </c:pt>
                <c:pt idx="990">
                  <c:v>43237</c:v>
                </c:pt>
                <c:pt idx="991">
                  <c:v>43236</c:v>
                </c:pt>
                <c:pt idx="992">
                  <c:v>43235</c:v>
                </c:pt>
                <c:pt idx="993">
                  <c:v>43234</c:v>
                </c:pt>
                <c:pt idx="994">
                  <c:v>43231</c:v>
                </c:pt>
                <c:pt idx="995">
                  <c:v>43230</c:v>
                </c:pt>
                <c:pt idx="996">
                  <c:v>43229</c:v>
                </c:pt>
                <c:pt idx="997">
                  <c:v>43228</c:v>
                </c:pt>
                <c:pt idx="998">
                  <c:v>43227</c:v>
                </c:pt>
                <c:pt idx="999">
                  <c:v>43224</c:v>
                </c:pt>
                <c:pt idx="1000">
                  <c:v>43223</c:v>
                </c:pt>
                <c:pt idx="1001">
                  <c:v>43222</c:v>
                </c:pt>
                <c:pt idx="1002">
                  <c:v>43221</c:v>
                </c:pt>
                <c:pt idx="1003">
                  <c:v>43220</c:v>
                </c:pt>
                <c:pt idx="1004">
                  <c:v>43217</c:v>
                </c:pt>
                <c:pt idx="1005">
                  <c:v>43216</c:v>
                </c:pt>
                <c:pt idx="1006">
                  <c:v>43215</c:v>
                </c:pt>
                <c:pt idx="1007">
                  <c:v>43214</c:v>
                </c:pt>
                <c:pt idx="1008">
                  <c:v>43213</c:v>
                </c:pt>
                <c:pt idx="1009">
                  <c:v>43210</c:v>
                </c:pt>
                <c:pt idx="1010">
                  <c:v>43209</c:v>
                </c:pt>
                <c:pt idx="1011">
                  <c:v>43208</c:v>
                </c:pt>
                <c:pt idx="1012">
                  <c:v>43207</c:v>
                </c:pt>
                <c:pt idx="1013">
                  <c:v>43206</c:v>
                </c:pt>
                <c:pt idx="1014">
                  <c:v>43203</c:v>
                </c:pt>
                <c:pt idx="1015">
                  <c:v>43202</c:v>
                </c:pt>
                <c:pt idx="1016">
                  <c:v>43201</c:v>
                </c:pt>
                <c:pt idx="1017">
                  <c:v>43200</c:v>
                </c:pt>
                <c:pt idx="1018">
                  <c:v>43199</c:v>
                </c:pt>
                <c:pt idx="1019">
                  <c:v>43196</c:v>
                </c:pt>
                <c:pt idx="1020">
                  <c:v>43195</c:v>
                </c:pt>
                <c:pt idx="1021">
                  <c:v>43194</c:v>
                </c:pt>
                <c:pt idx="1022">
                  <c:v>43193</c:v>
                </c:pt>
                <c:pt idx="1023">
                  <c:v>43192</c:v>
                </c:pt>
                <c:pt idx="1024">
                  <c:v>43188</c:v>
                </c:pt>
                <c:pt idx="1025">
                  <c:v>43187</c:v>
                </c:pt>
                <c:pt idx="1026">
                  <c:v>43186</c:v>
                </c:pt>
                <c:pt idx="1027">
                  <c:v>43185</c:v>
                </c:pt>
                <c:pt idx="1028">
                  <c:v>43182</c:v>
                </c:pt>
                <c:pt idx="1029">
                  <c:v>43181</c:v>
                </c:pt>
                <c:pt idx="1030">
                  <c:v>43180</c:v>
                </c:pt>
                <c:pt idx="1031">
                  <c:v>43179</c:v>
                </c:pt>
                <c:pt idx="1032">
                  <c:v>43178</c:v>
                </c:pt>
                <c:pt idx="1033">
                  <c:v>43175</c:v>
                </c:pt>
                <c:pt idx="1034">
                  <c:v>43174</c:v>
                </c:pt>
                <c:pt idx="1035">
                  <c:v>43173</c:v>
                </c:pt>
                <c:pt idx="1036">
                  <c:v>43172</c:v>
                </c:pt>
                <c:pt idx="1037">
                  <c:v>43171</c:v>
                </c:pt>
                <c:pt idx="1038">
                  <c:v>43168</c:v>
                </c:pt>
                <c:pt idx="1039">
                  <c:v>43167</c:v>
                </c:pt>
                <c:pt idx="1040">
                  <c:v>43166</c:v>
                </c:pt>
                <c:pt idx="1041">
                  <c:v>43165</c:v>
                </c:pt>
                <c:pt idx="1042">
                  <c:v>43164</c:v>
                </c:pt>
                <c:pt idx="1043">
                  <c:v>43161</c:v>
                </c:pt>
                <c:pt idx="1044">
                  <c:v>43160</c:v>
                </c:pt>
                <c:pt idx="1045">
                  <c:v>43159</c:v>
                </c:pt>
                <c:pt idx="1046">
                  <c:v>43158</c:v>
                </c:pt>
                <c:pt idx="1047">
                  <c:v>43157</c:v>
                </c:pt>
                <c:pt idx="1048">
                  <c:v>43154</c:v>
                </c:pt>
                <c:pt idx="1049">
                  <c:v>43153</c:v>
                </c:pt>
                <c:pt idx="1050">
                  <c:v>43152</c:v>
                </c:pt>
                <c:pt idx="1051">
                  <c:v>43151</c:v>
                </c:pt>
                <c:pt idx="1052">
                  <c:v>43147</c:v>
                </c:pt>
                <c:pt idx="1053">
                  <c:v>43146</c:v>
                </c:pt>
                <c:pt idx="1054">
                  <c:v>43145</c:v>
                </c:pt>
                <c:pt idx="1055">
                  <c:v>43144</c:v>
                </c:pt>
                <c:pt idx="1056">
                  <c:v>43143</c:v>
                </c:pt>
                <c:pt idx="1057">
                  <c:v>43140</c:v>
                </c:pt>
                <c:pt idx="1058">
                  <c:v>43139</c:v>
                </c:pt>
                <c:pt idx="1059">
                  <c:v>43138</c:v>
                </c:pt>
                <c:pt idx="1060">
                  <c:v>43137</c:v>
                </c:pt>
                <c:pt idx="1061">
                  <c:v>43136</c:v>
                </c:pt>
                <c:pt idx="1062">
                  <c:v>43133</c:v>
                </c:pt>
                <c:pt idx="1063">
                  <c:v>43132</c:v>
                </c:pt>
                <c:pt idx="1064">
                  <c:v>43131</c:v>
                </c:pt>
                <c:pt idx="1065">
                  <c:v>43130</c:v>
                </c:pt>
                <c:pt idx="1066">
                  <c:v>43129</c:v>
                </c:pt>
                <c:pt idx="1067">
                  <c:v>43126</c:v>
                </c:pt>
                <c:pt idx="1068">
                  <c:v>43125</c:v>
                </c:pt>
                <c:pt idx="1069">
                  <c:v>43124</c:v>
                </c:pt>
                <c:pt idx="1070">
                  <c:v>43123</c:v>
                </c:pt>
                <c:pt idx="1071">
                  <c:v>43122</c:v>
                </c:pt>
                <c:pt idx="1072">
                  <c:v>43119</c:v>
                </c:pt>
                <c:pt idx="1073">
                  <c:v>43118</c:v>
                </c:pt>
                <c:pt idx="1074">
                  <c:v>43117</c:v>
                </c:pt>
                <c:pt idx="1075">
                  <c:v>43116</c:v>
                </c:pt>
                <c:pt idx="1076">
                  <c:v>43112</c:v>
                </c:pt>
                <c:pt idx="1077">
                  <c:v>43111</c:v>
                </c:pt>
                <c:pt idx="1078">
                  <c:v>43110</c:v>
                </c:pt>
                <c:pt idx="1079">
                  <c:v>43109</c:v>
                </c:pt>
                <c:pt idx="1080">
                  <c:v>43108</c:v>
                </c:pt>
                <c:pt idx="1081">
                  <c:v>43105</c:v>
                </c:pt>
                <c:pt idx="1082">
                  <c:v>43104</c:v>
                </c:pt>
                <c:pt idx="1083">
                  <c:v>43103</c:v>
                </c:pt>
                <c:pt idx="1084">
                  <c:v>43102</c:v>
                </c:pt>
                <c:pt idx="1085">
                  <c:v>43098</c:v>
                </c:pt>
                <c:pt idx="1086">
                  <c:v>43097</c:v>
                </c:pt>
                <c:pt idx="1087">
                  <c:v>43096</c:v>
                </c:pt>
                <c:pt idx="1088">
                  <c:v>43095</c:v>
                </c:pt>
                <c:pt idx="1089">
                  <c:v>43091</c:v>
                </c:pt>
                <c:pt idx="1090">
                  <c:v>43090</c:v>
                </c:pt>
                <c:pt idx="1091">
                  <c:v>43089</c:v>
                </c:pt>
                <c:pt idx="1092">
                  <c:v>43088</c:v>
                </c:pt>
                <c:pt idx="1093">
                  <c:v>43087</c:v>
                </c:pt>
                <c:pt idx="1094">
                  <c:v>43084</c:v>
                </c:pt>
                <c:pt idx="1095">
                  <c:v>43083</c:v>
                </c:pt>
                <c:pt idx="1096">
                  <c:v>43082</c:v>
                </c:pt>
                <c:pt idx="1097">
                  <c:v>43081</c:v>
                </c:pt>
                <c:pt idx="1098">
                  <c:v>43080</c:v>
                </c:pt>
                <c:pt idx="1099">
                  <c:v>43077</c:v>
                </c:pt>
                <c:pt idx="1100">
                  <c:v>43076</c:v>
                </c:pt>
                <c:pt idx="1101">
                  <c:v>43075</c:v>
                </c:pt>
                <c:pt idx="1102">
                  <c:v>43074</c:v>
                </c:pt>
                <c:pt idx="1103">
                  <c:v>43073</c:v>
                </c:pt>
                <c:pt idx="1104">
                  <c:v>43070</c:v>
                </c:pt>
                <c:pt idx="1105">
                  <c:v>43069</c:v>
                </c:pt>
                <c:pt idx="1106">
                  <c:v>43068</c:v>
                </c:pt>
                <c:pt idx="1107">
                  <c:v>43067</c:v>
                </c:pt>
                <c:pt idx="1108">
                  <c:v>43066</c:v>
                </c:pt>
                <c:pt idx="1109">
                  <c:v>43063</c:v>
                </c:pt>
                <c:pt idx="1110">
                  <c:v>43061</c:v>
                </c:pt>
                <c:pt idx="1111">
                  <c:v>43060</c:v>
                </c:pt>
                <c:pt idx="1112">
                  <c:v>43059</c:v>
                </c:pt>
                <c:pt idx="1113">
                  <c:v>43056</c:v>
                </c:pt>
                <c:pt idx="1114">
                  <c:v>43055</c:v>
                </c:pt>
                <c:pt idx="1115">
                  <c:v>43054</c:v>
                </c:pt>
                <c:pt idx="1116">
                  <c:v>43053</c:v>
                </c:pt>
                <c:pt idx="1117">
                  <c:v>43052</c:v>
                </c:pt>
                <c:pt idx="1118">
                  <c:v>43049</c:v>
                </c:pt>
                <c:pt idx="1119">
                  <c:v>43048</c:v>
                </c:pt>
                <c:pt idx="1120">
                  <c:v>43047</c:v>
                </c:pt>
                <c:pt idx="1121">
                  <c:v>43046</c:v>
                </c:pt>
                <c:pt idx="1122">
                  <c:v>43045</c:v>
                </c:pt>
                <c:pt idx="1123">
                  <c:v>43042</c:v>
                </c:pt>
                <c:pt idx="1124">
                  <c:v>43041</c:v>
                </c:pt>
                <c:pt idx="1125">
                  <c:v>43040</c:v>
                </c:pt>
                <c:pt idx="1126">
                  <c:v>43039</c:v>
                </c:pt>
                <c:pt idx="1127">
                  <c:v>43038</c:v>
                </c:pt>
                <c:pt idx="1128">
                  <c:v>43035</c:v>
                </c:pt>
                <c:pt idx="1129">
                  <c:v>43034</c:v>
                </c:pt>
                <c:pt idx="1130">
                  <c:v>43033</c:v>
                </c:pt>
                <c:pt idx="1131">
                  <c:v>43032</c:v>
                </c:pt>
                <c:pt idx="1132">
                  <c:v>43031</c:v>
                </c:pt>
                <c:pt idx="1133">
                  <c:v>43028</c:v>
                </c:pt>
                <c:pt idx="1134">
                  <c:v>43027</c:v>
                </c:pt>
                <c:pt idx="1135">
                  <c:v>43026</c:v>
                </c:pt>
                <c:pt idx="1136">
                  <c:v>43025</c:v>
                </c:pt>
                <c:pt idx="1137">
                  <c:v>43024</c:v>
                </c:pt>
                <c:pt idx="1138">
                  <c:v>43021</c:v>
                </c:pt>
                <c:pt idx="1139">
                  <c:v>43020</c:v>
                </c:pt>
                <c:pt idx="1140">
                  <c:v>43019</c:v>
                </c:pt>
                <c:pt idx="1141">
                  <c:v>43018</c:v>
                </c:pt>
                <c:pt idx="1142">
                  <c:v>43017</c:v>
                </c:pt>
                <c:pt idx="1143">
                  <c:v>43014</c:v>
                </c:pt>
                <c:pt idx="1144">
                  <c:v>43013</c:v>
                </c:pt>
                <c:pt idx="1145">
                  <c:v>43012</c:v>
                </c:pt>
                <c:pt idx="1146">
                  <c:v>43011</c:v>
                </c:pt>
                <c:pt idx="1147">
                  <c:v>43010</c:v>
                </c:pt>
                <c:pt idx="1148">
                  <c:v>43007</c:v>
                </c:pt>
                <c:pt idx="1149">
                  <c:v>43006</c:v>
                </c:pt>
                <c:pt idx="1150">
                  <c:v>43005</c:v>
                </c:pt>
                <c:pt idx="1151">
                  <c:v>43004</c:v>
                </c:pt>
                <c:pt idx="1152">
                  <c:v>43003</c:v>
                </c:pt>
                <c:pt idx="1153">
                  <c:v>43000</c:v>
                </c:pt>
                <c:pt idx="1154">
                  <c:v>42999</c:v>
                </c:pt>
                <c:pt idx="1155">
                  <c:v>42998</c:v>
                </c:pt>
                <c:pt idx="1156">
                  <c:v>42997</c:v>
                </c:pt>
                <c:pt idx="1157">
                  <c:v>42996</c:v>
                </c:pt>
                <c:pt idx="1158">
                  <c:v>42993</c:v>
                </c:pt>
                <c:pt idx="1159">
                  <c:v>42992</c:v>
                </c:pt>
                <c:pt idx="1160">
                  <c:v>42991</c:v>
                </c:pt>
                <c:pt idx="1161">
                  <c:v>42990</c:v>
                </c:pt>
                <c:pt idx="1162">
                  <c:v>42989</c:v>
                </c:pt>
                <c:pt idx="1163">
                  <c:v>42986</c:v>
                </c:pt>
                <c:pt idx="1164">
                  <c:v>42985</c:v>
                </c:pt>
                <c:pt idx="1165">
                  <c:v>42984</c:v>
                </c:pt>
                <c:pt idx="1166">
                  <c:v>42983</c:v>
                </c:pt>
                <c:pt idx="1167">
                  <c:v>42979</c:v>
                </c:pt>
                <c:pt idx="1168">
                  <c:v>42978</c:v>
                </c:pt>
                <c:pt idx="1169">
                  <c:v>42977</c:v>
                </c:pt>
                <c:pt idx="1170">
                  <c:v>42976</c:v>
                </c:pt>
                <c:pt idx="1171">
                  <c:v>42975</c:v>
                </c:pt>
                <c:pt idx="1172">
                  <c:v>42972</c:v>
                </c:pt>
                <c:pt idx="1173">
                  <c:v>42971</c:v>
                </c:pt>
                <c:pt idx="1174">
                  <c:v>42970</c:v>
                </c:pt>
                <c:pt idx="1175">
                  <c:v>42969</c:v>
                </c:pt>
                <c:pt idx="1176">
                  <c:v>42968</c:v>
                </c:pt>
                <c:pt idx="1177">
                  <c:v>42965</c:v>
                </c:pt>
                <c:pt idx="1178">
                  <c:v>42964</c:v>
                </c:pt>
                <c:pt idx="1179">
                  <c:v>42963</c:v>
                </c:pt>
                <c:pt idx="1180">
                  <c:v>42962</c:v>
                </c:pt>
                <c:pt idx="1181">
                  <c:v>42961</c:v>
                </c:pt>
                <c:pt idx="1182">
                  <c:v>42958</c:v>
                </c:pt>
                <c:pt idx="1183">
                  <c:v>42957</c:v>
                </c:pt>
                <c:pt idx="1184">
                  <c:v>42956</c:v>
                </c:pt>
                <c:pt idx="1185">
                  <c:v>42955</c:v>
                </c:pt>
                <c:pt idx="1186">
                  <c:v>42954</c:v>
                </c:pt>
                <c:pt idx="1187">
                  <c:v>42951</c:v>
                </c:pt>
                <c:pt idx="1188">
                  <c:v>42950</c:v>
                </c:pt>
                <c:pt idx="1189">
                  <c:v>42949</c:v>
                </c:pt>
                <c:pt idx="1190">
                  <c:v>42948</c:v>
                </c:pt>
                <c:pt idx="1191">
                  <c:v>42947</c:v>
                </c:pt>
                <c:pt idx="1192">
                  <c:v>42944</c:v>
                </c:pt>
                <c:pt idx="1193">
                  <c:v>42943</c:v>
                </c:pt>
                <c:pt idx="1194">
                  <c:v>42942</c:v>
                </c:pt>
                <c:pt idx="1195">
                  <c:v>42941</c:v>
                </c:pt>
                <c:pt idx="1196">
                  <c:v>42940</c:v>
                </c:pt>
                <c:pt idx="1197">
                  <c:v>42937</c:v>
                </c:pt>
                <c:pt idx="1198">
                  <c:v>42936</c:v>
                </c:pt>
                <c:pt idx="1199">
                  <c:v>42935</c:v>
                </c:pt>
                <c:pt idx="1200">
                  <c:v>42934</c:v>
                </c:pt>
                <c:pt idx="1201">
                  <c:v>42933</c:v>
                </c:pt>
                <c:pt idx="1202">
                  <c:v>42930</c:v>
                </c:pt>
                <c:pt idx="1203">
                  <c:v>42929</c:v>
                </c:pt>
                <c:pt idx="1204">
                  <c:v>42928</c:v>
                </c:pt>
                <c:pt idx="1205">
                  <c:v>42927</c:v>
                </c:pt>
                <c:pt idx="1206">
                  <c:v>42926</c:v>
                </c:pt>
                <c:pt idx="1207">
                  <c:v>42923</c:v>
                </c:pt>
                <c:pt idx="1208">
                  <c:v>42922</c:v>
                </c:pt>
                <c:pt idx="1209">
                  <c:v>42921</c:v>
                </c:pt>
                <c:pt idx="1210">
                  <c:v>42919</c:v>
                </c:pt>
                <c:pt idx="1211">
                  <c:v>42916</c:v>
                </c:pt>
                <c:pt idx="1212">
                  <c:v>42915</c:v>
                </c:pt>
                <c:pt idx="1213">
                  <c:v>42914</c:v>
                </c:pt>
                <c:pt idx="1214">
                  <c:v>42913</c:v>
                </c:pt>
                <c:pt idx="1215">
                  <c:v>42912</c:v>
                </c:pt>
                <c:pt idx="1216">
                  <c:v>42909</c:v>
                </c:pt>
                <c:pt idx="1217">
                  <c:v>42908</c:v>
                </c:pt>
                <c:pt idx="1218">
                  <c:v>42907</c:v>
                </c:pt>
                <c:pt idx="1219">
                  <c:v>42906</c:v>
                </c:pt>
                <c:pt idx="1220">
                  <c:v>42905</c:v>
                </c:pt>
                <c:pt idx="1221">
                  <c:v>42902</c:v>
                </c:pt>
                <c:pt idx="1222">
                  <c:v>42901</c:v>
                </c:pt>
                <c:pt idx="1223">
                  <c:v>42900</c:v>
                </c:pt>
                <c:pt idx="1224">
                  <c:v>42899</c:v>
                </c:pt>
                <c:pt idx="1225">
                  <c:v>42898</c:v>
                </c:pt>
                <c:pt idx="1226">
                  <c:v>42895</c:v>
                </c:pt>
                <c:pt idx="1227">
                  <c:v>42894</c:v>
                </c:pt>
                <c:pt idx="1228">
                  <c:v>42893</c:v>
                </c:pt>
                <c:pt idx="1229">
                  <c:v>42892</c:v>
                </c:pt>
                <c:pt idx="1230">
                  <c:v>42891</c:v>
                </c:pt>
                <c:pt idx="1231">
                  <c:v>42888</c:v>
                </c:pt>
                <c:pt idx="1232">
                  <c:v>42887</c:v>
                </c:pt>
                <c:pt idx="1233">
                  <c:v>42886</c:v>
                </c:pt>
                <c:pt idx="1234">
                  <c:v>42885</c:v>
                </c:pt>
                <c:pt idx="1235">
                  <c:v>42881</c:v>
                </c:pt>
                <c:pt idx="1236">
                  <c:v>42880</c:v>
                </c:pt>
                <c:pt idx="1237">
                  <c:v>42879</c:v>
                </c:pt>
                <c:pt idx="1238">
                  <c:v>42878</c:v>
                </c:pt>
                <c:pt idx="1239">
                  <c:v>42877</c:v>
                </c:pt>
                <c:pt idx="1240">
                  <c:v>42874</c:v>
                </c:pt>
                <c:pt idx="1241">
                  <c:v>42873</c:v>
                </c:pt>
                <c:pt idx="1242">
                  <c:v>42872</c:v>
                </c:pt>
                <c:pt idx="1243">
                  <c:v>42871</c:v>
                </c:pt>
                <c:pt idx="1244">
                  <c:v>42870</c:v>
                </c:pt>
                <c:pt idx="1245">
                  <c:v>42867</c:v>
                </c:pt>
                <c:pt idx="1246">
                  <c:v>42866</c:v>
                </c:pt>
                <c:pt idx="1247">
                  <c:v>42865</c:v>
                </c:pt>
                <c:pt idx="1248">
                  <c:v>42864</c:v>
                </c:pt>
                <c:pt idx="1249">
                  <c:v>42863</c:v>
                </c:pt>
                <c:pt idx="1250">
                  <c:v>42860</c:v>
                </c:pt>
                <c:pt idx="1251">
                  <c:v>42859</c:v>
                </c:pt>
                <c:pt idx="1252">
                  <c:v>42858</c:v>
                </c:pt>
                <c:pt idx="1253">
                  <c:v>42857</c:v>
                </c:pt>
                <c:pt idx="1254">
                  <c:v>42856</c:v>
                </c:pt>
                <c:pt idx="1255">
                  <c:v>42853</c:v>
                </c:pt>
                <c:pt idx="1256">
                  <c:v>42852</c:v>
                </c:pt>
                <c:pt idx="1257">
                  <c:v>42851</c:v>
                </c:pt>
                <c:pt idx="1258">
                  <c:v>42850</c:v>
                </c:pt>
                <c:pt idx="1259">
                  <c:v>42849</c:v>
                </c:pt>
              </c:numCache>
            </c:numRef>
          </c:cat>
          <c:val>
            <c:numRef>
              <c:f>Historicos!$E$2:$E$1261</c:f>
              <c:numCache>
                <c:formatCode>0.00%</c:formatCode>
                <c:ptCount val="1260"/>
                <c:pt idx="0">
                  <c:v>-0.1110927970990605</c:v>
                </c:pt>
                <c:pt idx="1">
                  <c:v>-8.5654634360749382E-2</c:v>
                </c:pt>
                <c:pt idx="2">
                  <c:v>-8.1204329432448819E-2</c:v>
                </c:pt>
                <c:pt idx="3">
                  <c:v>-8.0270314817867061E-2</c:v>
                </c:pt>
                <c:pt idx="4">
                  <c:v>-9.3071809241250469E-2</c:v>
                </c:pt>
                <c:pt idx="5">
                  <c:v>-9.1863084445909515E-2</c:v>
                </c:pt>
                <c:pt idx="6">
                  <c:v>-6.3787703972309151E-2</c:v>
                </c:pt>
                <c:pt idx="7">
                  <c:v>-7.8841821877918772E-2</c:v>
                </c:pt>
                <c:pt idx="8">
                  <c:v>-8.9335750782923995E-2</c:v>
                </c:pt>
                <c:pt idx="9">
                  <c:v>-6.5490907093016748E-2</c:v>
                </c:pt>
                <c:pt idx="10">
                  <c:v>-5.4227789681885685E-2</c:v>
                </c:pt>
                <c:pt idx="11">
                  <c:v>-5.5930992802593171E-2</c:v>
                </c:pt>
                <c:pt idx="12">
                  <c:v>-3.8184715125542446E-2</c:v>
                </c:pt>
                <c:pt idx="13">
                  <c:v>-1.9614306906213907E-2</c:v>
                </c:pt>
                <c:pt idx="14">
                  <c:v>-4.2305367836931951E-2</c:v>
                </c:pt>
                <c:pt idx="15">
                  <c:v>-4.0657106752376104E-2</c:v>
                </c:pt>
                <c:pt idx="16">
                  <c:v>-2.3295423328388409E-2</c:v>
                </c:pt>
                <c:pt idx="17">
                  <c:v>-1.6757321026317107E-2</c:v>
                </c:pt>
                <c:pt idx="18">
                  <c:v>-3.5217845173342144E-2</c:v>
                </c:pt>
                <c:pt idx="19">
                  <c:v>-4.0052744354705738E-2</c:v>
                </c:pt>
                <c:pt idx="20">
                  <c:v>-4.3623976704576628E-2</c:v>
                </c:pt>
                <c:pt idx="21">
                  <c:v>-6.4831602659194409E-2</c:v>
                </c:pt>
                <c:pt idx="22">
                  <c:v>-7.2468545684303054E-2</c:v>
                </c:pt>
                <c:pt idx="23">
                  <c:v>-9.1368606120542761E-2</c:v>
                </c:pt>
                <c:pt idx="24">
                  <c:v>-9.9060491181803156E-2</c:v>
                </c:pt>
                <c:pt idx="25">
                  <c:v>-0.11752101532882797</c:v>
                </c:pt>
                <c:pt idx="26">
                  <c:v>-0.1231800450524696</c:v>
                </c:pt>
                <c:pt idx="27">
                  <c:v>-0.14790396132080652</c:v>
                </c:pt>
                <c:pt idx="28">
                  <c:v>-0.17246305148068786</c:v>
                </c:pt>
                <c:pt idx="29">
                  <c:v>-0.14988187462227354</c:v>
                </c:pt>
                <c:pt idx="30">
                  <c:v>-0.12905884292071856</c:v>
                </c:pt>
                <c:pt idx="31">
                  <c:v>-0.10471952090544479</c:v>
                </c:pt>
                <c:pt idx="32">
                  <c:v>-0.1349925828251195</c:v>
                </c:pt>
                <c:pt idx="33">
                  <c:v>-0.12477336410087347</c:v>
                </c:pt>
                <c:pt idx="34">
                  <c:v>-0.10351079611010383</c:v>
                </c:pt>
                <c:pt idx="35">
                  <c:v>-8.6698533047634752E-2</c:v>
                </c:pt>
                <c:pt idx="36">
                  <c:v>-8.488544585462332E-2</c:v>
                </c:pt>
                <c:pt idx="37">
                  <c:v>-0.10334597000164825</c:v>
                </c:pt>
                <c:pt idx="38">
                  <c:v>-9.2797099060491162E-2</c:v>
                </c:pt>
                <c:pt idx="39">
                  <c:v>-9.4280534036591424E-2</c:v>
                </c:pt>
                <c:pt idx="40">
                  <c:v>-0.10587330366463377</c:v>
                </c:pt>
                <c:pt idx="41">
                  <c:v>-0.12054282731718036</c:v>
                </c:pt>
                <c:pt idx="42">
                  <c:v>-9.7192461952639975E-2</c:v>
                </c:pt>
                <c:pt idx="43">
                  <c:v>-8.0819735179385677E-2</c:v>
                </c:pt>
                <c:pt idx="44">
                  <c:v>-7.2138893467391885E-2</c:v>
                </c:pt>
                <c:pt idx="45">
                  <c:v>-5.1975166199659251E-2</c:v>
                </c:pt>
                <c:pt idx="46">
                  <c:v>-5.0656557332014684E-2</c:v>
                </c:pt>
                <c:pt idx="47">
                  <c:v>-7.2138893467391885E-2</c:v>
                </c:pt>
                <c:pt idx="48">
                  <c:v>-7.3457502335036562E-2</c:v>
                </c:pt>
                <c:pt idx="49">
                  <c:v>-5.4337673754189297E-2</c:v>
                </c:pt>
                <c:pt idx="50">
                  <c:v>-3.1481786715015558E-2</c:v>
                </c:pt>
                <c:pt idx="51">
                  <c:v>-3.9448381957035261E-2</c:v>
                </c:pt>
                <c:pt idx="52">
                  <c:v>-5.6865007417174818E-2</c:v>
                </c:pt>
                <c:pt idx="53">
                  <c:v>-5.2854238778089146E-2</c:v>
                </c:pt>
                <c:pt idx="54">
                  <c:v>-5.0052194934344207E-2</c:v>
                </c:pt>
                <c:pt idx="55">
                  <c:v>-3.3899236305697467E-2</c:v>
                </c:pt>
                <c:pt idx="56">
                  <c:v>-4.0657106752376104E-2</c:v>
                </c:pt>
                <c:pt idx="57">
                  <c:v>-3.9723092137794569E-2</c:v>
                </c:pt>
                <c:pt idx="58">
                  <c:v>-6.4172298225372071E-2</c:v>
                </c:pt>
                <c:pt idx="59">
                  <c:v>-0.12521290039008837</c:v>
                </c:pt>
                <c:pt idx="60">
                  <c:v>-0.12263062469095098</c:v>
                </c:pt>
                <c:pt idx="61">
                  <c:v>-0.12213614636558423</c:v>
                </c:pt>
                <c:pt idx="62">
                  <c:v>-0.11202681171364204</c:v>
                </c:pt>
                <c:pt idx="63">
                  <c:v>-0.1076863908576452</c:v>
                </c:pt>
                <c:pt idx="64">
                  <c:v>-9.6148563265754605E-2</c:v>
                </c:pt>
                <c:pt idx="65">
                  <c:v>-8.6698533047634752E-2</c:v>
                </c:pt>
                <c:pt idx="66">
                  <c:v>-6.7084226141420733E-2</c:v>
                </c:pt>
                <c:pt idx="67">
                  <c:v>-4.9118180319762672E-2</c:v>
                </c:pt>
                <c:pt idx="68">
                  <c:v>-5.3953079501126266E-2</c:v>
                </c:pt>
                <c:pt idx="69">
                  <c:v>-3.5602439426405064E-2</c:v>
                </c:pt>
                <c:pt idx="70">
                  <c:v>-3.8074831053238722E-2</c:v>
                </c:pt>
                <c:pt idx="71">
                  <c:v>-5.3953079501126266E-2</c:v>
                </c:pt>
                <c:pt idx="72">
                  <c:v>-5.4062963573430101E-2</c:v>
                </c:pt>
                <c:pt idx="73">
                  <c:v>-5.4996978188011636E-2</c:v>
                </c:pt>
                <c:pt idx="74">
                  <c:v>-3.8953903631668618E-2</c:v>
                </c:pt>
                <c:pt idx="75">
                  <c:v>-1.2691610351079574E-2</c:v>
                </c:pt>
                <c:pt idx="76">
                  <c:v>0</c:v>
                </c:pt>
                <c:pt idx="77">
                  <c:v>-1.5305273664947716E-2</c:v>
                </c:pt>
                <c:pt idx="78">
                  <c:v>-1.1811678589253138E-2</c:v>
                </c:pt>
                <c:pt idx="79">
                  <c:v>-5.268119558587081E-3</c:v>
                </c:pt>
                <c:pt idx="80">
                  <c:v>-5.767204569400608E-3</c:v>
                </c:pt>
                <c:pt idx="81">
                  <c:v>0</c:v>
                </c:pt>
                <c:pt idx="82">
                  <c:v>-1.7665087768180432E-2</c:v>
                </c:pt>
                <c:pt idx="83">
                  <c:v>-2.123154081916967E-2</c:v>
                </c:pt>
                <c:pt idx="84">
                  <c:v>-3.599888548342145E-2</c:v>
                </c:pt>
                <c:pt idx="85">
                  <c:v>-5.4054054054053946E-2</c:v>
                </c:pt>
                <c:pt idx="86">
                  <c:v>-4.6308163833937099E-2</c:v>
                </c:pt>
                <c:pt idx="87">
                  <c:v>-4.0066870994706072E-2</c:v>
                </c:pt>
                <c:pt idx="88">
                  <c:v>-8.3588743382545516E-4</c:v>
                </c:pt>
                <c:pt idx="89">
                  <c:v>-2.8531624407912903E-2</c:v>
                </c:pt>
                <c:pt idx="90">
                  <c:v>-2.0674282529952515E-2</c:v>
                </c:pt>
                <c:pt idx="91">
                  <c:v>0</c:v>
                </c:pt>
                <c:pt idx="92">
                  <c:v>-2.970070824765858E-3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-2.0931639443436234E-2</c:v>
                </c:pt>
                <c:pt idx="97">
                  <c:v>-9.3163944343619409E-3</c:v>
                </c:pt>
                <c:pt idx="98">
                  <c:v>-3.2062915910465728E-3</c:v>
                </c:pt>
                <c:pt idx="99">
                  <c:v>0</c:v>
                </c:pt>
                <c:pt idx="100">
                  <c:v>-1.0497715203161562E-2</c:v>
                </c:pt>
                <c:pt idx="101">
                  <c:v>-3.1678399407187863E-2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-2.0422490267406945E-2</c:v>
                </c:pt>
                <c:pt idx="108">
                  <c:v>-3.6313740506732972E-2</c:v>
                </c:pt>
                <c:pt idx="109">
                  <c:v>-4.2695768715297677E-2</c:v>
                </c:pt>
                <c:pt idx="110">
                  <c:v>-4.2759588997383302E-2</c:v>
                </c:pt>
                <c:pt idx="111">
                  <c:v>-5.6289488799540432E-2</c:v>
                </c:pt>
                <c:pt idx="112">
                  <c:v>-5.5970387389112308E-2</c:v>
                </c:pt>
                <c:pt idx="113">
                  <c:v>-3.7526325866360288E-2</c:v>
                </c:pt>
                <c:pt idx="114">
                  <c:v>-3.9887676303529296E-2</c:v>
                </c:pt>
                <c:pt idx="115">
                  <c:v>-3.4526772608334921E-2</c:v>
                </c:pt>
                <c:pt idx="116">
                  <c:v>-3.6569021635075583E-2</c:v>
                </c:pt>
                <c:pt idx="117">
                  <c:v>-3.3186546684536244E-2</c:v>
                </c:pt>
                <c:pt idx="118">
                  <c:v>-4.2568128151126317E-2</c:v>
                </c:pt>
                <c:pt idx="119">
                  <c:v>-4.9333078052204882E-2</c:v>
                </c:pt>
                <c:pt idx="120">
                  <c:v>-4.3972174357010618E-2</c:v>
                </c:pt>
                <c:pt idx="121">
                  <c:v>-2.6293956219286541E-2</c:v>
                </c:pt>
                <c:pt idx="122">
                  <c:v>-5.0035101155147088E-2</c:v>
                </c:pt>
                <c:pt idx="123">
                  <c:v>-4.7035547897121721E-2</c:v>
                </c:pt>
                <c:pt idx="124">
                  <c:v>-5.1375327078945765E-2</c:v>
                </c:pt>
                <c:pt idx="125">
                  <c:v>-5.1056225668517419E-2</c:v>
                </c:pt>
                <c:pt idx="126">
                  <c:v>-4.6014423383751391E-2</c:v>
                </c:pt>
                <c:pt idx="127">
                  <c:v>-4.7418469589635581E-2</c:v>
                </c:pt>
                <c:pt idx="128">
                  <c:v>-5.0609483693917934E-2</c:v>
                </c:pt>
                <c:pt idx="129">
                  <c:v>-6.4713766034845799E-2</c:v>
                </c:pt>
                <c:pt idx="130">
                  <c:v>-7.5627034271491422E-2</c:v>
                </c:pt>
                <c:pt idx="131">
                  <c:v>-8.2519624736741348E-2</c:v>
                </c:pt>
                <c:pt idx="132">
                  <c:v>-0.10070840513115065</c:v>
                </c:pt>
                <c:pt idx="133">
                  <c:v>-9.6879188206011935E-2</c:v>
                </c:pt>
                <c:pt idx="134">
                  <c:v>-8.8582551534877707E-2</c:v>
                </c:pt>
                <c:pt idx="135">
                  <c:v>-8.8008168996106861E-2</c:v>
                </c:pt>
                <c:pt idx="136">
                  <c:v>-8.5519177994766826E-2</c:v>
                </c:pt>
                <c:pt idx="137">
                  <c:v>-9.3751994383815207E-2</c:v>
                </c:pt>
                <c:pt idx="138">
                  <c:v>-9.9431999489437595E-2</c:v>
                </c:pt>
                <c:pt idx="139">
                  <c:v>-0.11200459506031024</c:v>
                </c:pt>
                <c:pt idx="140">
                  <c:v>-8.9603676048248038E-2</c:v>
                </c:pt>
                <c:pt idx="141">
                  <c:v>-9.694300848809756E-2</c:v>
                </c:pt>
                <c:pt idx="142">
                  <c:v>-8.8454910970706346E-2</c:v>
                </c:pt>
                <c:pt idx="143">
                  <c:v>-9.4326376922586053E-2</c:v>
                </c:pt>
                <c:pt idx="144">
                  <c:v>-7.2244559320952195E-2</c:v>
                </c:pt>
                <c:pt idx="145">
                  <c:v>-6.2352415597677013E-2</c:v>
                </c:pt>
                <c:pt idx="146">
                  <c:v>-6.2926798136447637E-2</c:v>
                </c:pt>
                <c:pt idx="147">
                  <c:v>-6.9181185780841203E-2</c:v>
                </c:pt>
                <c:pt idx="148">
                  <c:v>-8.4625694045567634E-2</c:v>
                </c:pt>
                <c:pt idx="149">
                  <c:v>-8.7752887867764362E-2</c:v>
                </c:pt>
                <c:pt idx="150">
                  <c:v>-6.7840959857042527E-2</c:v>
                </c:pt>
                <c:pt idx="151">
                  <c:v>-5.0418022847661059E-2</c:v>
                </c:pt>
                <c:pt idx="152">
                  <c:v>-4.8886336077605397E-2</c:v>
                </c:pt>
                <c:pt idx="153">
                  <c:v>-5.4693981747399256E-2</c:v>
                </c:pt>
                <c:pt idx="154">
                  <c:v>-4.5567681409151795E-2</c:v>
                </c:pt>
                <c:pt idx="155">
                  <c:v>-4.9269257770119368E-2</c:v>
                </c:pt>
                <c:pt idx="156">
                  <c:v>-1.6720913906439483E-2</c:v>
                </c:pt>
                <c:pt idx="157">
                  <c:v>-1.0083604569532056E-2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-3.9838035527691718E-3</c:v>
                </c:pt>
                <c:pt idx="162">
                  <c:v>-8.4247648902820993E-3</c:v>
                </c:pt>
                <c:pt idx="163">
                  <c:v>0</c:v>
                </c:pt>
                <c:pt idx="164">
                  <c:v>-1.6675489677077882E-2</c:v>
                </c:pt>
                <c:pt idx="165">
                  <c:v>-2.3689782953943972E-2</c:v>
                </c:pt>
                <c:pt idx="166">
                  <c:v>-1.8263631551085124E-2</c:v>
                </c:pt>
                <c:pt idx="167">
                  <c:v>-9.9258867125463501E-3</c:v>
                </c:pt>
                <c:pt idx="168">
                  <c:v>-9.3303335097935092E-3</c:v>
                </c:pt>
                <c:pt idx="169">
                  <c:v>-1.9388565378507194E-2</c:v>
                </c:pt>
                <c:pt idx="170">
                  <c:v>-2.9248279512969932E-2</c:v>
                </c:pt>
                <c:pt idx="171">
                  <c:v>-3.1498147167813628E-2</c:v>
                </c:pt>
                <c:pt idx="172">
                  <c:v>-6.1540497617788015E-3</c:v>
                </c:pt>
                <c:pt idx="173">
                  <c:v>0</c:v>
                </c:pt>
                <c:pt idx="174">
                  <c:v>-3.352329869259485E-4</c:v>
                </c:pt>
                <c:pt idx="175">
                  <c:v>-1.7432115320148434E-3</c:v>
                </c:pt>
                <c:pt idx="176">
                  <c:v>-2.2058330539725057E-2</c:v>
                </c:pt>
                <c:pt idx="177">
                  <c:v>-2.3801542071739901E-2</c:v>
                </c:pt>
                <c:pt idx="178">
                  <c:v>-2.0516258799865961E-2</c:v>
                </c:pt>
                <c:pt idx="179">
                  <c:v>-2.0181025812940123E-2</c:v>
                </c:pt>
                <c:pt idx="180">
                  <c:v>-1.4012738853503182E-2</c:v>
                </c:pt>
                <c:pt idx="181">
                  <c:v>-1.475025142474029E-2</c:v>
                </c:pt>
                <c:pt idx="182">
                  <c:v>-1.2001340931947602E-2</c:v>
                </c:pt>
                <c:pt idx="183">
                  <c:v>-2.4337914850821263E-2</c:v>
                </c:pt>
                <c:pt idx="184">
                  <c:v>-2.2058330539725057E-2</c:v>
                </c:pt>
                <c:pt idx="185">
                  <c:v>-2.3533355682199275E-2</c:v>
                </c:pt>
                <c:pt idx="186">
                  <c:v>-2.7958431109621262E-2</c:v>
                </c:pt>
                <c:pt idx="187">
                  <c:v>-1.5957090177673439E-2</c:v>
                </c:pt>
                <c:pt idx="188">
                  <c:v>-1.0727455581629464E-3</c:v>
                </c:pt>
                <c:pt idx="189">
                  <c:v>-3.955749245725837E-3</c:v>
                </c:pt>
                <c:pt idx="190">
                  <c:v>-1.5755950385517914E-2</c:v>
                </c:pt>
                <c:pt idx="191">
                  <c:v>-2.5142474019443473E-2</c:v>
                </c:pt>
                <c:pt idx="192">
                  <c:v>-2.01139792155548E-2</c:v>
                </c:pt>
                <c:pt idx="193">
                  <c:v>-4.4921220248072546E-2</c:v>
                </c:pt>
                <c:pt idx="194">
                  <c:v>-1.8504860878310603E-2</c:v>
                </c:pt>
                <c:pt idx="195">
                  <c:v>-4.4921220248073102E-3</c:v>
                </c:pt>
                <c:pt idx="196">
                  <c:v>0</c:v>
                </c:pt>
                <c:pt idx="197">
                  <c:v>0</c:v>
                </c:pt>
                <c:pt idx="198">
                  <c:v>-4.2037075322169937E-3</c:v>
                </c:pt>
                <c:pt idx="199">
                  <c:v>0</c:v>
                </c:pt>
                <c:pt idx="200">
                  <c:v>-9.1996956491663395E-3</c:v>
                </c:pt>
                <c:pt idx="201">
                  <c:v>0</c:v>
                </c:pt>
                <c:pt idx="202">
                  <c:v>-7.9631181894382896E-3</c:v>
                </c:pt>
                <c:pt idx="203">
                  <c:v>-2.2352612461581378E-2</c:v>
                </c:pt>
                <c:pt idx="204">
                  <c:v>-4.1142777312098255E-2</c:v>
                </c:pt>
                <c:pt idx="205">
                  <c:v>-4.3308186644314017E-2</c:v>
                </c:pt>
                <c:pt idx="206">
                  <c:v>-4.7708857222687806E-2</c:v>
                </c:pt>
                <c:pt idx="207">
                  <c:v>-5.8535903883766394E-2</c:v>
                </c:pt>
                <c:pt idx="208">
                  <c:v>-7.0201173512154158E-2</c:v>
                </c:pt>
                <c:pt idx="209">
                  <c:v>-6.8105616093880994E-2</c:v>
                </c:pt>
                <c:pt idx="210">
                  <c:v>-6.6079910589550206E-2</c:v>
                </c:pt>
                <c:pt idx="211">
                  <c:v>-6.4124056999161794E-2</c:v>
                </c:pt>
                <c:pt idx="212">
                  <c:v>-7.5859178541491934E-2</c:v>
                </c:pt>
                <c:pt idx="213">
                  <c:v>-8.871193070690131E-2</c:v>
                </c:pt>
                <c:pt idx="214">
                  <c:v>-7.9421626152556657E-2</c:v>
                </c:pt>
                <c:pt idx="215">
                  <c:v>-9.0877340039116961E-2</c:v>
                </c:pt>
                <c:pt idx="216">
                  <c:v>-9.4439787650181684E-2</c:v>
                </c:pt>
                <c:pt idx="217">
                  <c:v>-8.8572226879016558E-2</c:v>
                </c:pt>
                <c:pt idx="218">
                  <c:v>-0.11043587594300086</c:v>
                </c:pt>
                <c:pt idx="219">
                  <c:v>-0.11909751327186369</c:v>
                </c:pt>
                <c:pt idx="220">
                  <c:v>-0.11197261804973457</c:v>
                </c:pt>
                <c:pt idx="221">
                  <c:v>-0.11469684269348979</c:v>
                </c:pt>
                <c:pt idx="222">
                  <c:v>-0.12056440346465491</c:v>
                </c:pt>
                <c:pt idx="223">
                  <c:v>-0.1206342553785974</c:v>
                </c:pt>
                <c:pt idx="224">
                  <c:v>-0.13704945515507116</c:v>
                </c:pt>
                <c:pt idx="225">
                  <c:v>-0.12643196423582004</c:v>
                </c:pt>
                <c:pt idx="226">
                  <c:v>-0.13188041352333046</c:v>
                </c:pt>
                <c:pt idx="227">
                  <c:v>-0.12957530036322995</c:v>
                </c:pt>
                <c:pt idx="228">
                  <c:v>-0.12489522212908633</c:v>
                </c:pt>
                <c:pt idx="229">
                  <c:v>-0.11392847164012299</c:v>
                </c:pt>
                <c:pt idx="230">
                  <c:v>-0.11357921207041066</c:v>
                </c:pt>
                <c:pt idx="231">
                  <c:v>-0.11218217379156192</c:v>
                </c:pt>
                <c:pt idx="232">
                  <c:v>-0.12384744341994969</c:v>
                </c:pt>
                <c:pt idx="233">
                  <c:v>-0.11071528359877059</c:v>
                </c:pt>
                <c:pt idx="234">
                  <c:v>-0.12901648505169039</c:v>
                </c:pt>
                <c:pt idx="235">
                  <c:v>-0.12789885442861137</c:v>
                </c:pt>
                <c:pt idx="236">
                  <c:v>-0.11797988264878456</c:v>
                </c:pt>
                <c:pt idx="237">
                  <c:v>-0.10973735680357632</c:v>
                </c:pt>
                <c:pt idx="238">
                  <c:v>-0.12706063146130198</c:v>
                </c:pt>
                <c:pt idx="239">
                  <c:v>-0.14242805252863933</c:v>
                </c:pt>
                <c:pt idx="240">
                  <c:v>-0.12049455155071254</c:v>
                </c:pt>
                <c:pt idx="241">
                  <c:v>-0.11392847164012299</c:v>
                </c:pt>
                <c:pt idx="242">
                  <c:v>-9.0458228555462372E-2</c:v>
                </c:pt>
                <c:pt idx="243">
                  <c:v>-9.3741268510757148E-2</c:v>
                </c:pt>
                <c:pt idx="244">
                  <c:v>-0.10519698239731767</c:v>
                </c:pt>
                <c:pt idx="245">
                  <c:v>-0.10694328024587874</c:v>
                </c:pt>
                <c:pt idx="246">
                  <c:v>-7.4182732606873469E-2</c:v>
                </c:pt>
                <c:pt idx="247">
                  <c:v>-8.172673931265706E-2</c:v>
                </c:pt>
                <c:pt idx="248">
                  <c:v>-6.7616652696283919E-2</c:v>
                </c:pt>
                <c:pt idx="249">
                  <c:v>-6.6918133556859383E-2</c:v>
                </c:pt>
                <c:pt idx="250">
                  <c:v>-6.1260128527521718E-2</c:v>
                </c:pt>
                <c:pt idx="251">
                  <c:v>-5.8955015367421093E-2</c:v>
                </c:pt>
                <c:pt idx="252">
                  <c:v>-6.1749091925118793E-2</c:v>
                </c:pt>
                <c:pt idx="253">
                  <c:v>-7.8373847443419908E-2</c:v>
                </c:pt>
                <c:pt idx="254">
                  <c:v>-6.7476948868398945E-2</c:v>
                </c:pt>
                <c:pt idx="255">
                  <c:v>-7.0201173512154158E-2</c:v>
                </c:pt>
                <c:pt idx="256">
                  <c:v>-5.8116792400111694E-2</c:v>
                </c:pt>
                <c:pt idx="257">
                  <c:v>-6.2866722548197806E-2</c:v>
                </c:pt>
                <c:pt idx="258">
                  <c:v>-6.0491757474154806E-2</c:v>
                </c:pt>
                <c:pt idx="259">
                  <c:v>-7.774518021793797E-2</c:v>
                </c:pt>
                <c:pt idx="260">
                  <c:v>-6.098072087175177E-2</c:v>
                </c:pt>
                <c:pt idx="261">
                  <c:v>-8.3263481419390772E-2</c:v>
                </c:pt>
                <c:pt idx="262">
                  <c:v>-7.096954456552107E-2</c:v>
                </c:pt>
                <c:pt idx="263">
                  <c:v>-8.9410449846325624E-2</c:v>
                </c:pt>
                <c:pt idx="264">
                  <c:v>-0.10659402067616641</c:v>
                </c:pt>
                <c:pt idx="265">
                  <c:v>-0.11839899413243926</c:v>
                </c:pt>
                <c:pt idx="266">
                  <c:v>-0.12056440346465491</c:v>
                </c:pt>
                <c:pt idx="267">
                  <c:v>-0.14082145850796313</c:v>
                </c:pt>
                <c:pt idx="268">
                  <c:v>-0.14675887119307063</c:v>
                </c:pt>
                <c:pt idx="269">
                  <c:v>-0.16247555183012008</c:v>
                </c:pt>
                <c:pt idx="270">
                  <c:v>-0.1520676166526963</c:v>
                </c:pt>
                <c:pt idx="271">
                  <c:v>-0.15332495110366029</c:v>
                </c:pt>
                <c:pt idx="272">
                  <c:v>-0.15765576976809159</c:v>
                </c:pt>
                <c:pt idx="273">
                  <c:v>-0.16114836546521372</c:v>
                </c:pt>
                <c:pt idx="274">
                  <c:v>-0.14403464654931541</c:v>
                </c:pt>
                <c:pt idx="275">
                  <c:v>-0.1380972338642078</c:v>
                </c:pt>
                <c:pt idx="276">
                  <c:v>-0.16184688460463814</c:v>
                </c:pt>
                <c:pt idx="277">
                  <c:v>-0.15807488125174629</c:v>
                </c:pt>
                <c:pt idx="278">
                  <c:v>-0.12852752165409331</c:v>
                </c:pt>
                <c:pt idx="279">
                  <c:v>-0.12286951662475554</c:v>
                </c:pt>
                <c:pt idx="280">
                  <c:v>-0.13390611902766136</c:v>
                </c:pt>
                <c:pt idx="281">
                  <c:v>-0.15458228555462417</c:v>
                </c:pt>
                <c:pt idx="282">
                  <c:v>-0.1480860575579771</c:v>
                </c:pt>
                <c:pt idx="283">
                  <c:v>-0.16191673651858052</c:v>
                </c:pt>
                <c:pt idx="284">
                  <c:v>-0.15416317407096947</c:v>
                </c:pt>
                <c:pt idx="285">
                  <c:v>-0.18720312936574457</c:v>
                </c:pt>
                <c:pt idx="286">
                  <c:v>-0.15185806091086895</c:v>
                </c:pt>
                <c:pt idx="287">
                  <c:v>-0.16086895780944399</c:v>
                </c:pt>
                <c:pt idx="288">
                  <c:v>-0.14738753841855268</c:v>
                </c:pt>
                <c:pt idx="289">
                  <c:v>-0.12601285275216534</c:v>
                </c:pt>
                <c:pt idx="290">
                  <c:v>-0.10736239172953332</c:v>
                </c:pt>
                <c:pt idx="291">
                  <c:v>-0.15297569153394797</c:v>
                </c:pt>
                <c:pt idx="292">
                  <c:v>-0.154861693210394</c:v>
                </c:pt>
                <c:pt idx="293">
                  <c:v>-0.12440625873148925</c:v>
                </c:pt>
                <c:pt idx="294">
                  <c:v>-0.12084381112042464</c:v>
                </c:pt>
                <c:pt idx="295">
                  <c:v>-0.11986588432523049</c:v>
                </c:pt>
                <c:pt idx="296">
                  <c:v>-9.2833193629505373E-2</c:v>
                </c:pt>
                <c:pt idx="297">
                  <c:v>-9.3950824252584497E-2</c:v>
                </c:pt>
                <c:pt idx="298">
                  <c:v>-8.6057557977088472E-2</c:v>
                </c:pt>
                <c:pt idx="299">
                  <c:v>-6.9642358200614707E-2</c:v>
                </c:pt>
                <c:pt idx="300">
                  <c:v>-5.4414640961162331E-2</c:v>
                </c:pt>
                <c:pt idx="301">
                  <c:v>-5.6091086895780906E-2</c:v>
                </c:pt>
                <c:pt idx="302">
                  <c:v>-5.4274937133277579E-2</c:v>
                </c:pt>
                <c:pt idx="303">
                  <c:v>-4.9944118468846055E-2</c:v>
                </c:pt>
                <c:pt idx="304">
                  <c:v>-4.365744621402623E-2</c:v>
                </c:pt>
                <c:pt idx="305">
                  <c:v>-4.4705224923162978E-2</c:v>
                </c:pt>
                <c:pt idx="306">
                  <c:v>-4.0304554344789079E-2</c:v>
                </c:pt>
                <c:pt idx="307">
                  <c:v>-6.4403464654931519E-2</c:v>
                </c:pt>
                <c:pt idx="308">
                  <c:v>-5.7069013690975057E-2</c:v>
                </c:pt>
                <c:pt idx="309">
                  <c:v>-6.300642637608278E-2</c:v>
                </c:pt>
                <c:pt idx="310">
                  <c:v>-7.8234143615534935E-2</c:v>
                </c:pt>
                <c:pt idx="311">
                  <c:v>-4.2400111763062243E-2</c:v>
                </c:pt>
                <c:pt idx="312">
                  <c:v>-7.683710533668564E-3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-3.4091740434559981E-2</c:v>
                </c:pt>
                <c:pt idx="318">
                  <c:v>-6.4818201770429407E-2</c:v>
                </c:pt>
                <c:pt idx="319">
                  <c:v>-6.9866120418465072E-2</c:v>
                </c:pt>
                <c:pt idx="320">
                  <c:v>-5.6917111712634472E-2</c:v>
                </c:pt>
                <c:pt idx="321">
                  <c:v>-4.243177994001035E-2</c:v>
                </c:pt>
                <c:pt idx="322">
                  <c:v>-5.7721852366669046E-2</c:v>
                </c:pt>
                <c:pt idx="323">
                  <c:v>-5.6405004023703298E-2</c:v>
                </c:pt>
                <c:pt idx="324">
                  <c:v>-3.3945423952008058E-2</c:v>
                </c:pt>
                <c:pt idx="325">
                  <c:v>-4.2212305216182688E-2</c:v>
                </c:pt>
                <c:pt idx="326">
                  <c:v>-7.381666544736265E-2</c:v>
                </c:pt>
                <c:pt idx="327">
                  <c:v>-4.1553881044699703E-2</c:v>
                </c:pt>
                <c:pt idx="328">
                  <c:v>-5.3259199648840405E-2</c:v>
                </c:pt>
                <c:pt idx="329">
                  <c:v>-2.9263296510351866E-2</c:v>
                </c:pt>
                <c:pt idx="330">
                  <c:v>-2.1727997658936293E-2</c:v>
                </c:pt>
                <c:pt idx="331">
                  <c:v>-1.3314799912210074E-2</c:v>
                </c:pt>
                <c:pt idx="332">
                  <c:v>0</c:v>
                </c:pt>
                <c:pt idx="333">
                  <c:v>-1.6470412878223373E-2</c:v>
                </c:pt>
                <c:pt idx="334">
                  <c:v>-2.3997615143836581E-2</c:v>
                </c:pt>
                <c:pt idx="335">
                  <c:v>-1.7141153674169129E-2</c:v>
                </c:pt>
                <c:pt idx="336">
                  <c:v>-4.4343419287524388E-2</c:v>
                </c:pt>
                <c:pt idx="337">
                  <c:v>-5.6044119839022244E-2</c:v>
                </c:pt>
                <c:pt idx="338">
                  <c:v>-4.0840661797585498E-2</c:v>
                </c:pt>
                <c:pt idx="339">
                  <c:v>-4.7473543001937735E-2</c:v>
                </c:pt>
                <c:pt idx="340">
                  <c:v>-4.6951855716202195E-2</c:v>
                </c:pt>
                <c:pt idx="341">
                  <c:v>-9.241317633030266E-2</c:v>
                </c:pt>
                <c:pt idx="342">
                  <c:v>-8.7717990758682474E-2</c:v>
                </c:pt>
                <c:pt idx="343">
                  <c:v>-8.1532270084960556E-2</c:v>
                </c:pt>
                <c:pt idx="344">
                  <c:v>-9.241317633030266E-2</c:v>
                </c:pt>
                <c:pt idx="345">
                  <c:v>-7.3036220002981156E-2</c:v>
                </c:pt>
                <c:pt idx="346">
                  <c:v>-7.7731405574601342E-2</c:v>
                </c:pt>
                <c:pt idx="347">
                  <c:v>-8.891041884036377E-2</c:v>
                </c:pt>
                <c:pt idx="348">
                  <c:v>-8.3768072738113042E-2</c:v>
                </c:pt>
                <c:pt idx="349">
                  <c:v>-8.2724698166641852E-2</c:v>
                </c:pt>
                <c:pt idx="350">
                  <c:v>-8.5407661350424879E-2</c:v>
                </c:pt>
                <c:pt idx="351">
                  <c:v>-0.11275898047399024</c:v>
                </c:pt>
                <c:pt idx="352">
                  <c:v>-0.13109256222984056</c:v>
                </c:pt>
                <c:pt idx="353">
                  <c:v>-0.13526606051572521</c:v>
                </c:pt>
                <c:pt idx="354">
                  <c:v>-0.14167536145476234</c:v>
                </c:pt>
                <c:pt idx="355">
                  <c:v>-0.15151289312863325</c:v>
                </c:pt>
                <c:pt idx="356">
                  <c:v>-0.12550305559695929</c:v>
                </c:pt>
                <c:pt idx="357">
                  <c:v>-0.11581457743329859</c:v>
                </c:pt>
                <c:pt idx="358">
                  <c:v>-0.12036070949470867</c:v>
                </c:pt>
                <c:pt idx="359">
                  <c:v>-0.11022507080041744</c:v>
                </c:pt>
                <c:pt idx="360">
                  <c:v>-0.10344313608585487</c:v>
                </c:pt>
                <c:pt idx="361">
                  <c:v>-0.1111939186167834</c:v>
                </c:pt>
                <c:pt idx="362">
                  <c:v>-0.11156655239230895</c:v>
                </c:pt>
                <c:pt idx="363">
                  <c:v>-0.10947980324936657</c:v>
                </c:pt>
                <c:pt idx="364">
                  <c:v>-0.13571322104635575</c:v>
                </c:pt>
                <c:pt idx="365">
                  <c:v>-0.13310478461767783</c:v>
                </c:pt>
                <c:pt idx="366">
                  <c:v>-0.11544194365777316</c:v>
                </c:pt>
                <c:pt idx="367">
                  <c:v>-0.11290803398420035</c:v>
                </c:pt>
                <c:pt idx="368">
                  <c:v>-0.14331495006707407</c:v>
                </c:pt>
                <c:pt idx="369">
                  <c:v>-0.17692651661946646</c:v>
                </c:pt>
                <c:pt idx="370">
                  <c:v>-0.18937248472201529</c:v>
                </c:pt>
                <c:pt idx="371">
                  <c:v>-0.18870174392606953</c:v>
                </c:pt>
                <c:pt idx="372">
                  <c:v>-0.14055746012818615</c:v>
                </c:pt>
                <c:pt idx="373">
                  <c:v>-0.17126248323148008</c:v>
                </c:pt>
                <c:pt idx="374">
                  <c:v>-0.13101803547473556</c:v>
                </c:pt>
                <c:pt idx="375">
                  <c:v>-0.14256968251602331</c:v>
                </c:pt>
                <c:pt idx="376">
                  <c:v>-0.14264420927112831</c:v>
                </c:pt>
                <c:pt idx="377">
                  <c:v>-0.13735280965866747</c:v>
                </c:pt>
                <c:pt idx="378">
                  <c:v>-0.12900581308689818</c:v>
                </c:pt>
                <c:pt idx="379">
                  <c:v>-0.12423610076017289</c:v>
                </c:pt>
                <c:pt idx="380">
                  <c:v>-0.13563869429125053</c:v>
                </c:pt>
                <c:pt idx="381">
                  <c:v>-0.11298256073930546</c:v>
                </c:pt>
                <c:pt idx="382">
                  <c:v>-0.10038753912654652</c:v>
                </c:pt>
                <c:pt idx="383">
                  <c:v>-9.6810254881502522E-2</c:v>
                </c:pt>
                <c:pt idx="384">
                  <c:v>-9.7480995677448279E-2</c:v>
                </c:pt>
                <c:pt idx="385">
                  <c:v>-7.2887166492770938E-2</c:v>
                </c:pt>
                <c:pt idx="386">
                  <c:v>-0.12826054553584743</c:v>
                </c:pt>
                <c:pt idx="387">
                  <c:v>-0.14316589655686396</c:v>
                </c:pt>
                <c:pt idx="388">
                  <c:v>-0.1423461022507081</c:v>
                </c:pt>
                <c:pt idx="389">
                  <c:v>-0.15665523923088398</c:v>
                </c:pt>
                <c:pt idx="390">
                  <c:v>-0.13176330302578632</c:v>
                </c:pt>
                <c:pt idx="391">
                  <c:v>-0.15769861380235517</c:v>
                </c:pt>
                <c:pt idx="392">
                  <c:v>-0.12960202712773883</c:v>
                </c:pt>
                <c:pt idx="393">
                  <c:v>-0.13690564912803704</c:v>
                </c:pt>
                <c:pt idx="394">
                  <c:v>-0.1497242510061112</c:v>
                </c:pt>
                <c:pt idx="395">
                  <c:v>-0.14324042331196907</c:v>
                </c:pt>
                <c:pt idx="396">
                  <c:v>-0.16321359368013122</c:v>
                </c:pt>
                <c:pt idx="397">
                  <c:v>-0.19347145625279483</c:v>
                </c:pt>
                <c:pt idx="398">
                  <c:v>-0.2016693993143539</c:v>
                </c:pt>
                <c:pt idx="399">
                  <c:v>-0.16671635117007011</c:v>
                </c:pt>
                <c:pt idx="400">
                  <c:v>-0.17960947980324937</c:v>
                </c:pt>
                <c:pt idx="401">
                  <c:v>-0.20375614845729617</c:v>
                </c:pt>
                <c:pt idx="402">
                  <c:v>-0.17767178417051721</c:v>
                </c:pt>
                <c:pt idx="403">
                  <c:v>-0.16433149500670752</c:v>
                </c:pt>
                <c:pt idx="404">
                  <c:v>-0.1389178715158742</c:v>
                </c:pt>
                <c:pt idx="405">
                  <c:v>-0.14025935310776572</c:v>
                </c:pt>
                <c:pt idx="406">
                  <c:v>-0.16530034282307349</c:v>
                </c:pt>
                <c:pt idx="407">
                  <c:v>-0.15419585631241628</c:v>
                </c:pt>
                <c:pt idx="408">
                  <c:v>-0.12565210910716962</c:v>
                </c:pt>
                <c:pt idx="409">
                  <c:v>-0.15918914890445679</c:v>
                </c:pt>
                <c:pt idx="410">
                  <c:v>-9.8524370248919468E-2</c:v>
                </c:pt>
                <c:pt idx="411">
                  <c:v>-9.9120584289760116E-2</c:v>
                </c:pt>
                <c:pt idx="412">
                  <c:v>-2.0718437919213017E-2</c:v>
                </c:pt>
                <c:pt idx="413">
                  <c:v>0</c:v>
                </c:pt>
                <c:pt idx="414">
                  <c:v>0</c:v>
                </c:pt>
                <c:pt idx="415">
                  <c:v>-1.3515649699652132E-2</c:v>
                </c:pt>
                <c:pt idx="416">
                  <c:v>-1.1934871957002824E-2</c:v>
                </c:pt>
                <c:pt idx="417">
                  <c:v>0</c:v>
                </c:pt>
                <c:pt idx="418">
                  <c:v>-8.2631495312252001E-3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-3.477958438396711E-3</c:v>
                </c:pt>
                <c:pt idx="425">
                  <c:v>-8.6948960959920552E-4</c:v>
                </c:pt>
                <c:pt idx="426">
                  <c:v>0</c:v>
                </c:pt>
                <c:pt idx="427">
                  <c:v>-7.8138718173836885E-3</c:v>
                </c:pt>
                <c:pt idx="428">
                  <c:v>-3.9683933274802574E-2</c:v>
                </c:pt>
                <c:pt idx="429">
                  <c:v>-1.0272168568920104E-2</c:v>
                </c:pt>
                <c:pt idx="430">
                  <c:v>-2.4495171202809529E-2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-2.2061813745425041E-2</c:v>
                </c:pt>
                <c:pt idx="437">
                  <c:v>-3.3753558357055624E-2</c:v>
                </c:pt>
                <c:pt idx="438">
                  <c:v>-5.1952013013420117E-2</c:v>
                </c:pt>
                <c:pt idx="439">
                  <c:v>-3.609190727938183E-2</c:v>
                </c:pt>
                <c:pt idx="440">
                  <c:v>-5.8458723058153694E-2</c:v>
                </c:pt>
                <c:pt idx="441">
                  <c:v>-5.6018706791378658E-2</c:v>
                </c:pt>
                <c:pt idx="442">
                  <c:v>-1.1081740544937047E-2</c:v>
                </c:pt>
                <c:pt idx="443">
                  <c:v>-1.3826758845058906E-2</c:v>
                </c:pt>
                <c:pt idx="444">
                  <c:v>0</c:v>
                </c:pt>
                <c:pt idx="445">
                  <c:v>-1.422431436758087E-2</c:v>
                </c:pt>
                <c:pt idx="446">
                  <c:v>-1.2279983626688473E-2</c:v>
                </c:pt>
                <c:pt idx="447">
                  <c:v>0</c:v>
                </c:pt>
                <c:pt idx="448">
                  <c:v>0</c:v>
                </c:pt>
                <c:pt idx="449">
                  <c:v>-4.5871559633027248E-3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-3.1029317355016905E-3</c:v>
                </c:pt>
                <c:pt idx="454">
                  <c:v>0</c:v>
                </c:pt>
                <c:pt idx="455">
                  <c:v>-6.5480737749644691E-3</c:v>
                </c:pt>
                <c:pt idx="456">
                  <c:v>-6.5480737749644691E-3</c:v>
                </c:pt>
                <c:pt idx="457">
                  <c:v>-4.6927862053911529E-3</c:v>
                </c:pt>
                <c:pt idx="458">
                  <c:v>-1.2987012987012991E-2</c:v>
                </c:pt>
                <c:pt idx="459">
                  <c:v>-3.5141329258976284E-2</c:v>
                </c:pt>
                <c:pt idx="460">
                  <c:v>-4.5836516424752061E-3</c:v>
                </c:pt>
                <c:pt idx="461">
                  <c:v>-1.7679799192404144E-2</c:v>
                </c:pt>
                <c:pt idx="462">
                  <c:v>0</c:v>
                </c:pt>
                <c:pt idx="463">
                  <c:v>0</c:v>
                </c:pt>
                <c:pt idx="464">
                  <c:v>-8.8425348599930897E-3</c:v>
                </c:pt>
                <c:pt idx="465">
                  <c:v>-3.1742432830743628E-3</c:v>
                </c:pt>
                <c:pt idx="466">
                  <c:v>-3.5143407776894175E-3</c:v>
                </c:pt>
                <c:pt idx="467">
                  <c:v>-2.1539507992290874E-3</c:v>
                </c:pt>
                <c:pt idx="468">
                  <c:v>-2.7887994558440043E-2</c:v>
                </c:pt>
                <c:pt idx="469">
                  <c:v>-3.9791406869969292E-2</c:v>
                </c:pt>
                <c:pt idx="470">
                  <c:v>-4.8067112572270698E-2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-1.4914425427872802E-2</c:v>
                </c:pt>
                <c:pt idx="476">
                  <c:v>-6.3569682151588536E-3</c:v>
                </c:pt>
                <c:pt idx="477">
                  <c:v>-1.1858190709046479E-2</c:v>
                </c:pt>
                <c:pt idx="478">
                  <c:v>-1.6381418092909605E-2</c:v>
                </c:pt>
                <c:pt idx="479">
                  <c:v>-2.8239608801955973E-2</c:v>
                </c:pt>
                <c:pt idx="480">
                  <c:v>-2.7383863080684523E-2</c:v>
                </c:pt>
                <c:pt idx="481">
                  <c:v>-2.7750611246943668E-2</c:v>
                </c:pt>
                <c:pt idx="482">
                  <c:v>-3.2029339853300587E-2</c:v>
                </c:pt>
                <c:pt idx="483">
                  <c:v>-2.5427872860635636E-2</c:v>
                </c:pt>
                <c:pt idx="484">
                  <c:v>-3.1662591687041552E-2</c:v>
                </c:pt>
                <c:pt idx="485">
                  <c:v>-2.4327628361858089E-2</c:v>
                </c:pt>
                <c:pt idx="486">
                  <c:v>-4.2909535452322678E-2</c:v>
                </c:pt>
                <c:pt idx="487">
                  <c:v>-3.7408312958435275E-2</c:v>
                </c:pt>
                <c:pt idx="488">
                  <c:v>-5.9535452322738269E-2</c:v>
                </c:pt>
                <c:pt idx="489">
                  <c:v>-5.3911980440097707E-2</c:v>
                </c:pt>
                <c:pt idx="490">
                  <c:v>-5.9779951100244477E-2</c:v>
                </c:pt>
                <c:pt idx="491">
                  <c:v>-4.8288508557457255E-2</c:v>
                </c:pt>
                <c:pt idx="492">
                  <c:v>-3.7286063569682115E-2</c:v>
                </c:pt>
                <c:pt idx="493">
                  <c:v>-5.2200488997554917E-2</c:v>
                </c:pt>
                <c:pt idx="494">
                  <c:v>-7.1760391198043894E-2</c:v>
                </c:pt>
                <c:pt idx="495">
                  <c:v>-8.1173594132029403E-2</c:v>
                </c:pt>
                <c:pt idx="496">
                  <c:v>-9.0586797066014579E-2</c:v>
                </c:pt>
                <c:pt idx="497">
                  <c:v>-0.1040342298288508</c:v>
                </c:pt>
                <c:pt idx="498">
                  <c:v>-0.11650366748166263</c:v>
                </c:pt>
                <c:pt idx="499">
                  <c:v>-0.10207823960880191</c:v>
                </c:pt>
                <c:pt idx="500">
                  <c:v>-0.12066014669926639</c:v>
                </c:pt>
                <c:pt idx="501">
                  <c:v>-0.14865525672371638</c:v>
                </c:pt>
                <c:pt idx="502">
                  <c:v>-0.1345965770171148</c:v>
                </c:pt>
                <c:pt idx="503">
                  <c:v>-0.13520782396088027</c:v>
                </c:pt>
                <c:pt idx="504">
                  <c:v>-0.1594132029339852</c:v>
                </c:pt>
                <c:pt idx="505">
                  <c:v>-0.15611246943765278</c:v>
                </c:pt>
                <c:pt idx="506">
                  <c:v>-0.17982885085574563</c:v>
                </c:pt>
                <c:pt idx="507">
                  <c:v>-0.15366748166259159</c:v>
                </c:pt>
                <c:pt idx="508">
                  <c:v>-0.13569682151589235</c:v>
                </c:pt>
                <c:pt idx="509">
                  <c:v>-0.12383863080684587</c:v>
                </c:pt>
                <c:pt idx="510">
                  <c:v>-0.13068459657701714</c:v>
                </c:pt>
                <c:pt idx="511">
                  <c:v>-0.12273838630806833</c:v>
                </c:pt>
                <c:pt idx="512">
                  <c:v>-0.16491442542787282</c:v>
                </c:pt>
                <c:pt idx="513">
                  <c:v>-0.18092909535452317</c:v>
                </c:pt>
                <c:pt idx="514">
                  <c:v>-0.18679706601466994</c:v>
                </c:pt>
                <c:pt idx="515">
                  <c:v>-0.20709046454767721</c:v>
                </c:pt>
                <c:pt idx="516">
                  <c:v>-0.19779951100244486</c:v>
                </c:pt>
                <c:pt idx="517">
                  <c:v>-0.26222493887530562</c:v>
                </c:pt>
                <c:pt idx="518">
                  <c:v>-0.25146699266503669</c:v>
                </c:pt>
                <c:pt idx="519">
                  <c:v>-0.26369193154034232</c:v>
                </c:pt>
                <c:pt idx="520">
                  <c:v>-0.22286063569682146</c:v>
                </c:pt>
                <c:pt idx="521">
                  <c:v>-0.22127139364303172</c:v>
                </c:pt>
                <c:pt idx="522">
                  <c:v>-0.2427872860635697</c:v>
                </c:pt>
                <c:pt idx="523">
                  <c:v>-0.21014669926650364</c:v>
                </c:pt>
                <c:pt idx="524">
                  <c:v>-0.24963325183374074</c:v>
                </c:pt>
                <c:pt idx="525">
                  <c:v>-0.24547677261613687</c:v>
                </c:pt>
                <c:pt idx="526">
                  <c:v>-0.31430317848410749</c:v>
                </c:pt>
                <c:pt idx="527">
                  <c:v>-0.29938875305623469</c:v>
                </c:pt>
                <c:pt idx="528">
                  <c:v>-0.25183374083129584</c:v>
                </c:pt>
                <c:pt idx="529">
                  <c:v>-0.24608801955990212</c:v>
                </c:pt>
                <c:pt idx="530">
                  <c:v>-0.22713936430317849</c:v>
                </c:pt>
                <c:pt idx="531">
                  <c:v>-0.25977995110024454</c:v>
                </c:pt>
                <c:pt idx="532">
                  <c:v>-0.15048899755501222</c:v>
                </c:pt>
                <c:pt idx="533">
                  <c:v>-0.241320293398533</c:v>
                </c:pt>
                <c:pt idx="534">
                  <c:v>-0.15819070904645471</c:v>
                </c:pt>
                <c:pt idx="535">
                  <c:v>-0.12799511002444985</c:v>
                </c:pt>
                <c:pt idx="536">
                  <c:v>-0.18655256723716374</c:v>
                </c:pt>
                <c:pt idx="537">
                  <c:v>-0.11662591687041557</c:v>
                </c:pt>
                <c:pt idx="538">
                  <c:v>-0.10476772616136909</c:v>
                </c:pt>
                <c:pt idx="539">
                  <c:v>-7.4816625916870327E-2</c:v>
                </c:pt>
                <c:pt idx="540">
                  <c:v>-0.11577017114914423</c:v>
                </c:pt>
                <c:pt idx="541">
                  <c:v>-8.6797066014669855E-2</c:v>
                </c:pt>
                <c:pt idx="542">
                  <c:v>-0.16454767726161357</c:v>
                </c:pt>
                <c:pt idx="543">
                  <c:v>-0.16405867970660148</c:v>
                </c:pt>
                <c:pt idx="544">
                  <c:v>-0.10562347188264065</c:v>
                </c:pt>
                <c:pt idx="545">
                  <c:v>-0.11955990220048907</c:v>
                </c:pt>
                <c:pt idx="546">
                  <c:v>-8.8753056234718741E-2</c:v>
                </c:pt>
                <c:pt idx="547">
                  <c:v>-4.3276283618581823E-2</c:v>
                </c:pt>
                <c:pt idx="548">
                  <c:v>-2.1149144254278829E-2</c:v>
                </c:pt>
                <c:pt idx="549">
                  <c:v>-1.1002444987774918E-2</c:v>
                </c:pt>
                <c:pt idx="550">
                  <c:v>-2.5061124694376491E-2</c:v>
                </c:pt>
                <c:pt idx="551">
                  <c:v>-6.8459657701711585E-3</c:v>
                </c:pt>
                <c:pt idx="552">
                  <c:v>-7.0904645476772554E-3</c:v>
                </c:pt>
                <c:pt idx="553">
                  <c:v>0</c:v>
                </c:pt>
                <c:pt idx="554">
                  <c:v>-1.7220172201721895E-2</c:v>
                </c:pt>
                <c:pt idx="555">
                  <c:v>-1.1193111931119271E-2</c:v>
                </c:pt>
                <c:pt idx="556">
                  <c:v>-1.5867158671586612E-2</c:v>
                </c:pt>
                <c:pt idx="557">
                  <c:v>0</c:v>
                </c:pt>
                <c:pt idx="558">
                  <c:v>-8.8801184015786516E-3</c:v>
                </c:pt>
                <c:pt idx="559">
                  <c:v>-1.6896891958559479E-2</c:v>
                </c:pt>
                <c:pt idx="560">
                  <c:v>-4.8223976319684225E-2</c:v>
                </c:pt>
                <c:pt idx="561">
                  <c:v>-4.5633941785890531E-2</c:v>
                </c:pt>
                <c:pt idx="562">
                  <c:v>-1.3566847557967554E-3</c:v>
                </c:pt>
                <c:pt idx="563">
                  <c:v>0</c:v>
                </c:pt>
                <c:pt idx="564">
                  <c:v>-4.8866056885101816E-3</c:v>
                </c:pt>
                <c:pt idx="565">
                  <c:v>-3.2201478511464821E-2</c:v>
                </c:pt>
                <c:pt idx="566">
                  <c:v>-2.8818443804035088E-3</c:v>
                </c:pt>
                <c:pt idx="567">
                  <c:v>0</c:v>
                </c:pt>
                <c:pt idx="568">
                  <c:v>-3.1375502008031964E-3</c:v>
                </c:pt>
                <c:pt idx="569">
                  <c:v>-6.777108433735024E-3</c:v>
                </c:pt>
                <c:pt idx="570">
                  <c:v>0</c:v>
                </c:pt>
                <c:pt idx="571">
                  <c:v>-5.4265522463401439E-3</c:v>
                </c:pt>
                <c:pt idx="572">
                  <c:v>-1.779404341241797E-2</c:v>
                </c:pt>
                <c:pt idx="573">
                  <c:v>-1.3503281171125647E-2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-6.5255027300573643E-3</c:v>
                </c:pt>
                <c:pt idx="579">
                  <c:v>-1.8644293514449295E-3</c:v>
                </c:pt>
                <c:pt idx="580">
                  <c:v>-9.7216673325343228E-3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-4.1390728476820016E-4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-3.4236804564906631E-3</c:v>
                </c:pt>
                <c:pt idx="589">
                  <c:v>-1.4265335235377208E-3</c:v>
                </c:pt>
                <c:pt idx="590">
                  <c:v>-2.4251069900140809E-3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-8.2742316784870651E-3</c:v>
                </c:pt>
                <c:pt idx="597">
                  <c:v>-1.4036643026004714E-2</c:v>
                </c:pt>
                <c:pt idx="598">
                  <c:v>0</c:v>
                </c:pt>
                <c:pt idx="599">
                  <c:v>-8.5125448028672279E-3</c:v>
                </c:pt>
                <c:pt idx="600">
                  <c:v>-2.2849462365591156E-2</c:v>
                </c:pt>
                <c:pt idx="601">
                  <c:v>-3.1362007168458716E-2</c:v>
                </c:pt>
                <c:pt idx="602">
                  <c:v>-1.3739545997610292E-2</c:v>
                </c:pt>
                <c:pt idx="603">
                  <c:v>-2.2401433691755512E-3</c:v>
                </c:pt>
                <c:pt idx="604">
                  <c:v>0</c:v>
                </c:pt>
                <c:pt idx="605">
                  <c:v>-1.0631925726265479E-2</c:v>
                </c:pt>
                <c:pt idx="606">
                  <c:v>-2.8451632225217072E-3</c:v>
                </c:pt>
                <c:pt idx="607">
                  <c:v>-2.0065887990416309E-2</c:v>
                </c:pt>
                <c:pt idx="608">
                  <c:v>-1.9167415393830489E-2</c:v>
                </c:pt>
                <c:pt idx="609">
                  <c:v>-1.4675052410901501E-2</c:v>
                </c:pt>
                <c:pt idx="610">
                  <c:v>-3.1446540880504248E-3</c:v>
                </c:pt>
                <c:pt idx="611">
                  <c:v>0</c:v>
                </c:pt>
                <c:pt idx="612">
                  <c:v>0</c:v>
                </c:pt>
                <c:pt idx="613">
                  <c:v>-6.9570477918936557E-3</c:v>
                </c:pt>
                <c:pt idx="614">
                  <c:v>0</c:v>
                </c:pt>
                <c:pt idx="615">
                  <c:v>-9.1533180778036183E-4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-1.0872941907423828E-3</c:v>
                </c:pt>
                <c:pt idx="620">
                  <c:v>-1.5532774153462769E-3</c:v>
                </c:pt>
                <c:pt idx="621">
                  <c:v>0</c:v>
                </c:pt>
                <c:pt idx="622">
                  <c:v>0</c:v>
                </c:pt>
                <c:pt idx="623">
                  <c:v>-1.1243173787343075E-3</c:v>
                </c:pt>
                <c:pt idx="624">
                  <c:v>-2.3289431416639861E-2</c:v>
                </c:pt>
                <c:pt idx="625">
                  <c:v>-2.312881464824923E-2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-2.3282887077997749E-3</c:v>
                </c:pt>
                <c:pt idx="631">
                  <c:v>0</c:v>
                </c:pt>
                <c:pt idx="632">
                  <c:v>0</c:v>
                </c:pt>
                <c:pt idx="633">
                  <c:v>-3.89500423370015E-3</c:v>
                </c:pt>
                <c:pt idx="634">
                  <c:v>-7.7900084674004111E-3</c:v>
                </c:pt>
                <c:pt idx="635">
                  <c:v>-3.7256562235393753E-3</c:v>
                </c:pt>
                <c:pt idx="636">
                  <c:v>-1.3547840812869749E-3</c:v>
                </c:pt>
                <c:pt idx="637">
                  <c:v>0</c:v>
                </c:pt>
                <c:pt idx="638">
                  <c:v>-8.6177180282661636E-3</c:v>
                </c:pt>
                <c:pt idx="639">
                  <c:v>-2.171664943123075E-2</c:v>
                </c:pt>
                <c:pt idx="640">
                  <c:v>-3.3092037228541926E-2</c:v>
                </c:pt>
                <c:pt idx="641">
                  <c:v>-2.171664943123075E-2</c:v>
                </c:pt>
                <c:pt idx="642">
                  <c:v>-2.1889003791796036E-2</c:v>
                </c:pt>
                <c:pt idx="643">
                  <c:v>-4.8431575318855558E-2</c:v>
                </c:pt>
                <c:pt idx="644">
                  <c:v>-5.6532230265425754E-2</c:v>
                </c:pt>
                <c:pt idx="645">
                  <c:v>-3.2230265425715388E-2</c:v>
                </c:pt>
                <c:pt idx="646">
                  <c:v>-3.49879351947604E-2</c:v>
                </c:pt>
                <c:pt idx="647">
                  <c:v>-5.7049293347121721E-2</c:v>
                </c:pt>
                <c:pt idx="648">
                  <c:v>-5.2568079972423409E-2</c:v>
                </c:pt>
                <c:pt idx="649">
                  <c:v>-4.7569803516029019E-2</c:v>
                </c:pt>
                <c:pt idx="650">
                  <c:v>-6.2047569803516001E-2</c:v>
                </c:pt>
                <c:pt idx="651">
                  <c:v>-5.7566356428817689E-2</c:v>
                </c:pt>
                <c:pt idx="652">
                  <c:v>-6.1875215442950715E-2</c:v>
                </c:pt>
                <c:pt idx="653">
                  <c:v>-4.791451223715959E-2</c:v>
                </c:pt>
                <c:pt idx="654">
                  <c:v>-4.0158566011720187E-2</c:v>
                </c:pt>
                <c:pt idx="655">
                  <c:v>-4.9120992761116922E-2</c:v>
                </c:pt>
                <c:pt idx="656">
                  <c:v>-5.2568079972423409E-2</c:v>
                </c:pt>
                <c:pt idx="657">
                  <c:v>-5.7394002068252403E-2</c:v>
                </c:pt>
                <c:pt idx="658">
                  <c:v>-3.877973112719757E-2</c:v>
                </c:pt>
                <c:pt idx="659">
                  <c:v>-3.6539124439848414E-2</c:v>
                </c:pt>
                <c:pt idx="660">
                  <c:v>-6.6356428817649138E-2</c:v>
                </c:pt>
                <c:pt idx="661">
                  <c:v>-7.7214753533264457E-2</c:v>
                </c:pt>
                <c:pt idx="662">
                  <c:v>-8.1178903826266802E-2</c:v>
                </c:pt>
                <c:pt idx="663">
                  <c:v>-8.1006549465701516E-2</c:v>
                </c:pt>
                <c:pt idx="664">
                  <c:v>-9.8586694243364414E-2</c:v>
                </c:pt>
                <c:pt idx="665">
                  <c:v>-0.11375387797311276</c:v>
                </c:pt>
                <c:pt idx="666">
                  <c:v>-0.100482592209583</c:v>
                </c:pt>
                <c:pt idx="667">
                  <c:v>-9.9448466046191064E-2</c:v>
                </c:pt>
                <c:pt idx="668">
                  <c:v>-0.11444329541537401</c:v>
                </c:pt>
                <c:pt idx="669">
                  <c:v>-0.12030334367459505</c:v>
                </c:pt>
                <c:pt idx="670">
                  <c:v>-0.11030679076180638</c:v>
                </c:pt>
                <c:pt idx="671">
                  <c:v>-0.12685280937607735</c:v>
                </c:pt>
                <c:pt idx="672">
                  <c:v>-8.4453636677008004E-2</c:v>
                </c:pt>
                <c:pt idx="673">
                  <c:v>-8.3764219234746751E-2</c:v>
                </c:pt>
                <c:pt idx="674">
                  <c:v>-9.3588417786970024E-2</c:v>
                </c:pt>
                <c:pt idx="675">
                  <c:v>-9.3588417786970024E-2</c:v>
                </c:pt>
                <c:pt idx="676">
                  <c:v>-0.11030679076180638</c:v>
                </c:pt>
                <c:pt idx="677">
                  <c:v>-0.13064460530851441</c:v>
                </c:pt>
                <c:pt idx="678">
                  <c:v>-0.12633574629438138</c:v>
                </c:pt>
                <c:pt idx="679">
                  <c:v>-9.962082040675635E-2</c:v>
                </c:pt>
                <c:pt idx="680">
                  <c:v>-0.13615994484660476</c:v>
                </c:pt>
                <c:pt idx="681">
                  <c:v>-0.1339193381592555</c:v>
                </c:pt>
                <c:pt idx="682">
                  <c:v>-0.12340572216477086</c:v>
                </c:pt>
                <c:pt idx="683">
                  <c:v>-0.14236470182695626</c:v>
                </c:pt>
                <c:pt idx="684">
                  <c:v>-0.15115477421578771</c:v>
                </c:pt>
                <c:pt idx="685">
                  <c:v>-0.16701137538779742</c:v>
                </c:pt>
                <c:pt idx="686">
                  <c:v>-0.12082040675629102</c:v>
                </c:pt>
                <c:pt idx="687">
                  <c:v>-0.10186142709410551</c:v>
                </c:pt>
                <c:pt idx="688">
                  <c:v>-8.2040675629093451E-2</c:v>
                </c:pt>
                <c:pt idx="689">
                  <c:v>-0.1003102378490176</c:v>
                </c:pt>
                <c:pt idx="690">
                  <c:v>-9.6518441916580544E-2</c:v>
                </c:pt>
                <c:pt idx="691">
                  <c:v>-0.10479145122371603</c:v>
                </c:pt>
                <c:pt idx="692">
                  <c:v>-0.10789382971389183</c:v>
                </c:pt>
                <c:pt idx="693">
                  <c:v>-0.10082730093071357</c:v>
                </c:pt>
                <c:pt idx="694">
                  <c:v>-0.10013788348845232</c:v>
                </c:pt>
                <c:pt idx="695">
                  <c:v>-0.10720441227163058</c:v>
                </c:pt>
                <c:pt idx="696">
                  <c:v>-0.12702516373664263</c:v>
                </c:pt>
                <c:pt idx="697">
                  <c:v>-0.11375387797311276</c:v>
                </c:pt>
                <c:pt idx="698">
                  <c:v>-0.12375043088590143</c:v>
                </c:pt>
                <c:pt idx="699">
                  <c:v>-0.11892450879007244</c:v>
                </c:pt>
                <c:pt idx="700">
                  <c:v>-0.11582213029989663</c:v>
                </c:pt>
                <c:pt idx="701">
                  <c:v>-0.12392278524646683</c:v>
                </c:pt>
                <c:pt idx="702">
                  <c:v>-0.13064460530851441</c:v>
                </c:pt>
                <c:pt idx="703">
                  <c:v>-0.1242674939675974</c:v>
                </c:pt>
                <c:pt idx="704">
                  <c:v>-0.13288521199586345</c:v>
                </c:pt>
                <c:pt idx="705">
                  <c:v>-0.13805584281282324</c:v>
                </c:pt>
                <c:pt idx="706">
                  <c:v>-0.11995863495346437</c:v>
                </c:pt>
                <c:pt idx="707">
                  <c:v>-0.11926921751120301</c:v>
                </c:pt>
                <c:pt idx="708">
                  <c:v>-0.12650810065494666</c:v>
                </c:pt>
                <c:pt idx="709">
                  <c:v>-0.13150637711134094</c:v>
                </c:pt>
                <c:pt idx="710">
                  <c:v>-0.14719062392278537</c:v>
                </c:pt>
                <c:pt idx="711">
                  <c:v>-0.13926232333678046</c:v>
                </c:pt>
                <c:pt idx="712">
                  <c:v>-0.13908996897621506</c:v>
                </c:pt>
                <c:pt idx="713">
                  <c:v>-0.15735953119613932</c:v>
                </c:pt>
                <c:pt idx="714">
                  <c:v>-0.14426059979317485</c:v>
                </c:pt>
                <c:pt idx="715">
                  <c:v>-0.1433988279903482</c:v>
                </c:pt>
                <c:pt idx="716">
                  <c:v>-0.14046880386073779</c:v>
                </c:pt>
                <c:pt idx="717">
                  <c:v>-0.14736297828335065</c:v>
                </c:pt>
                <c:pt idx="718">
                  <c:v>-0.1449500172354361</c:v>
                </c:pt>
                <c:pt idx="719">
                  <c:v>-0.16459841433988287</c:v>
                </c:pt>
                <c:pt idx="720">
                  <c:v>-0.16942433643571186</c:v>
                </c:pt>
                <c:pt idx="721">
                  <c:v>-0.16339193381592565</c:v>
                </c:pt>
                <c:pt idx="722">
                  <c:v>-0.16321957945536036</c:v>
                </c:pt>
                <c:pt idx="723">
                  <c:v>-0.16063426404688042</c:v>
                </c:pt>
                <c:pt idx="724">
                  <c:v>-0.17011375387797323</c:v>
                </c:pt>
                <c:pt idx="725">
                  <c:v>-0.18062736987245787</c:v>
                </c:pt>
                <c:pt idx="726">
                  <c:v>-0.20199931058255782</c:v>
                </c:pt>
                <c:pt idx="727">
                  <c:v>-0.21354705274043428</c:v>
                </c:pt>
                <c:pt idx="728">
                  <c:v>-0.22595656670113762</c:v>
                </c:pt>
                <c:pt idx="729">
                  <c:v>-0.2531885556704585</c:v>
                </c:pt>
                <c:pt idx="730">
                  <c:v>-0.24560496380558428</c:v>
                </c:pt>
                <c:pt idx="731">
                  <c:v>-0.23164426059979326</c:v>
                </c:pt>
                <c:pt idx="732">
                  <c:v>-0.23560841089279561</c:v>
                </c:pt>
                <c:pt idx="733">
                  <c:v>-0.23198896932092383</c:v>
                </c:pt>
                <c:pt idx="734">
                  <c:v>-0.22888659083074803</c:v>
                </c:pt>
                <c:pt idx="735">
                  <c:v>-0.22578421234057222</c:v>
                </c:pt>
                <c:pt idx="736">
                  <c:v>-0.21234057221647706</c:v>
                </c:pt>
                <c:pt idx="737">
                  <c:v>-0.1959669079627715</c:v>
                </c:pt>
                <c:pt idx="738">
                  <c:v>-0.21113409169251984</c:v>
                </c:pt>
                <c:pt idx="739">
                  <c:v>-0.18562564632885215</c:v>
                </c:pt>
                <c:pt idx="740">
                  <c:v>-0.18097207859358844</c:v>
                </c:pt>
                <c:pt idx="741">
                  <c:v>-0.17735263702171677</c:v>
                </c:pt>
                <c:pt idx="742">
                  <c:v>-0.18700448121337476</c:v>
                </c:pt>
                <c:pt idx="743">
                  <c:v>-0.19975870389520856</c:v>
                </c:pt>
                <c:pt idx="744">
                  <c:v>-0.15046535677352646</c:v>
                </c:pt>
                <c:pt idx="745">
                  <c:v>-0.13512581868321272</c:v>
                </c:pt>
                <c:pt idx="746">
                  <c:v>-0.1258186832126853</c:v>
                </c:pt>
                <c:pt idx="747">
                  <c:v>-0.1258186832126853</c:v>
                </c:pt>
                <c:pt idx="748">
                  <c:v>-0.10168907273354022</c:v>
                </c:pt>
                <c:pt idx="749">
                  <c:v>-8.7556015167183809E-2</c:v>
                </c:pt>
                <c:pt idx="750">
                  <c:v>-9.87590486039297E-2</c:v>
                </c:pt>
                <c:pt idx="751">
                  <c:v>-9.2899000344708771E-2</c:v>
                </c:pt>
                <c:pt idx="752">
                  <c:v>-0.135298173043778</c:v>
                </c:pt>
                <c:pt idx="753">
                  <c:v>-0.11840744570837647</c:v>
                </c:pt>
                <c:pt idx="754">
                  <c:v>-0.1196139262323338</c:v>
                </c:pt>
                <c:pt idx="755">
                  <c:v>-0.11547742157876595</c:v>
                </c:pt>
                <c:pt idx="756">
                  <c:v>-0.10737676663219586</c:v>
                </c:pt>
                <c:pt idx="757">
                  <c:v>-0.10599793174767336</c:v>
                </c:pt>
                <c:pt idx="758">
                  <c:v>-0.11875215442950704</c:v>
                </c:pt>
                <c:pt idx="759">
                  <c:v>-0.12150982419855227</c:v>
                </c:pt>
                <c:pt idx="760">
                  <c:v>-0.12478455704929337</c:v>
                </c:pt>
                <c:pt idx="761">
                  <c:v>-0.14150293002412961</c:v>
                </c:pt>
                <c:pt idx="762">
                  <c:v>-0.14150293002412961</c:v>
                </c:pt>
                <c:pt idx="763">
                  <c:v>-0.14305411926921763</c:v>
                </c:pt>
                <c:pt idx="764">
                  <c:v>-0.14270941054808683</c:v>
                </c:pt>
                <c:pt idx="765">
                  <c:v>-0.13564288176490868</c:v>
                </c:pt>
                <c:pt idx="766">
                  <c:v>-0.14029644950017239</c:v>
                </c:pt>
                <c:pt idx="767">
                  <c:v>-0.13771113409169256</c:v>
                </c:pt>
                <c:pt idx="768">
                  <c:v>-0.15115477421578771</c:v>
                </c:pt>
                <c:pt idx="769">
                  <c:v>-0.15684246811444336</c:v>
                </c:pt>
                <c:pt idx="770">
                  <c:v>-0.15822130299896586</c:v>
                </c:pt>
                <c:pt idx="771">
                  <c:v>-0.16390899689762162</c:v>
                </c:pt>
                <c:pt idx="772">
                  <c:v>-0.17597380213719405</c:v>
                </c:pt>
                <c:pt idx="773">
                  <c:v>-0.1814891416752844</c:v>
                </c:pt>
                <c:pt idx="774">
                  <c:v>-0.18683212685280948</c:v>
                </c:pt>
                <c:pt idx="775">
                  <c:v>-0.18786625301620141</c:v>
                </c:pt>
                <c:pt idx="776">
                  <c:v>-0.19510513615994485</c:v>
                </c:pt>
                <c:pt idx="777">
                  <c:v>-0.18665977249224419</c:v>
                </c:pt>
                <c:pt idx="778">
                  <c:v>-0.17683557394002081</c:v>
                </c:pt>
                <c:pt idx="779">
                  <c:v>-0.15942778352292308</c:v>
                </c:pt>
                <c:pt idx="780">
                  <c:v>-0.18924508790072392</c:v>
                </c:pt>
                <c:pt idx="781">
                  <c:v>-0.19631161668390207</c:v>
                </c:pt>
                <c:pt idx="782">
                  <c:v>-0.18976215098241989</c:v>
                </c:pt>
                <c:pt idx="783">
                  <c:v>-0.19803516028955537</c:v>
                </c:pt>
                <c:pt idx="784">
                  <c:v>-0.20837642192347472</c:v>
                </c:pt>
                <c:pt idx="785">
                  <c:v>-0.21699413995174077</c:v>
                </c:pt>
                <c:pt idx="786">
                  <c:v>-0.22044122716304737</c:v>
                </c:pt>
                <c:pt idx="787">
                  <c:v>-0.22923129955187871</c:v>
                </c:pt>
                <c:pt idx="788">
                  <c:v>-0.2549120992761118</c:v>
                </c:pt>
                <c:pt idx="789">
                  <c:v>-0.25680799724233028</c:v>
                </c:pt>
                <c:pt idx="790">
                  <c:v>-0.24801792485349883</c:v>
                </c:pt>
                <c:pt idx="791">
                  <c:v>-0.24370906583936569</c:v>
                </c:pt>
                <c:pt idx="792">
                  <c:v>-0.24233023095484318</c:v>
                </c:pt>
                <c:pt idx="793">
                  <c:v>-0.24612202688728024</c:v>
                </c:pt>
                <c:pt idx="794">
                  <c:v>-0.25387797311271976</c:v>
                </c:pt>
                <c:pt idx="795">
                  <c:v>-0.24646673560841093</c:v>
                </c:pt>
                <c:pt idx="796">
                  <c:v>-0.24887969665632548</c:v>
                </c:pt>
                <c:pt idx="797">
                  <c:v>-0.24922440537745605</c:v>
                </c:pt>
                <c:pt idx="798">
                  <c:v>-0.25473974491554641</c:v>
                </c:pt>
                <c:pt idx="799">
                  <c:v>-0.26301275422268189</c:v>
                </c:pt>
                <c:pt idx="800">
                  <c:v>-0.25870389520854886</c:v>
                </c:pt>
                <c:pt idx="801">
                  <c:v>-0.26352981730437786</c:v>
                </c:pt>
                <c:pt idx="802">
                  <c:v>-0.26577042399172701</c:v>
                </c:pt>
                <c:pt idx="803">
                  <c:v>-0.26404688038607371</c:v>
                </c:pt>
                <c:pt idx="804">
                  <c:v>-0.26680455015511895</c:v>
                </c:pt>
                <c:pt idx="805">
                  <c:v>-0.26370217166494314</c:v>
                </c:pt>
                <c:pt idx="806">
                  <c:v>-0.26990692864529475</c:v>
                </c:pt>
                <c:pt idx="807">
                  <c:v>-0.26577042399172701</c:v>
                </c:pt>
                <c:pt idx="808">
                  <c:v>-0.26335746294381246</c:v>
                </c:pt>
                <c:pt idx="809">
                  <c:v>-0.24922440537745605</c:v>
                </c:pt>
                <c:pt idx="810">
                  <c:v>-0.24956911409858673</c:v>
                </c:pt>
                <c:pt idx="811">
                  <c:v>-0.26215098241985524</c:v>
                </c:pt>
                <c:pt idx="812">
                  <c:v>-0.28248879696656326</c:v>
                </c:pt>
                <c:pt idx="813">
                  <c:v>-0.28283350568769394</c:v>
                </c:pt>
                <c:pt idx="814">
                  <c:v>-0.28800413650465362</c:v>
                </c:pt>
                <c:pt idx="815">
                  <c:v>-0.33350568769389866</c:v>
                </c:pt>
                <c:pt idx="816">
                  <c:v>-0.32643915891072051</c:v>
                </c:pt>
                <c:pt idx="817">
                  <c:v>-0.32023440193036889</c:v>
                </c:pt>
                <c:pt idx="818">
                  <c:v>-0.34212340572216482</c:v>
                </c:pt>
                <c:pt idx="819">
                  <c:v>-0.33678042054463986</c:v>
                </c:pt>
                <c:pt idx="820">
                  <c:v>-0.3393657359531197</c:v>
                </c:pt>
                <c:pt idx="821">
                  <c:v>-0.32419855222337124</c:v>
                </c:pt>
                <c:pt idx="822">
                  <c:v>-0.32833505687693909</c:v>
                </c:pt>
                <c:pt idx="823">
                  <c:v>-0.33229920716994144</c:v>
                </c:pt>
                <c:pt idx="824">
                  <c:v>-0.34039986211651152</c:v>
                </c:pt>
                <c:pt idx="825">
                  <c:v>-0.35367114788004139</c:v>
                </c:pt>
                <c:pt idx="826">
                  <c:v>-0.34384694932781801</c:v>
                </c:pt>
                <c:pt idx="827">
                  <c:v>-0.33729748362633571</c:v>
                </c:pt>
                <c:pt idx="828">
                  <c:v>-0.3393657359531197</c:v>
                </c:pt>
                <c:pt idx="829">
                  <c:v>-0.3503964150293003</c:v>
                </c:pt>
                <c:pt idx="830">
                  <c:v>-0.36263357462943824</c:v>
                </c:pt>
                <c:pt idx="831">
                  <c:v>-0.36125473974491551</c:v>
                </c:pt>
                <c:pt idx="832">
                  <c:v>-0.38728024819027929</c:v>
                </c:pt>
                <c:pt idx="833">
                  <c:v>-0.31954498448810764</c:v>
                </c:pt>
                <c:pt idx="834">
                  <c:v>-0.32023440193036889</c:v>
                </c:pt>
                <c:pt idx="835">
                  <c:v>-0.32678386763185108</c:v>
                </c:pt>
                <c:pt idx="836">
                  <c:v>-0.32712857635298176</c:v>
                </c:pt>
                <c:pt idx="837">
                  <c:v>-0.32281971733884873</c:v>
                </c:pt>
                <c:pt idx="838">
                  <c:v>-0.36728714236470184</c:v>
                </c:pt>
                <c:pt idx="839">
                  <c:v>-0.35056876938986559</c:v>
                </c:pt>
                <c:pt idx="840">
                  <c:v>-0.32419855222337124</c:v>
                </c:pt>
                <c:pt idx="841">
                  <c:v>-0.30679076180627374</c:v>
                </c:pt>
                <c:pt idx="842">
                  <c:v>-0.28438469493278173</c:v>
                </c:pt>
                <c:pt idx="843">
                  <c:v>-0.29351947604274387</c:v>
                </c:pt>
                <c:pt idx="844">
                  <c:v>-0.28697001034126168</c:v>
                </c:pt>
                <c:pt idx="845">
                  <c:v>-0.26335746294381246</c:v>
                </c:pt>
                <c:pt idx="846">
                  <c:v>-0.27128576352981737</c:v>
                </c:pt>
                <c:pt idx="847">
                  <c:v>-0.27335401585660124</c:v>
                </c:pt>
                <c:pt idx="848">
                  <c:v>-0.2692175112030335</c:v>
                </c:pt>
                <c:pt idx="849">
                  <c:v>-0.27404343329886249</c:v>
                </c:pt>
                <c:pt idx="850">
                  <c:v>-0.24715615305067218</c:v>
                </c:pt>
                <c:pt idx="851">
                  <c:v>-0.23871078938297141</c:v>
                </c:pt>
                <c:pt idx="852">
                  <c:v>-0.20355049982764561</c:v>
                </c:pt>
                <c:pt idx="853">
                  <c:v>-0.23043778007583593</c:v>
                </c:pt>
                <c:pt idx="854">
                  <c:v>-0.22630127542226819</c:v>
                </c:pt>
                <c:pt idx="855">
                  <c:v>-0.22026887280248186</c:v>
                </c:pt>
                <c:pt idx="856">
                  <c:v>-0.24922440537745605</c:v>
                </c:pt>
                <c:pt idx="857">
                  <c:v>-0.24767321613236826</c:v>
                </c:pt>
                <c:pt idx="858">
                  <c:v>-0.25766976904515693</c:v>
                </c:pt>
                <c:pt idx="859">
                  <c:v>-0.23819372630127544</c:v>
                </c:pt>
                <c:pt idx="860">
                  <c:v>-0.23750430885901419</c:v>
                </c:pt>
                <c:pt idx="861">
                  <c:v>-0.1990692864529473</c:v>
                </c:pt>
                <c:pt idx="862">
                  <c:v>-0.16614960358497066</c:v>
                </c:pt>
                <c:pt idx="863">
                  <c:v>-0.17528438469493279</c:v>
                </c:pt>
                <c:pt idx="864">
                  <c:v>-0.19510513615994485</c:v>
                </c:pt>
                <c:pt idx="865">
                  <c:v>-0.17166494312306102</c:v>
                </c:pt>
                <c:pt idx="866">
                  <c:v>-0.16339193381592565</c:v>
                </c:pt>
                <c:pt idx="867">
                  <c:v>-0.11892450879007244</c:v>
                </c:pt>
                <c:pt idx="868">
                  <c:v>-0.10168907273354022</c:v>
                </c:pt>
                <c:pt idx="869">
                  <c:v>-9.5311961392623212E-2</c:v>
                </c:pt>
                <c:pt idx="870">
                  <c:v>-0.12202688728024824</c:v>
                </c:pt>
                <c:pt idx="871">
                  <c:v>-0.13133402275077566</c:v>
                </c:pt>
                <c:pt idx="872">
                  <c:v>-0.10599793174767336</c:v>
                </c:pt>
                <c:pt idx="873">
                  <c:v>-4.2571527059634739E-2</c:v>
                </c:pt>
                <c:pt idx="874">
                  <c:v>-5.6876938986556436E-2</c:v>
                </c:pt>
                <c:pt idx="875">
                  <c:v>-8.0834195105136231E-2</c:v>
                </c:pt>
                <c:pt idx="876">
                  <c:v>-8.5487762840399828E-2</c:v>
                </c:pt>
                <c:pt idx="877">
                  <c:v>-6.7907618062737041E-2</c:v>
                </c:pt>
                <c:pt idx="878">
                  <c:v>-5.291278869355398E-2</c:v>
                </c:pt>
                <c:pt idx="879">
                  <c:v>-7.3250603240262002E-2</c:v>
                </c:pt>
                <c:pt idx="880">
                  <c:v>-4.0330920372285473E-2</c:v>
                </c:pt>
                <c:pt idx="881">
                  <c:v>-4.9293347121682318E-2</c:v>
                </c:pt>
                <c:pt idx="882">
                  <c:v>-5.4981041020337851E-2</c:v>
                </c:pt>
                <c:pt idx="883">
                  <c:v>-6.9114098586694372E-2</c:v>
                </c:pt>
                <c:pt idx="884">
                  <c:v>-4.6880386073767766E-2</c:v>
                </c:pt>
                <c:pt idx="885">
                  <c:v>-4.2743881420200025E-2</c:v>
                </c:pt>
                <c:pt idx="886">
                  <c:v>-6.3426404688038618E-2</c:v>
                </c:pt>
                <c:pt idx="887">
                  <c:v>-4.2916235780765311E-2</c:v>
                </c:pt>
                <c:pt idx="888">
                  <c:v>-7.6008273009307237E-2</c:v>
                </c:pt>
                <c:pt idx="889">
                  <c:v>-6.7735263702171644E-2</c:v>
                </c:pt>
                <c:pt idx="890">
                  <c:v>-2.2406066873492003E-2</c:v>
                </c:pt>
                <c:pt idx="891">
                  <c:v>-3.5849706997587161E-2</c:v>
                </c:pt>
                <c:pt idx="892">
                  <c:v>-3.3609100310237894E-2</c:v>
                </c:pt>
                <c:pt idx="893">
                  <c:v>-1.7580144777662898E-2</c:v>
                </c:pt>
                <c:pt idx="894">
                  <c:v>0</c:v>
                </c:pt>
                <c:pt idx="895">
                  <c:v>0</c:v>
                </c:pt>
                <c:pt idx="896">
                  <c:v>-4.904536696444195E-3</c:v>
                </c:pt>
                <c:pt idx="897">
                  <c:v>-1.1385531616745603E-2</c:v>
                </c:pt>
                <c:pt idx="898">
                  <c:v>-1.4888772114205695E-2</c:v>
                </c:pt>
                <c:pt idx="899">
                  <c:v>-3.4857242949728584E-2</c:v>
                </c:pt>
                <c:pt idx="900">
                  <c:v>-2.6974951830443294E-2</c:v>
                </c:pt>
                <c:pt idx="901">
                  <c:v>-3.3105622700998483E-2</c:v>
                </c:pt>
                <c:pt idx="902">
                  <c:v>-4.6768260641093073E-2</c:v>
                </c:pt>
                <c:pt idx="903">
                  <c:v>-3.6433701173585686E-2</c:v>
                </c:pt>
                <c:pt idx="904">
                  <c:v>-4.3790506218251868E-2</c:v>
                </c:pt>
                <c:pt idx="905">
                  <c:v>-4.4315992292870976E-2</c:v>
                </c:pt>
                <c:pt idx="906">
                  <c:v>-4.5892450516728078E-2</c:v>
                </c:pt>
                <c:pt idx="907">
                  <c:v>-1.979330881064989E-2</c:v>
                </c:pt>
                <c:pt idx="908">
                  <c:v>-8.5829392187773967E-3</c:v>
                </c:pt>
                <c:pt idx="909">
                  <c:v>-3.1879488526887378E-2</c:v>
                </c:pt>
                <c:pt idx="910">
                  <c:v>-1.979330881064989E-2</c:v>
                </c:pt>
                <c:pt idx="911">
                  <c:v>-4.3965668243124978E-2</c:v>
                </c:pt>
                <c:pt idx="912">
                  <c:v>-3.0828516377649384E-2</c:v>
                </c:pt>
                <c:pt idx="913">
                  <c:v>-2.2946225258363984E-2</c:v>
                </c:pt>
                <c:pt idx="914">
                  <c:v>-6.4809949203014083E-3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-6.6176470588235059E-3</c:v>
                </c:pt>
                <c:pt idx="922">
                  <c:v>-9.7426470588235503E-3</c:v>
                </c:pt>
                <c:pt idx="923">
                  <c:v>-1.1764705882352899E-2</c:v>
                </c:pt>
                <c:pt idx="924">
                  <c:v>-1.1764705882352899E-2</c:v>
                </c:pt>
                <c:pt idx="925">
                  <c:v>-9.7426470588235503E-3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-9.5657164721640875E-4</c:v>
                </c:pt>
                <c:pt idx="931">
                  <c:v>-7.461258848287744E-3</c:v>
                </c:pt>
                <c:pt idx="932">
                  <c:v>-9.5657164721640875E-4</c:v>
                </c:pt>
                <c:pt idx="933">
                  <c:v>-8.8004591543906496E-3</c:v>
                </c:pt>
                <c:pt idx="934">
                  <c:v>-9.3744021427205615E-3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-2.340381851775819E-2</c:v>
                </c:pt>
                <c:pt idx="940">
                  <c:v>-2.5251488400739097E-2</c:v>
                </c:pt>
                <c:pt idx="941">
                  <c:v>-1.991377540546091E-2</c:v>
                </c:pt>
                <c:pt idx="942">
                  <c:v>-3.2847464586327479E-3</c:v>
                </c:pt>
                <c:pt idx="943">
                  <c:v>0</c:v>
                </c:pt>
                <c:pt idx="944">
                  <c:v>-4.9494741183749857E-3</c:v>
                </c:pt>
                <c:pt idx="945">
                  <c:v>-1.2167457207671761E-2</c:v>
                </c:pt>
                <c:pt idx="946">
                  <c:v>-1.299236956073424E-2</c:v>
                </c:pt>
                <c:pt idx="947">
                  <c:v>-1.0723860589812451E-2</c:v>
                </c:pt>
                <c:pt idx="948">
                  <c:v>-1.8354299855640299E-2</c:v>
                </c:pt>
                <c:pt idx="949">
                  <c:v>-1.299236956073424E-2</c:v>
                </c:pt>
                <c:pt idx="950">
                  <c:v>-1.5673334708187325E-2</c:v>
                </c:pt>
                <c:pt idx="951">
                  <c:v>-1.3611053825531072E-2</c:v>
                </c:pt>
                <c:pt idx="952">
                  <c:v>-1.5054650443390494E-2</c:v>
                </c:pt>
                <c:pt idx="953">
                  <c:v>-3.134666941637454E-2</c:v>
                </c:pt>
                <c:pt idx="954">
                  <c:v>-1.8560527943905947E-2</c:v>
                </c:pt>
                <c:pt idx="955">
                  <c:v>-1.7323159414312284E-2</c:v>
                </c:pt>
                <c:pt idx="956">
                  <c:v>-3.0934213239843245E-2</c:v>
                </c:pt>
                <c:pt idx="957">
                  <c:v>-4.4132810888843022E-2</c:v>
                </c:pt>
                <c:pt idx="958">
                  <c:v>-5.1763250154671203E-2</c:v>
                </c:pt>
                <c:pt idx="959">
                  <c:v>-3.5058775005155751E-2</c:v>
                </c:pt>
                <c:pt idx="960">
                  <c:v>-4.5576407506702443E-2</c:v>
                </c:pt>
                <c:pt idx="961">
                  <c:v>-4.351412662404619E-2</c:v>
                </c:pt>
                <c:pt idx="962">
                  <c:v>-5.0525881625077429E-2</c:v>
                </c:pt>
                <c:pt idx="963">
                  <c:v>-4.9082285007218007E-2</c:v>
                </c:pt>
                <c:pt idx="964">
                  <c:v>-6.0837286038358473E-2</c:v>
                </c:pt>
                <c:pt idx="965">
                  <c:v>-4.660754794803057E-2</c:v>
                </c:pt>
                <c:pt idx="966">
                  <c:v>-4.3720354712311948E-2</c:v>
                </c:pt>
                <c:pt idx="967">
                  <c:v>-3.8564652505671315E-2</c:v>
                </c:pt>
                <c:pt idx="968">
                  <c:v>-4.2689214270983711E-2</c:v>
                </c:pt>
                <c:pt idx="969">
                  <c:v>-2.680965147453096E-2</c:v>
                </c:pt>
                <c:pt idx="970">
                  <c:v>-2.6397195297999665E-2</c:v>
                </c:pt>
                <c:pt idx="971">
                  <c:v>-1.6292018972984157E-2</c:v>
                </c:pt>
                <c:pt idx="972">
                  <c:v>-1.6910703237780988E-2</c:v>
                </c:pt>
                <c:pt idx="973">
                  <c:v>-8.6615797071561973E-3</c:v>
                </c:pt>
                <c:pt idx="974">
                  <c:v>-1.4023510002062256E-2</c:v>
                </c:pt>
                <c:pt idx="975">
                  <c:v>-1.1755001031140466E-2</c:v>
                </c:pt>
                <c:pt idx="976">
                  <c:v>-2.4747370591875484E-3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-1.6628078299305349E-2</c:v>
                </c:pt>
                <c:pt idx="982">
                  <c:v>-1.3260366238686538E-2</c:v>
                </c:pt>
                <c:pt idx="983">
                  <c:v>-1.1366028204588541E-2</c:v>
                </c:pt>
                <c:pt idx="984">
                  <c:v>-7.5773521363923235E-3</c:v>
                </c:pt>
                <c:pt idx="985">
                  <c:v>-9.892654178067728E-3</c:v>
                </c:pt>
                <c:pt idx="986">
                  <c:v>-8.8402441591243219E-3</c:v>
                </c:pt>
                <c:pt idx="987">
                  <c:v>-1.5154704272784647E-2</c:v>
                </c:pt>
                <c:pt idx="988">
                  <c:v>-1.2628920227320539E-2</c:v>
                </c:pt>
                <c:pt idx="989">
                  <c:v>-1.9574826352346864E-2</c:v>
                </c:pt>
                <c:pt idx="990">
                  <c:v>-1.599663228793935E-2</c:v>
                </c:pt>
                <c:pt idx="991">
                  <c:v>-9.892654178067728E-3</c:v>
                </c:pt>
                <c:pt idx="992">
                  <c:v>-1.8943380340980864E-2</c:v>
                </c:pt>
                <c:pt idx="993">
                  <c:v>-9.892654178067728E-3</c:v>
                </c:pt>
                <c:pt idx="994">
                  <c:v>-7.5773521363923235E-3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-2.6634382566586012E-2</c:v>
                </c:pt>
                <c:pt idx="1001">
                  <c:v>-2.8395333480079277E-2</c:v>
                </c:pt>
                <c:pt idx="1002">
                  <c:v>-6.9337442218798118E-2</c:v>
                </c:pt>
                <c:pt idx="1003">
                  <c:v>-9.0688972044904226E-2</c:v>
                </c:pt>
                <c:pt idx="1004">
                  <c:v>-0.10675764913053054</c:v>
                </c:pt>
                <c:pt idx="1005">
                  <c:v>-9.6412062513757446E-2</c:v>
                </c:pt>
                <c:pt idx="1006">
                  <c:v>-9.949372661237077E-2</c:v>
                </c:pt>
                <c:pt idx="1007">
                  <c:v>-0.1032357473035439</c:v>
                </c:pt>
                <c:pt idx="1008">
                  <c:v>-9.0688972044904226E-2</c:v>
                </c:pt>
                <c:pt idx="1009">
                  <c:v>-8.8047545674664329E-2</c:v>
                </c:pt>
                <c:pt idx="1010">
                  <c:v>-4.9086506713625244E-2</c:v>
                </c:pt>
                <c:pt idx="1011">
                  <c:v>-2.1351529826106108E-2</c:v>
                </c:pt>
                <c:pt idx="1012">
                  <c:v>-1.9150341184239417E-2</c:v>
                </c:pt>
                <c:pt idx="1013">
                  <c:v>-3.2357473035439122E-2</c:v>
                </c:pt>
                <c:pt idx="1014">
                  <c:v>-3.8520801232665658E-2</c:v>
                </c:pt>
                <c:pt idx="1015">
                  <c:v>-4.1822584195465473E-2</c:v>
                </c:pt>
                <c:pt idx="1016">
                  <c:v>-5.1067576491305333E-2</c:v>
                </c:pt>
                <c:pt idx="1017">
                  <c:v>-4.6665199207572061E-2</c:v>
                </c:pt>
                <c:pt idx="1018">
                  <c:v>-6.4274708342505038E-2</c:v>
                </c:pt>
                <c:pt idx="1019">
                  <c:v>-7.3299581774157962E-2</c:v>
                </c:pt>
                <c:pt idx="1020">
                  <c:v>-4.9086506713625244E-2</c:v>
                </c:pt>
                <c:pt idx="1021">
                  <c:v>-5.5690072639225208E-2</c:v>
                </c:pt>
                <c:pt idx="1022">
                  <c:v>-7.3299581774157962E-2</c:v>
                </c:pt>
                <c:pt idx="1023">
                  <c:v>-8.2764692934184425E-2</c:v>
                </c:pt>
                <c:pt idx="1024">
                  <c:v>-7.6601364736957889E-2</c:v>
                </c:pt>
                <c:pt idx="1025">
                  <c:v>-8.3865287255117771E-2</c:v>
                </c:pt>
                <c:pt idx="1026">
                  <c:v>-7.373981950253139E-2</c:v>
                </c:pt>
                <c:pt idx="1027">
                  <c:v>-4.9306625577812069E-2</c:v>
                </c:pt>
                <c:pt idx="1028">
                  <c:v>-9.2229804094210777E-2</c:v>
                </c:pt>
                <c:pt idx="1029">
                  <c:v>-7.0878274268104779E-2</c:v>
                </c:pt>
                <c:pt idx="1030">
                  <c:v>-5.7451023552718472E-2</c:v>
                </c:pt>
                <c:pt idx="1031">
                  <c:v>-3.5659255998239048E-2</c:v>
                </c:pt>
                <c:pt idx="1032">
                  <c:v>-3.5219018269865732E-2</c:v>
                </c:pt>
                <c:pt idx="1033">
                  <c:v>-2.0250935505172873E-2</c:v>
                </c:pt>
                <c:pt idx="1034">
                  <c:v>-1.6949152542372947E-2</c:v>
                </c:pt>
                <c:pt idx="1035">
                  <c:v>-1.8049746863306182E-2</c:v>
                </c:pt>
                <c:pt idx="1036">
                  <c:v>-9.6852300242130651E-3</c:v>
                </c:pt>
                <c:pt idx="1037">
                  <c:v>0</c:v>
                </c:pt>
                <c:pt idx="1038">
                  <c:v>0</c:v>
                </c:pt>
                <c:pt idx="1039">
                  <c:v>-1.2720374916313282E-2</c:v>
                </c:pt>
                <c:pt idx="1040">
                  <c:v>-2.3432269582682519E-2</c:v>
                </c:pt>
                <c:pt idx="1041">
                  <c:v>-1.4282526221825464E-2</c:v>
                </c:pt>
                <c:pt idx="1042">
                  <c:v>-1.3389868332961408E-2</c:v>
                </c:pt>
                <c:pt idx="1043">
                  <c:v>-1.6960499888417857E-2</c:v>
                </c:pt>
                <c:pt idx="1044">
                  <c:v>-2.3655434054898561E-2</c:v>
                </c:pt>
                <c:pt idx="1045">
                  <c:v>-6.2486052220486199E-3</c:v>
                </c:pt>
                <c:pt idx="1046">
                  <c:v>-4.6864539165365482E-3</c:v>
                </c:pt>
                <c:pt idx="1047">
                  <c:v>-1.5621513055121827E-3</c:v>
                </c:pt>
                <c:pt idx="1048">
                  <c:v>-2.0754295916090126E-2</c:v>
                </c:pt>
                <c:pt idx="1049">
                  <c:v>-3.7714795804507983E-2</c:v>
                </c:pt>
                <c:pt idx="1050">
                  <c:v>-4.5525552332068675E-2</c:v>
                </c:pt>
                <c:pt idx="1051">
                  <c:v>-4.1285427359964322E-2</c:v>
                </c:pt>
                <c:pt idx="1052">
                  <c:v>-3.7937960276724025E-2</c:v>
                </c:pt>
                <c:pt idx="1053">
                  <c:v>-3.481365766569966E-2</c:v>
                </c:pt>
                <c:pt idx="1054">
                  <c:v>-6.6279848248158912E-2</c:v>
                </c:pt>
                <c:pt idx="1055">
                  <c:v>-8.3240348136576769E-2</c:v>
                </c:pt>
                <c:pt idx="1056">
                  <c:v>-9.2166927025217671E-2</c:v>
                </c:pt>
                <c:pt idx="1057">
                  <c:v>-0.1274269136353493</c:v>
                </c:pt>
                <c:pt idx="1058">
                  <c:v>-0.13434501227404605</c:v>
                </c:pt>
                <c:pt idx="1059">
                  <c:v>-0.11002008480249947</c:v>
                </c:pt>
                <c:pt idx="1060">
                  <c:v>-9.0381611247489446E-2</c:v>
                </c:pt>
                <c:pt idx="1061">
                  <c:v>-0.12698058469091733</c:v>
                </c:pt>
                <c:pt idx="1062">
                  <c:v>-0.10466413746931502</c:v>
                </c:pt>
                <c:pt idx="1063">
                  <c:v>-6.3825039053782673E-2</c:v>
                </c:pt>
                <c:pt idx="1064">
                  <c:v>-6.5833519303726939E-2</c:v>
                </c:pt>
                <c:pt idx="1065">
                  <c:v>-6.851149297031911E-2</c:v>
                </c:pt>
                <c:pt idx="1066">
                  <c:v>-6.2932381164918505E-2</c:v>
                </c:pt>
                <c:pt idx="1067">
                  <c:v>-4.3070743137692435E-2</c:v>
                </c:pt>
                <c:pt idx="1068">
                  <c:v>-4.5302387859852744E-2</c:v>
                </c:pt>
                <c:pt idx="1069">
                  <c:v>-2.8118723499219067E-2</c:v>
                </c:pt>
                <c:pt idx="1070">
                  <c:v>-1.227404597188142E-2</c:v>
                </c:pt>
                <c:pt idx="1071">
                  <c:v>-1.2497210444097351E-2</c:v>
                </c:pt>
                <c:pt idx="1072">
                  <c:v>-4.2401249721045753E-3</c:v>
                </c:pt>
                <c:pt idx="1073">
                  <c:v>0</c:v>
                </c:pt>
                <c:pt idx="1074">
                  <c:v>0</c:v>
                </c:pt>
                <c:pt idx="1075">
                  <c:v>-4.9695053083353979E-3</c:v>
                </c:pt>
                <c:pt idx="1076">
                  <c:v>0</c:v>
                </c:pt>
                <c:pt idx="1077">
                  <c:v>-6.3492063492063266E-3</c:v>
                </c:pt>
                <c:pt idx="1078">
                  <c:v>-1.2018140589569182E-2</c:v>
                </c:pt>
                <c:pt idx="1079">
                  <c:v>-1.1791383219954765E-2</c:v>
                </c:pt>
                <c:pt idx="1080">
                  <c:v>-1.1564625850340127E-2</c:v>
                </c:pt>
                <c:pt idx="1081">
                  <c:v>-7.9365079365080193E-3</c:v>
                </c:pt>
                <c:pt idx="1082">
                  <c:v>-1.9047619047619091E-2</c:v>
                </c:pt>
                <c:pt idx="1083">
                  <c:v>-2.3582766439909308E-2</c:v>
                </c:pt>
                <c:pt idx="1084">
                  <c:v>-2.3582766439909308E-2</c:v>
                </c:pt>
                <c:pt idx="1085">
                  <c:v>-4.0589569160997763E-2</c:v>
                </c:pt>
                <c:pt idx="1086">
                  <c:v>-3.0158730158730163E-2</c:v>
                </c:pt>
                <c:pt idx="1087">
                  <c:v>-3.2879818594104382E-2</c:v>
                </c:pt>
                <c:pt idx="1088">
                  <c:v>-3.3106575963718798E-2</c:v>
                </c:pt>
                <c:pt idx="1089">
                  <c:v>-7.9365079365080193E-3</c:v>
                </c:pt>
                <c:pt idx="1090">
                  <c:v>-7.9365079365080193E-3</c:v>
                </c:pt>
                <c:pt idx="1091">
                  <c:v>-1.1564625850340127E-2</c:v>
                </c:pt>
                <c:pt idx="1092">
                  <c:v>-1.0657596371882017E-2</c:v>
                </c:pt>
                <c:pt idx="1093">
                  <c:v>0</c:v>
                </c:pt>
                <c:pt idx="1094">
                  <c:v>-1.2936904221516166E-2</c:v>
                </c:pt>
                <c:pt idx="1095">
                  <c:v>-2.2923286427598888E-2</c:v>
                </c:pt>
                <c:pt idx="1096">
                  <c:v>-2.2469359963685931E-2</c:v>
                </c:pt>
                <c:pt idx="1097">
                  <c:v>-2.587380844303222E-2</c:v>
                </c:pt>
                <c:pt idx="1098">
                  <c:v>-2.0199727644121701E-2</c:v>
                </c:pt>
                <c:pt idx="1099">
                  <c:v>-3.9037675896504753E-2</c:v>
                </c:pt>
                <c:pt idx="1100">
                  <c:v>-3.9264639128461232E-2</c:v>
                </c:pt>
                <c:pt idx="1101">
                  <c:v>-4.1080344984112616E-2</c:v>
                </c:pt>
                <c:pt idx="1102">
                  <c:v>-3.7448933272809959E-2</c:v>
                </c:pt>
                <c:pt idx="1103">
                  <c:v>-3.6541080344984045E-2</c:v>
                </c:pt>
                <c:pt idx="1104">
                  <c:v>-2.9505220154335099E-2</c:v>
                </c:pt>
                <c:pt idx="1105">
                  <c:v>-2.4965955515206528E-2</c:v>
                </c:pt>
                <c:pt idx="1106">
                  <c:v>-3.8356786200635651E-2</c:v>
                </c:pt>
                <c:pt idx="1107">
                  <c:v>-1.793009532455736E-2</c:v>
                </c:pt>
                <c:pt idx="1108">
                  <c:v>-1.2256014525646841E-2</c:v>
                </c:pt>
                <c:pt idx="1109">
                  <c:v>-7.2628234226055355E-3</c:v>
                </c:pt>
                <c:pt idx="1110">
                  <c:v>-7.2628234226055355E-3</c:v>
                </c:pt>
                <c:pt idx="1111">
                  <c:v>-1.7703132092600993E-2</c:v>
                </c:pt>
                <c:pt idx="1112">
                  <c:v>-3.5633227417158464E-2</c:v>
                </c:pt>
                <c:pt idx="1113">
                  <c:v>-3.4498411257376405E-2</c:v>
                </c:pt>
                <c:pt idx="1114">
                  <c:v>-2.9051293690422142E-2</c:v>
                </c:pt>
                <c:pt idx="1115">
                  <c:v>-4.0626418520199659E-2</c:v>
                </c:pt>
                <c:pt idx="1116">
                  <c:v>-2.7916477530640083E-2</c:v>
                </c:pt>
                <c:pt idx="1117">
                  <c:v>-1.2936904221516166E-2</c:v>
                </c:pt>
                <c:pt idx="1118">
                  <c:v>-8.8515660463005519E-3</c:v>
                </c:pt>
                <c:pt idx="1119">
                  <c:v>-2.0426690876078624E-3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-5.442498816847996E-3</c:v>
                </c:pt>
                <c:pt idx="1125">
                  <c:v>-1.2778040700425874E-2</c:v>
                </c:pt>
                <c:pt idx="1126">
                  <c:v>0</c:v>
                </c:pt>
                <c:pt idx="1127">
                  <c:v>0</c:v>
                </c:pt>
                <c:pt idx="1128">
                  <c:v>-6.0960741282614084E-3</c:v>
                </c:pt>
                <c:pt idx="1129">
                  <c:v>-4.0477932211655632E-2</c:v>
                </c:pt>
                <c:pt idx="1130">
                  <c:v>-4.657400633991704E-2</c:v>
                </c:pt>
                <c:pt idx="1131">
                  <c:v>-4.2184832967568808E-2</c:v>
                </c:pt>
                <c:pt idx="1132">
                  <c:v>-4.8037064130699858E-2</c:v>
                </c:pt>
                <c:pt idx="1133">
                  <c:v>-4.7549378200438808E-2</c:v>
                </c:pt>
                <c:pt idx="1134">
                  <c:v>-4.9256278956351984E-2</c:v>
                </c:pt>
                <c:pt idx="1135">
                  <c:v>-2.609119726895881E-2</c:v>
                </c:pt>
                <c:pt idx="1136">
                  <c:v>-2.1702023896610578E-2</c:v>
                </c:pt>
                <c:pt idx="1137">
                  <c:v>-2.5359668373567401E-2</c:v>
                </c:pt>
                <c:pt idx="1138">
                  <c:v>-4.2916361862960217E-2</c:v>
                </c:pt>
                <c:pt idx="1139">
                  <c:v>-4.9012435991221626E-2</c:v>
                </c:pt>
                <c:pt idx="1140">
                  <c:v>-4.5598634479395161E-2</c:v>
                </c:pt>
                <c:pt idx="1141">
                  <c:v>-4.9743964886613035E-2</c:v>
                </c:pt>
                <c:pt idx="1142">
                  <c:v>-4.9987807851743393E-2</c:v>
                </c:pt>
                <c:pt idx="1143">
                  <c:v>-5.3157766398439388E-2</c:v>
                </c:pt>
                <c:pt idx="1144">
                  <c:v>-5.2670080468178448E-2</c:v>
                </c:pt>
                <c:pt idx="1145">
                  <c:v>-6.4374542794440437E-2</c:v>
                </c:pt>
                <c:pt idx="1146">
                  <c:v>-5.8278468666179029E-2</c:v>
                </c:pt>
                <c:pt idx="1147">
                  <c:v>-6.2423799073396569E-2</c:v>
                </c:pt>
                <c:pt idx="1148">
                  <c:v>-6.0473055352353033E-2</c:v>
                </c:pt>
                <c:pt idx="1149">
                  <c:v>-6.5593757620092563E-2</c:v>
                </c:pt>
                <c:pt idx="1150">
                  <c:v>-5.9741526456961624E-2</c:v>
                </c:pt>
                <c:pt idx="1151">
                  <c:v>-6.6569129480614442E-2</c:v>
                </c:pt>
                <c:pt idx="1152">
                  <c:v>-8.2175079248963612E-2</c:v>
                </c:pt>
                <c:pt idx="1153">
                  <c:v>-7.4128261399658557E-2</c:v>
                </c:pt>
                <c:pt idx="1154">
                  <c:v>-6.4862228724701265E-2</c:v>
                </c:pt>
                <c:pt idx="1155">
                  <c:v>-4.8524750060960575E-2</c:v>
                </c:pt>
                <c:pt idx="1156">
                  <c:v>-3.2431114362350577E-2</c:v>
                </c:pt>
                <c:pt idx="1157">
                  <c:v>-3.2674957327481047E-2</c:v>
                </c:pt>
                <c:pt idx="1158">
                  <c:v>-2.5359668373567401E-2</c:v>
                </c:pt>
                <c:pt idx="1159">
                  <c:v>-3.5113386978785632E-2</c:v>
                </c:pt>
                <c:pt idx="1160">
                  <c:v>-2.6822726164350219E-2</c:v>
                </c:pt>
                <c:pt idx="1161">
                  <c:v>-1.9263594245305993E-2</c:v>
                </c:pt>
                <c:pt idx="1162">
                  <c:v>-1.5362106803218589E-2</c:v>
                </c:pt>
                <c:pt idx="1163">
                  <c:v>-3.2918800292611627E-2</c:v>
                </c:pt>
                <c:pt idx="1164">
                  <c:v>-1.7069007559131766E-2</c:v>
                </c:pt>
                <c:pt idx="1165">
                  <c:v>-1.2923677151914226E-2</c:v>
                </c:pt>
                <c:pt idx="1166">
                  <c:v>-1.1948305291392236E-2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-7.4257425742574323E-4</c:v>
                </c:pt>
                <c:pt idx="1172">
                  <c:v>-1.0643564356435653E-2</c:v>
                </c:pt>
                <c:pt idx="1173">
                  <c:v>-1.4356435643564369E-2</c:v>
                </c:pt>
                <c:pt idx="1174">
                  <c:v>-1.0148514851485047E-2</c:v>
                </c:pt>
                <c:pt idx="1175">
                  <c:v>-1.1138613861386037E-2</c:v>
                </c:pt>
                <c:pt idx="1176">
                  <c:v>-2.7227722772277252E-2</c:v>
                </c:pt>
                <c:pt idx="1177">
                  <c:v>-2.5247524752475159E-2</c:v>
                </c:pt>
                <c:pt idx="1178">
                  <c:v>-2.301980198019804E-2</c:v>
                </c:pt>
                <c:pt idx="1179">
                  <c:v>-3.9603960396038529E-3</c:v>
                </c:pt>
                <c:pt idx="1180">
                  <c:v>0</c:v>
                </c:pt>
                <c:pt idx="1181">
                  <c:v>-7.4515648286139768E-3</c:v>
                </c:pt>
                <c:pt idx="1182">
                  <c:v>-2.2106308991554857E-2</c:v>
                </c:pt>
                <c:pt idx="1183">
                  <c:v>-3.5519125683060149E-2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-4.5824847250509615E-3</c:v>
                </c:pt>
                <c:pt idx="1188">
                  <c:v>-9.9287169042769907E-3</c:v>
                </c:pt>
                <c:pt idx="1189">
                  <c:v>0</c:v>
                </c:pt>
                <c:pt idx="1190">
                  <c:v>-3.8944401742249668E-2</c:v>
                </c:pt>
                <c:pt idx="1191">
                  <c:v>-4.73994363310275E-2</c:v>
                </c:pt>
                <c:pt idx="1192">
                  <c:v>-4.2275172943889272E-2</c:v>
                </c:pt>
                <c:pt idx="1193">
                  <c:v>-3.5613630540609842E-2</c:v>
                </c:pt>
                <c:pt idx="1194">
                  <c:v>-1.6910069177555775E-2</c:v>
                </c:pt>
                <c:pt idx="1195">
                  <c:v>-2.1521906225980048E-2</c:v>
                </c:pt>
                <c:pt idx="1196">
                  <c:v>-2.5877530105047342E-2</c:v>
                </c:pt>
                <c:pt idx="1197">
                  <c:v>-3.7407122726108133E-2</c:v>
                </c:pt>
                <c:pt idx="1198">
                  <c:v>-3.7150909556751266E-2</c:v>
                </c:pt>
                <c:pt idx="1199">
                  <c:v>-3.2539072508326994E-2</c:v>
                </c:pt>
                <c:pt idx="1200">
                  <c:v>-3.8688188572892579E-2</c:v>
                </c:pt>
                <c:pt idx="1201">
                  <c:v>-4.2018959774532405E-2</c:v>
                </c:pt>
                <c:pt idx="1202">
                  <c:v>-4.5349730976172231E-2</c:v>
                </c:pt>
                <c:pt idx="1203">
                  <c:v>-5.3548552395593196E-2</c:v>
                </c:pt>
                <c:pt idx="1204">
                  <c:v>-6.6359210863438434E-2</c:v>
                </c:pt>
                <c:pt idx="1205">
                  <c:v>-6.7896489879579747E-2</c:v>
                </c:pt>
                <c:pt idx="1206">
                  <c:v>-7.0971047911862706E-2</c:v>
                </c:pt>
                <c:pt idx="1207">
                  <c:v>-7.6607737637714668E-2</c:v>
                </c:pt>
                <c:pt idx="1208">
                  <c:v>-8.5831411734563212E-2</c:v>
                </c:pt>
                <c:pt idx="1209">
                  <c:v>-7.7120163976428291E-2</c:v>
                </c:pt>
                <c:pt idx="1210">
                  <c:v>-8.0707148347424984E-2</c:v>
                </c:pt>
                <c:pt idx="1211">
                  <c:v>-7.737637714578538E-2</c:v>
                </c:pt>
                <c:pt idx="1212">
                  <c:v>-7.9682295669997405E-2</c:v>
                </c:pt>
                <c:pt idx="1213">
                  <c:v>-6.5846784524724589E-2</c:v>
                </c:pt>
                <c:pt idx="1214">
                  <c:v>-7.9426082500640538E-2</c:v>
                </c:pt>
                <c:pt idx="1215">
                  <c:v>-6.5846784524724589E-2</c:v>
                </c:pt>
                <c:pt idx="1216">
                  <c:v>-6.3028439661798608E-2</c:v>
                </c:pt>
                <c:pt idx="1217">
                  <c:v>-6.7127850371509257E-2</c:v>
                </c:pt>
                <c:pt idx="1218">
                  <c:v>-6.5590571355367722E-2</c:v>
                </c:pt>
                <c:pt idx="1219">
                  <c:v>-7.1227261081219573E-2</c:v>
                </c:pt>
                <c:pt idx="1220">
                  <c:v>-6.2772226492441741E-2</c:v>
                </c:pt>
                <c:pt idx="1221">
                  <c:v>-8.8649756597489082E-2</c:v>
                </c:pt>
                <c:pt idx="1222">
                  <c:v>-7.5839098129643845E-2</c:v>
                </c:pt>
                <c:pt idx="1223">
                  <c:v>-7.0202408403791994E-2</c:v>
                </c:pt>
                <c:pt idx="1224">
                  <c:v>-6.097873430694345E-2</c:v>
                </c:pt>
                <c:pt idx="1225">
                  <c:v>-6.866512938765057E-2</c:v>
                </c:pt>
                <c:pt idx="1226">
                  <c:v>-4.5862157314885965E-2</c:v>
                </c:pt>
                <c:pt idx="1227">
                  <c:v>-7.1739687419933862E-3</c:v>
                </c:pt>
                <c:pt idx="1228">
                  <c:v>-4.8680502177811391E-3</c:v>
                </c:pt>
                <c:pt idx="1229">
                  <c:v>-1.0760953112990079E-2</c:v>
                </c:pt>
                <c:pt idx="1230">
                  <c:v>-1.4091724314629905E-2</c:v>
                </c:pt>
                <c:pt idx="1231">
                  <c:v>-4.3556238790674051E-3</c:v>
                </c:pt>
                <c:pt idx="1232">
                  <c:v>-1.8959774532411044E-2</c:v>
                </c:pt>
                <c:pt idx="1233">
                  <c:v>-2.1521906225980048E-2</c:v>
                </c:pt>
                <c:pt idx="1234">
                  <c:v>-1.5629003330771218E-2</c:v>
                </c:pt>
                <c:pt idx="1235">
                  <c:v>-1.6141429669485063E-2</c:v>
                </c:pt>
                <c:pt idx="1236">
                  <c:v>-1.4347937483986772E-2</c:v>
                </c:pt>
                <c:pt idx="1237">
                  <c:v>-1.7934921854983465E-2</c:v>
                </c:pt>
                <c:pt idx="1238">
                  <c:v>-1.4860363822700395E-2</c:v>
                </c:pt>
                <c:pt idx="1239">
                  <c:v>-1.3579297975915949E-2</c:v>
                </c:pt>
                <c:pt idx="1240">
                  <c:v>-1.9728414040481757E-2</c:v>
                </c:pt>
                <c:pt idx="1241">
                  <c:v>-2.3059185242121361E-2</c:v>
                </c:pt>
                <c:pt idx="1242">
                  <c:v>-3.7663335895465E-2</c:v>
                </c:pt>
                <c:pt idx="1243">
                  <c:v>-4.0994107097105381E-3</c:v>
                </c:pt>
                <c:pt idx="1244">
                  <c:v>-2.8183448629259811E-3</c:v>
                </c:pt>
                <c:pt idx="1245">
                  <c:v>0</c:v>
                </c:pt>
                <c:pt idx="1246">
                  <c:v>-2.5974025974018211E-4</c:v>
                </c:pt>
                <c:pt idx="1247">
                  <c:v>-4.9350649350649034E-3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-6.778741865509752E-3</c:v>
                </c:pt>
                <c:pt idx="1252">
                  <c:v>-3.2537960954448497E-3</c:v>
                </c:pt>
                <c:pt idx="1253">
                  <c:v>0</c:v>
                </c:pt>
                <c:pt idx="1254">
                  <c:v>0</c:v>
                </c:pt>
                <c:pt idx="1255">
                  <c:v>-6.0891226127872677E-3</c:v>
                </c:pt>
                <c:pt idx="1256">
                  <c:v>-4.9820094104622292E-3</c:v>
                </c:pt>
                <c:pt idx="1257">
                  <c:v>-5.8123443122058971E-3</c:v>
                </c:pt>
                <c:pt idx="1258">
                  <c:v>0</c:v>
                </c:pt>
                <c:pt idx="1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1-4634-B96C-5601DB74058E}"/>
            </c:ext>
          </c:extLst>
        </c:ser>
        <c:ser>
          <c:idx val="1"/>
          <c:order val="1"/>
          <c:tx>
            <c:strRef>
              <c:f>Historicos!$J$1</c:f>
              <c:strCache>
                <c:ptCount val="1"/>
                <c:pt idx="0">
                  <c:v>Caída</c:v>
                </c:pt>
              </c:strCache>
            </c:strRef>
          </c:tx>
          <c:spPr>
            <a:ln>
              <a:solidFill>
                <a:srgbClr val="5F3F1F"/>
              </a:solidFill>
              <a:prstDash val="sysDash"/>
            </a:ln>
          </c:spPr>
          <c:marker>
            <c:symbol val="none"/>
          </c:marker>
          <c:val>
            <c:numRef>
              <c:f>Historicos!$J$2:$J$1261</c:f>
              <c:numCache>
                <c:formatCode>0.00%</c:formatCode>
                <c:ptCount val="1260"/>
                <c:pt idx="0">
                  <c:v>-0.20041488556083653</c:v>
                </c:pt>
                <c:pt idx="1">
                  <c:v>-0.17952986279257466</c:v>
                </c:pt>
                <c:pt idx="2">
                  <c:v>-0.16219085981327042</c:v>
                </c:pt>
                <c:pt idx="3">
                  <c:v>-0.15181622973525044</c:v>
                </c:pt>
                <c:pt idx="4">
                  <c:v>-0.16970824739186319</c:v>
                </c:pt>
                <c:pt idx="5">
                  <c:v>-0.16854243266672653</c:v>
                </c:pt>
                <c:pt idx="6">
                  <c:v>-0.15032595482218836</c:v>
                </c:pt>
                <c:pt idx="7">
                  <c:v>-0.16726638866469379</c:v>
                </c:pt>
                <c:pt idx="8">
                  <c:v>-0.16475104375292704</c:v>
                </c:pt>
                <c:pt idx="9">
                  <c:v>-0.1461279008359988</c:v>
                </c:pt>
                <c:pt idx="10">
                  <c:v>-0.13452580236949363</c:v>
                </c:pt>
                <c:pt idx="11">
                  <c:v>-0.13505390647575211</c:v>
                </c:pt>
                <c:pt idx="12">
                  <c:v>-0.11541503502426287</c:v>
                </c:pt>
                <c:pt idx="13">
                  <c:v>-9.4964701720822275E-2</c:v>
                </c:pt>
                <c:pt idx="14">
                  <c:v>-0.11184472742853158</c:v>
                </c:pt>
                <c:pt idx="15">
                  <c:v>-0.11439681543259694</c:v>
                </c:pt>
                <c:pt idx="16">
                  <c:v>-0.10058701760679167</c:v>
                </c:pt>
                <c:pt idx="17">
                  <c:v>-8.954104763897619E-2</c:v>
                </c:pt>
                <c:pt idx="18">
                  <c:v>-0.10602810908837279</c:v>
                </c:pt>
                <c:pt idx="19">
                  <c:v>-0.11758661405554072</c:v>
                </c:pt>
                <c:pt idx="20">
                  <c:v>-0.11618290337687698</c:v>
                </c:pt>
                <c:pt idx="21">
                  <c:v>-0.13295020875058539</c:v>
                </c:pt>
                <c:pt idx="22">
                  <c:v>-0.12135309239829017</c:v>
                </c:pt>
                <c:pt idx="23">
                  <c:v>-0.13819014737093838</c:v>
                </c:pt>
                <c:pt idx="24">
                  <c:v>-0.13474127880907538</c:v>
                </c:pt>
                <c:pt idx="25">
                  <c:v>-0.15212013870205954</c:v>
                </c:pt>
                <c:pt idx="26">
                  <c:v>-0.16321966639763252</c:v>
                </c:pt>
                <c:pt idx="27">
                  <c:v>-0.19360620372861426</c:v>
                </c:pt>
                <c:pt idx="28">
                  <c:v>-0.21648656323797577</c:v>
                </c:pt>
                <c:pt idx="29">
                  <c:v>-0.20013339610797243</c:v>
                </c:pt>
                <c:pt idx="30">
                  <c:v>-0.18231299634312825</c:v>
                </c:pt>
                <c:pt idx="31">
                  <c:v>-0.17449169979772627</c:v>
                </c:pt>
                <c:pt idx="32">
                  <c:v>-0.20313885650514663</c:v>
                </c:pt>
                <c:pt idx="33">
                  <c:v>-0.20093364820295145</c:v>
                </c:pt>
                <c:pt idx="34">
                  <c:v>-0.17088651740252492</c:v>
                </c:pt>
                <c:pt idx="35">
                  <c:v>-0.15690545940075129</c:v>
                </c:pt>
                <c:pt idx="36">
                  <c:v>-0.1435733217748284</c:v>
                </c:pt>
                <c:pt idx="37">
                  <c:v>-0.15724673422413549</c:v>
                </c:pt>
                <c:pt idx="38">
                  <c:v>-0.1436119331599558</c:v>
                </c:pt>
                <c:pt idx="39">
                  <c:v>-0.14714798872049339</c:v>
                </c:pt>
                <c:pt idx="40">
                  <c:v>-0.1609129475184089</c:v>
                </c:pt>
                <c:pt idx="41">
                  <c:v>-0.18807169760559594</c:v>
                </c:pt>
                <c:pt idx="42">
                  <c:v>-0.16664673820982667</c:v>
                </c:pt>
                <c:pt idx="43">
                  <c:v>-0.15627459918891184</c:v>
                </c:pt>
                <c:pt idx="44">
                  <c:v>-0.14577167966998483</c:v>
                </c:pt>
                <c:pt idx="45">
                  <c:v>-0.12040213134845901</c:v>
                </c:pt>
                <c:pt idx="46">
                  <c:v>-0.11942625972757803</c:v>
                </c:pt>
                <c:pt idx="47">
                  <c:v>-0.14115076874022259</c:v>
                </c:pt>
                <c:pt idx="48">
                  <c:v>-0.14113644516186896</c:v>
                </c:pt>
                <c:pt idx="49">
                  <c:v>-0.11656901722815105</c:v>
                </c:pt>
                <c:pt idx="50">
                  <c:v>-9.7591521438037399E-2</c:v>
                </c:pt>
                <c:pt idx="51">
                  <c:v>-0.11602036190077625</c:v>
                </c:pt>
                <c:pt idx="52">
                  <c:v>-0.12715414163154282</c:v>
                </c:pt>
                <c:pt idx="53">
                  <c:v>-0.12202630058091457</c:v>
                </c:pt>
                <c:pt idx="54">
                  <c:v>-0.13567667075200041</c:v>
                </c:pt>
                <c:pt idx="55">
                  <c:v>-0.10212649089767745</c:v>
                </c:pt>
                <c:pt idx="56">
                  <c:v>-0.1065823692942337</c:v>
                </c:pt>
                <c:pt idx="57">
                  <c:v>-0.11319114379378037</c:v>
                </c:pt>
                <c:pt idx="58">
                  <c:v>-0.14241809404238792</c:v>
                </c:pt>
                <c:pt idx="59">
                  <c:v>-0.16843656273976426</c:v>
                </c:pt>
                <c:pt idx="60">
                  <c:v>-0.15664514393327955</c:v>
                </c:pt>
                <c:pt idx="61">
                  <c:v>-0.15682138622345776</c:v>
                </c:pt>
                <c:pt idx="62">
                  <c:v>-0.13715199932243249</c:v>
                </c:pt>
                <c:pt idx="63">
                  <c:v>-0.14252085014796878</c:v>
                </c:pt>
                <c:pt idx="64">
                  <c:v>-0.11853819786964792</c:v>
                </c:pt>
                <c:pt idx="65">
                  <c:v>-0.10693983598880019</c:v>
                </c:pt>
                <c:pt idx="66">
                  <c:v>-9.6562092089399143E-2</c:v>
                </c:pt>
                <c:pt idx="67">
                  <c:v>-7.2470456062734834E-2</c:v>
                </c:pt>
                <c:pt idx="68">
                  <c:v>-7.7884768680437255E-2</c:v>
                </c:pt>
                <c:pt idx="69">
                  <c:v>-5.4121329427355813E-2</c:v>
                </c:pt>
                <c:pt idx="70">
                  <c:v>-5.6297267808567253E-2</c:v>
                </c:pt>
                <c:pt idx="71">
                  <c:v>-6.9413928994908281E-2</c:v>
                </c:pt>
                <c:pt idx="72">
                  <c:v>-6.9845504638348377E-2</c:v>
                </c:pt>
                <c:pt idx="73">
                  <c:v>-6.0817913689853453E-2</c:v>
                </c:pt>
                <c:pt idx="74">
                  <c:v>-5.9615355872418063E-2</c:v>
                </c:pt>
                <c:pt idx="75">
                  <c:v>-2.7072808617064847E-2</c:v>
                </c:pt>
                <c:pt idx="76">
                  <c:v>-1.3989776701641143E-2</c:v>
                </c:pt>
                <c:pt idx="77">
                  <c:v>-2.56871581024124E-2</c:v>
                </c:pt>
                <c:pt idx="78">
                  <c:v>-1.9671877958130413E-2</c:v>
                </c:pt>
                <c:pt idx="79">
                  <c:v>-1.8136141252902194E-2</c:v>
                </c:pt>
                <c:pt idx="80">
                  <c:v>-1.717085662471729E-2</c:v>
                </c:pt>
                <c:pt idx="81">
                  <c:v>-1.1594625295190286E-2</c:v>
                </c:pt>
                <c:pt idx="82">
                  <c:v>-2.5164036110363774E-2</c:v>
                </c:pt>
                <c:pt idx="83">
                  <c:v>-3.3352140814476128E-2</c:v>
                </c:pt>
                <c:pt idx="84">
                  <c:v>-4.4611718929044697E-2</c:v>
                </c:pt>
                <c:pt idx="85">
                  <c:v>-6.7040574338126158E-2</c:v>
                </c:pt>
                <c:pt idx="86">
                  <c:v>-5.5286521388216325E-2</c:v>
                </c:pt>
                <c:pt idx="87">
                  <c:v>-5.4617049791249372E-2</c:v>
                </c:pt>
                <c:pt idx="88">
                  <c:v>-3.0631283691547329E-2</c:v>
                </c:pt>
                <c:pt idx="89">
                  <c:v>-5.1054215366833189E-2</c:v>
                </c:pt>
                <c:pt idx="90">
                  <c:v>-4.0115983618808415E-2</c:v>
                </c:pt>
                <c:pt idx="91">
                  <c:v>-2.6582070367381139E-2</c:v>
                </c:pt>
                <c:pt idx="92">
                  <c:v>-3.3633630267340231E-2</c:v>
                </c:pt>
                <c:pt idx="93">
                  <c:v>-1.6842659851134423E-2</c:v>
                </c:pt>
                <c:pt idx="94">
                  <c:v>-2.3074661963550902E-2</c:v>
                </c:pt>
                <c:pt idx="95">
                  <c:v>-5.1832047947867221E-2</c:v>
                </c:pt>
                <c:pt idx="96">
                  <c:v>-6.0530819358503019E-2</c:v>
                </c:pt>
                <c:pt idx="97">
                  <c:v>-4.2106338245697983E-2</c:v>
                </c:pt>
                <c:pt idx="98">
                  <c:v>-5.0032259189509709E-2</c:v>
                </c:pt>
                <c:pt idx="99">
                  <c:v>-3.2368173258003785E-2</c:v>
                </c:pt>
                <c:pt idx="100">
                  <c:v>-1.7101729790053755E-2</c:v>
                </c:pt>
                <c:pt idx="101">
                  <c:v>-3.5234757221574542E-2</c:v>
                </c:pt>
                <c:pt idx="102">
                  <c:v>-1.3215680706264554E-2</c:v>
                </c:pt>
                <c:pt idx="103">
                  <c:v>-1.7580635518488652E-2</c:v>
                </c:pt>
                <c:pt idx="104">
                  <c:v>-1.2622186350999876E-2</c:v>
                </c:pt>
                <c:pt idx="105">
                  <c:v>0</c:v>
                </c:pt>
                <c:pt idx="106">
                  <c:v>0</c:v>
                </c:pt>
                <c:pt idx="107">
                  <c:v>-3.8035684341987119E-3</c:v>
                </c:pt>
                <c:pt idx="108">
                  <c:v>-5.3183634957543191E-4</c:v>
                </c:pt>
                <c:pt idx="109">
                  <c:v>-8.0407399157571557E-3</c:v>
                </c:pt>
                <c:pt idx="110">
                  <c:v>-7.5958744515829402E-3</c:v>
                </c:pt>
                <c:pt idx="111">
                  <c:v>-1.7399182598815233E-2</c:v>
                </c:pt>
                <c:pt idx="112">
                  <c:v>-2.2502934485270076E-2</c:v>
                </c:pt>
                <c:pt idx="113">
                  <c:v>-5.9953598842723554E-3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-9.0078722129679489E-3</c:v>
                </c:pt>
                <c:pt idx="123">
                  <c:v>-9.0163278659948221E-3</c:v>
                </c:pt>
                <c:pt idx="124">
                  <c:v>-9.6017192293909037E-3</c:v>
                </c:pt>
                <c:pt idx="125">
                  <c:v>-1.8480805342411588E-2</c:v>
                </c:pt>
                <c:pt idx="126">
                  <c:v>-1.0317847997278529E-2</c:v>
                </c:pt>
                <c:pt idx="127">
                  <c:v>-1.6433236440222099E-2</c:v>
                </c:pt>
                <c:pt idx="128">
                  <c:v>-1.5951264217692773E-2</c:v>
                </c:pt>
                <c:pt idx="129">
                  <c:v>-2.2929129269373072E-2</c:v>
                </c:pt>
                <c:pt idx="130">
                  <c:v>-3.1025091825139683E-2</c:v>
                </c:pt>
                <c:pt idx="131">
                  <c:v>-3.5832455788317286E-2</c:v>
                </c:pt>
                <c:pt idx="132">
                  <c:v>-5.2209754831592736E-2</c:v>
                </c:pt>
                <c:pt idx="133">
                  <c:v>-5.9086152046951002E-2</c:v>
                </c:pt>
                <c:pt idx="134">
                  <c:v>-5.7767070174765234E-2</c:v>
                </c:pt>
                <c:pt idx="135">
                  <c:v>-5.169591130150053E-2</c:v>
                </c:pt>
                <c:pt idx="136">
                  <c:v>-4.6851472551974638E-2</c:v>
                </c:pt>
                <c:pt idx="137">
                  <c:v>-5.6745237028215212E-2</c:v>
                </c:pt>
                <c:pt idx="138">
                  <c:v>-6.1173397474881819E-2</c:v>
                </c:pt>
                <c:pt idx="139">
                  <c:v>-7.2773902992845918E-2</c:v>
                </c:pt>
                <c:pt idx="140">
                  <c:v>-5.2531069646612139E-2</c:v>
                </c:pt>
                <c:pt idx="141">
                  <c:v>-6.0214006073760595E-2</c:v>
                </c:pt>
                <c:pt idx="142">
                  <c:v>-5.606032913304182E-2</c:v>
                </c:pt>
                <c:pt idx="143">
                  <c:v>-5.383324021274416E-2</c:v>
                </c:pt>
                <c:pt idx="144">
                  <c:v>-2.6300983522534072E-2</c:v>
                </c:pt>
                <c:pt idx="145">
                  <c:v>-2.1245153447337128E-2</c:v>
                </c:pt>
                <c:pt idx="146">
                  <c:v>-2.0949856026246327E-2</c:v>
                </c:pt>
                <c:pt idx="147">
                  <c:v>-3.1056963132702342E-2</c:v>
                </c:pt>
                <c:pt idx="148">
                  <c:v>-4.0842755424138844E-2</c:v>
                </c:pt>
                <c:pt idx="149">
                  <c:v>-4.2956668680846577E-2</c:v>
                </c:pt>
                <c:pt idx="150">
                  <c:v>-2.1487765645722523E-2</c:v>
                </c:pt>
                <c:pt idx="151">
                  <c:v>-1.2515016914558252E-2</c:v>
                </c:pt>
                <c:pt idx="152">
                  <c:v>-1.3841253570074263E-2</c:v>
                </c:pt>
                <c:pt idx="153">
                  <c:v>-2.1891685686465712E-2</c:v>
                </c:pt>
                <c:pt idx="154">
                  <c:v>-1.748043654585274E-2</c:v>
                </c:pt>
                <c:pt idx="155">
                  <c:v>-1.683585561126888E-2</c:v>
                </c:pt>
                <c:pt idx="156">
                  <c:v>-8.2006825663296645E-3</c:v>
                </c:pt>
                <c:pt idx="157">
                  <c:v>-5.7036631840217122E-3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-4.3561168068151357E-4</c:v>
                </c:pt>
                <c:pt idx="163">
                  <c:v>0</c:v>
                </c:pt>
                <c:pt idx="164">
                  <c:v>0</c:v>
                </c:pt>
                <c:pt idx="165">
                  <c:v>-6.3855134936769975E-3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-1.2115377385345072E-2</c:v>
                </c:pt>
                <c:pt idx="170">
                  <c:v>-2.3721191907148054E-2</c:v>
                </c:pt>
                <c:pt idx="171">
                  <c:v>-2.4787312891739077E-2</c:v>
                </c:pt>
                <c:pt idx="172">
                  <c:v>-1.6041495469657163E-2</c:v>
                </c:pt>
                <c:pt idx="173">
                  <c:v>-6.8049132870363627E-3</c:v>
                </c:pt>
                <c:pt idx="174">
                  <c:v>-4.84856785309562E-3</c:v>
                </c:pt>
                <c:pt idx="175">
                  <c:v>-5.2943514385920265E-3</c:v>
                </c:pt>
                <c:pt idx="176">
                  <c:v>-8.7263479582575521E-3</c:v>
                </c:pt>
                <c:pt idx="177">
                  <c:v>-7.1855748728443247E-3</c:v>
                </c:pt>
                <c:pt idx="178">
                  <c:v>-2.3457347104286486E-3</c:v>
                </c:pt>
                <c:pt idx="179">
                  <c:v>-3.9851978366068908E-3</c:v>
                </c:pt>
                <c:pt idx="180">
                  <c:v>0</c:v>
                </c:pt>
                <c:pt idx="181">
                  <c:v>-4.0550620556563111E-3</c:v>
                </c:pt>
                <c:pt idx="182">
                  <c:v>-5.3514959863778522E-3</c:v>
                </c:pt>
                <c:pt idx="183">
                  <c:v>-1.0756897749501171E-2</c:v>
                </c:pt>
                <c:pt idx="184">
                  <c:v>-1.1322234583116209E-2</c:v>
                </c:pt>
                <c:pt idx="185">
                  <c:v>-4.2080196971707728E-3</c:v>
                </c:pt>
                <c:pt idx="186">
                  <c:v>-5.264572921376387E-3</c:v>
                </c:pt>
                <c:pt idx="187">
                  <c:v>-1.213755945638717E-2</c:v>
                </c:pt>
                <c:pt idx="188">
                  <c:v>0</c:v>
                </c:pt>
                <c:pt idx="189">
                  <c:v>0</c:v>
                </c:pt>
                <c:pt idx="190">
                  <c:v>-3.3013783797725127E-3</c:v>
                </c:pt>
                <c:pt idx="191">
                  <c:v>-6.8749304294234426E-3</c:v>
                </c:pt>
                <c:pt idx="192">
                  <c:v>-1.5906888097933725E-2</c:v>
                </c:pt>
                <c:pt idx="193">
                  <c:v>-3.1103816947256724E-2</c:v>
                </c:pt>
                <c:pt idx="194">
                  <c:v>-2.0769362339851938E-2</c:v>
                </c:pt>
                <c:pt idx="195">
                  <c:v>-1.2903475406631615E-2</c:v>
                </c:pt>
                <c:pt idx="196">
                  <c:v>-5.9925718986454379E-3</c:v>
                </c:pt>
                <c:pt idx="197">
                  <c:v>-3.7731008250730946E-3</c:v>
                </c:pt>
                <c:pt idx="198">
                  <c:v>0</c:v>
                </c:pt>
                <c:pt idx="199">
                  <c:v>0</c:v>
                </c:pt>
                <c:pt idx="200">
                  <c:v>-7.1789682415209777E-3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-4.0954466205000983E-4</c:v>
                </c:pt>
                <c:pt idx="205">
                  <c:v>-1.6781006488700845E-3</c:v>
                </c:pt>
                <c:pt idx="206">
                  <c:v>0</c:v>
                </c:pt>
                <c:pt idx="207">
                  <c:v>0</c:v>
                </c:pt>
                <c:pt idx="208">
                  <c:v>-6.4858650592114486E-4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-2.3041962334222621E-3</c:v>
                </c:pt>
                <c:pt idx="213">
                  <c:v>-1.0142414284041279E-2</c:v>
                </c:pt>
                <c:pt idx="214">
                  <c:v>-9.0234751455808837E-4</c:v>
                </c:pt>
                <c:pt idx="215">
                  <c:v>-9.4862898207580537E-3</c:v>
                </c:pt>
                <c:pt idx="216">
                  <c:v>-7.1454070582058771E-3</c:v>
                </c:pt>
                <c:pt idx="217">
                  <c:v>0</c:v>
                </c:pt>
                <c:pt idx="218">
                  <c:v>-4.9056566408134383E-3</c:v>
                </c:pt>
                <c:pt idx="219">
                  <c:v>-8.37766766298087E-3</c:v>
                </c:pt>
                <c:pt idx="220">
                  <c:v>-1.6057255293596806E-2</c:v>
                </c:pt>
                <c:pt idx="221">
                  <c:v>-1.5126481917110302E-2</c:v>
                </c:pt>
                <c:pt idx="222">
                  <c:v>-1.8181200923983676E-2</c:v>
                </c:pt>
                <c:pt idx="223">
                  <c:v>-2.2936208074529785E-2</c:v>
                </c:pt>
                <c:pt idx="224">
                  <c:v>-3.7080285569193405E-2</c:v>
                </c:pt>
                <c:pt idx="225">
                  <c:v>-2.7049717160886666E-2</c:v>
                </c:pt>
                <c:pt idx="226">
                  <c:v>-2.8453657246240605E-2</c:v>
                </c:pt>
                <c:pt idx="227">
                  <c:v>-2.7586538583951437E-2</c:v>
                </c:pt>
                <c:pt idx="228">
                  <c:v>-2.8467802738284309E-2</c:v>
                </c:pt>
                <c:pt idx="229">
                  <c:v>-2.8346151506707162E-2</c:v>
                </c:pt>
                <c:pt idx="230">
                  <c:v>-3.4063052116236392E-2</c:v>
                </c:pt>
                <c:pt idx="231">
                  <c:v>-3.3780142275358971E-2</c:v>
                </c:pt>
                <c:pt idx="232">
                  <c:v>-4.7231090659873076E-2</c:v>
                </c:pt>
                <c:pt idx="233">
                  <c:v>-4.2651487610670835E-2</c:v>
                </c:pt>
                <c:pt idx="234">
                  <c:v>-5.9343168222435128E-2</c:v>
                </c:pt>
                <c:pt idx="235">
                  <c:v>-5.906733112757967E-2</c:v>
                </c:pt>
                <c:pt idx="236">
                  <c:v>-5.3733773352439229E-2</c:v>
                </c:pt>
                <c:pt idx="237">
                  <c:v>-5.013162380346825E-2</c:v>
                </c:pt>
                <c:pt idx="238">
                  <c:v>-7.1702791895764784E-2</c:v>
                </c:pt>
                <c:pt idx="239">
                  <c:v>-7.8302371208831323E-2</c:v>
                </c:pt>
                <c:pt idx="240">
                  <c:v>-5.2999622315362482E-2</c:v>
                </c:pt>
                <c:pt idx="241">
                  <c:v>-5.2120479984836043E-2</c:v>
                </c:pt>
                <c:pt idx="242">
                  <c:v>-2.7338992473183721E-2</c:v>
                </c:pt>
                <c:pt idx="243">
                  <c:v>-3.5783851223372909E-2</c:v>
                </c:pt>
                <c:pt idx="244">
                  <c:v>-3.9349929767632075E-2</c:v>
                </c:pt>
                <c:pt idx="245">
                  <c:v>-3.5737171099628151E-2</c:v>
                </c:pt>
                <c:pt idx="246">
                  <c:v>-1.7233452957044371E-2</c:v>
                </c:pt>
                <c:pt idx="247">
                  <c:v>-1.2455105744625827E-2</c:v>
                </c:pt>
                <c:pt idx="248">
                  <c:v>-3.9770050881335894E-3</c:v>
                </c:pt>
                <c:pt idx="249">
                  <c:v>-6.2063346342471348E-3</c:v>
                </c:pt>
                <c:pt idx="250">
                  <c:v>-3.4345254682512927E-3</c:v>
                </c:pt>
                <c:pt idx="251">
                  <c:v>0</c:v>
                </c:pt>
                <c:pt idx="252">
                  <c:v>-5.5805162935326225E-3</c:v>
                </c:pt>
                <c:pt idx="253">
                  <c:v>-1.9655960390111082E-2</c:v>
                </c:pt>
                <c:pt idx="254">
                  <c:v>-1.0304729108004174E-2</c:v>
                </c:pt>
                <c:pt idx="255">
                  <c:v>-2.1936125577933785E-2</c:v>
                </c:pt>
                <c:pt idx="256">
                  <c:v>-1.2819721513365523E-2</c:v>
                </c:pt>
                <c:pt idx="257">
                  <c:v>-3.0598483058741355E-3</c:v>
                </c:pt>
                <c:pt idx="258">
                  <c:v>-4.023278400791086E-3</c:v>
                </c:pt>
                <c:pt idx="259">
                  <c:v>-1.6858607765473543E-2</c:v>
                </c:pt>
                <c:pt idx="260">
                  <c:v>-7.0497826606703562E-3</c:v>
                </c:pt>
                <c:pt idx="261">
                  <c:v>-1.7414814830580272E-2</c:v>
                </c:pt>
                <c:pt idx="262">
                  <c:v>-1.3854096386995196E-2</c:v>
                </c:pt>
                <c:pt idx="263">
                  <c:v>-1.888266230214386E-2</c:v>
                </c:pt>
                <c:pt idx="264">
                  <c:v>-2.8848275367901799E-2</c:v>
                </c:pt>
                <c:pt idx="265">
                  <c:v>-2.8171462178983808E-2</c:v>
                </c:pt>
                <c:pt idx="266">
                  <c:v>-2.7659950324465887E-2</c:v>
                </c:pt>
                <c:pt idx="267">
                  <c:v>-4.3656579028581444E-2</c:v>
                </c:pt>
                <c:pt idx="268">
                  <c:v>-6.0203739215506702E-2</c:v>
                </c:pt>
                <c:pt idx="269">
                  <c:v>-7.4497693230520134E-2</c:v>
                </c:pt>
                <c:pt idx="270">
                  <c:v>-7.3486020686078568E-2</c:v>
                </c:pt>
                <c:pt idx="271">
                  <c:v>-6.7875707585486666E-2</c:v>
                </c:pt>
                <c:pt idx="272">
                  <c:v>-7.9301364197149837E-2</c:v>
                </c:pt>
                <c:pt idx="273">
                  <c:v>-8.0421582253021762E-2</c:v>
                </c:pt>
                <c:pt idx="274">
                  <c:v>-6.1563750623427116E-2</c:v>
                </c:pt>
                <c:pt idx="275">
                  <c:v>-5.093338498113209E-2</c:v>
                </c:pt>
                <c:pt idx="276">
                  <c:v>-6.2447722566186137E-2</c:v>
                </c:pt>
                <c:pt idx="277">
                  <c:v>-6.9476221793242754E-2</c:v>
                </c:pt>
                <c:pt idx="278">
                  <c:v>-4.0457678956430598E-2</c:v>
                </c:pt>
                <c:pt idx="279">
                  <c:v>-4.4262447438787045E-2</c:v>
                </c:pt>
                <c:pt idx="280">
                  <c:v>-4.5103852514318477E-2</c:v>
                </c:pt>
                <c:pt idx="281">
                  <c:v>-5.502547981727457E-2</c:v>
                </c:pt>
                <c:pt idx="282">
                  <c:v>-4.9434321806935078E-2</c:v>
                </c:pt>
                <c:pt idx="283">
                  <c:v>-7.2834747617496975E-2</c:v>
                </c:pt>
                <c:pt idx="284">
                  <c:v>-7.2480733171721101E-2</c:v>
                </c:pt>
                <c:pt idx="285">
                  <c:v>-0.10544593404831482</c:v>
                </c:pt>
                <c:pt idx="286">
                  <c:v>-8.3382817316485336E-2</c:v>
                </c:pt>
                <c:pt idx="287">
                  <c:v>-9.7336236393678277E-2</c:v>
                </c:pt>
                <c:pt idx="288">
                  <c:v>-7.7877502488388095E-2</c:v>
                </c:pt>
                <c:pt idx="289">
                  <c:v>-5.2263599581993225E-2</c:v>
                </c:pt>
                <c:pt idx="290">
                  <c:v>-3.5943462686948369E-2</c:v>
                </c:pt>
                <c:pt idx="291">
                  <c:v>-6.4071648550917404E-2</c:v>
                </c:pt>
                <c:pt idx="292">
                  <c:v>-6.9244941814639693E-2</c:v>
                </c:pt>
                <c:pt idx="293">
                  <c:v>-3.5295027409515289E-2</c:v>
                </c:pt>
                <c:pt idx="294">
                  <c:v>-4.4714365679186185E-2</c:v>
                </c:pt>
                <c:pt idx="295">
                  <c:v>-3.9900762443536797E-2</c:v>
                </c:pt>
                <c:pt idx="296">
                  <c:v>-1.5679505543270356E-2</c:v>
                </c:pt>
                <c:pt idx="297">
                  <c:v>-1.6325103029554811E-2</c:v>
                </c:pt>
                <c:pt idx="298">
                  <c:v>-9.2214023370629228E-3</c:v>
                </c:pt>
                <c:pt idx="299">
                  <c:v>-3.4032210348430292E-3</c:v>
                </c:pt>
                <c:pt idx="300">
                  <c:v>0</c:v>
                </c:pt>
                <c:pt idx="301">
                  <c:v>0</c:v>
                </c:pt>
                <c:pt idx="302">
                  <c:v>-2.5107619380768664E-3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-1.8663844722678347E-3</c:v>
                </c:pt>
                <c:pt idx="308">
                  <c:v>-1.7021133045711512E-3</c:v>
                </c:pt>
                <c:pt idx="309">
                  <c:v>-1.7057800717072968E-2</c:v>
                </c:pt>
                <c:pt idx="310">
                  <c:v>-4.1456469240590432E-2</c:v>
                </c:pt>
                <c:pt idx="311">
                  <c:v>-2.1914800465532736E-2</c:v>
                </c:pt>
                <c:pt idx="312">
                  <c:v>-2.6796000877090664E-2</c:v>
                </c:pt>
                <c:pt idx="313">
                  <c:v>-7.2821995322669419E-4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-3.6358182636231362E-4</c:v>
                </c:pt>
                <c:pt idx="319">
                  <c:v>-1.5412839589213134E-2</c:v>
                </c:pt>
                <c:pt idx="320">
                  <c:v>-6.7671667431703497E-3</c:v>
                </c:pt>
                <c:pt idx="321">
                  <c:v>-5.531745995676296E-3</c:v>
                </c:pt>
                <c:pt idx="322">
                  <c:v>-9.8129220010937379E-3</c:v>
                </c:pt>
                <c:pt idx="323">
                  <c:v>-1.2539785698811756E-2</c:v>
                </c:pt>
                <c:pt idx="324">
                  <c:v>0</c:v>
                </c:pt>
                <c:pt idx="325">
                  <c:v>0</c:v>
                </c:pt>
                <c:pt idx="326">
                  <c:v>-1.2297452133506748E-2</c:v>
                </c:pt>
                <c:pt idx="327">
                  <c:v>-6.2374897476010771E-3</c:v>
                </c:pt>
                <c:pt idx="328">
                  <c:v>-1.5579770253236092E-2</c:v>
                </c:pt>
                <c:pt idx="329">
                  <c:v>-8.6360472021218548E-4</c:v>
                </c:pt>
                <c:pt idx="330">
                  <c:v>-2.2807226991601315E-3</c:v>
                </c:pt>
                <c:pt idx="331">
                  <c:v>-3.8141249761617368E-3</c:v>
                </c:pt>
                <c:pt idx="332">
                  <c:v>0</c:v>
                </c:pt>
                <c:pt idx="333">
                  <c:v>-2.4906464125329375E-4</c:v>
                </c:pt>
                <c:pt idx="334">
                  <c:v>-2.8740029606680872E-3</c:v>
                </c:pt>
                <c:pt idx="335">
                  <c:v>0</c:v>
                </c:pt>
                <c:pt idx="336">
                  <c:v>-1.741514718267112E-3</c:v>
                </c:pt>
                <c:pt idx="337">
                  <c:v>-7.1368416929440404E-4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-1.1343289275731805E-2</c:v>
                </c:pt>
                <c:pt idx="342">
                  <c:v>-1.6284172721904633E-2</c:v>
                </c:pt>
                <c:pt idx="343">
                  <c:v>-1.4063675963241873E-2</c:v>
                </c:pt>
                <c:pt idx="344">
                  <c:v>-1.9377291327744239E-2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-4.6458509879720999E-4</c:v>
                </c:pt>
                <c:pt idx="350">
                  <c:v>0</c:v>
                </c:pt>
                <c:pt idx="351">
                  <c:v>-5.8250756809241633E-4</c:v>
                </c:pt>
                <c:pt idx="352">
                  <c:v>0</c:v>
                </c:pt>
                <c:pt idx="353">
                  <c:v>0</c:v>
                </c:pt>
                <c:pt idx="354">
                  <c:v>-1.6298343457935571E-3</c:v>
                </c:pt>
                <c:pt idx="355">
                  <c:v>-1.4582248159489941E-2</c:v>
                </c:pt>
                <c:pt idx="356">
                  <c:v>-1.6710571279747732E-2</c:v>
                </c:pt>
                <c:pt idx="357">
                  <c:v>-1.2584975332685433E-2</c:v>
                </c:pt>
                <c:pt idx="358">
                  <c:v>-2.1137251128857337E-2</c:v>
                </c:pt>
                <c:pt idx="359">
                  <c:v>-1.3030380443978529E-2</c:v>
                </c:pt>
                <c:pt idx="360">
                  <c:v>-1.0974217928343744E-2</c:v>
                </c:pt>
                <c:pt idx="361">
                  <c:v>-1.884055326447942E-2</c:v>
                </c:pt>
                <c:pt idx="362">
                  <c:v>-2.8768857141909243E-2</c:v>
                </c:pt>
                <c:pt idx="363">
                  <c:v>-2.2395499832454702E-2</c:v>
                </c:pt>
                <c:pt idx="364">
                  <c:v>-4.1685605369412571E-2</c:v>
                </c:pt>
                <c:pt idx="365">
                  <c:v>-2.8421325034587275E-2</c:v>
                </c:pt>
                <c:pt idx="366">
                  <c:v>-1.3371277093404133E-2</c:v>
                </c:pt>
                <c:pt idx="367">
                  <c:v>-1.3727932955333477E-2</c:v>
                </c:pt>
                <c:pt idx="368">
                  <c:v>-3.8623341550242052E-2</c:v>
                </c:pt>
                <c:pt idx="369">
                  <c:v>-7.430634582015927E-2</c:v>
                </c:pt>
                <c:pt idx="370">
                  <c:v>-9.1140502503226473E-2</c:v>
                </c:pt>
                <c:pt idx="371">
                  <c:v>-9.4957549658108098E-2</c:v>
                </c:pt>
                <c:pt idx="372">
                  <c:v>-7.2231106363072395E-2</c:v>
                </c:pt>
                <c:pt idx="373">
                  <c:v>-8.7220605750951363E-2</c:v>
                </c:pt>
                <c:pt idx="374">
                  <c:v>-5.1846979705452045E-2</c:v>
                </c:pt>
                <c:pt idx="375">
                  <c:v>-5.7852898533895525E-2</c:v>
                </c:pt>
                <c:pt idx="376">
                  <c:v>-4.2148428557683637E-2</c:v>
                </c:pt>
                <c:pt idx="377">
                  <c:v>-4.5654438623673355E-2</c:v>
                </c:pt>
                <c:pt idx="378">
                  <c:v>-4.7422788153053452E-2</c:v>
                </c:pt>
                <c:pt idx="379">
                  <c:v>-4.4785193639250154E-2</c:v>
                </c:pt>
                <c:pt idx="380">
                  <c:v>-4.7904688282776831E-2</c:v>
                </c:pt>
                <c:pt idx="381">
                  <c:v>-3.1923187939391862E-2</c:v>
                </c:pt>
                <c:pt idx="382">
                  <c:v>-2.8413860144453906E-2</c:v>
                </c:pt>
                <c:pt idx="383">
                  <c:v>-2.3863594892024609E-2</c:v>
                </c:pt>
                <c:pt idx="384">
                  <c:v>-1.5969888292066359E-2</c:v>
                </c:pt>
                <c:pt idx="385">
                  <c:v>-1.4944710047078646E-2</c:v>
                </c:pt>
                <c:pt idx="386">
                  <c:v>-3.9522446095198949E-2</c:v>
                </c:pt>
                <c:pt idx="387">
                  <c:v>-5.270710093526787E-2</c:v>
                </c:pt>
                <c:pt idx="388">
                  <c:v>-5.7383439887728094E-2</c:v>
                </c:pt>
                <c:pt idx="389">
                  <c:v>-7.4801516865675155E-2</c:v>
                </c:pt>
                <c:pt idx="390">
                  <c:v>-6.0046746800879958E-2</c:v>
                </c:pt>
                <c:pt idx="391">
                  <c:v>-8.1402138608079988E-2</c:v>
                </c:pt>
                <c:pt idx="392">
                  <c:v>-6.0542747278632847E-2</c:v>
                </c:pt>
                <c:pt idx="393">
                  <c:v>-7.3730719847649895E-2</c:v>
                </c:pt>
                <c:pt idx="394">
                  <c:v>-8.0553629429582885E-2</c:v>
                </c:pt>
                <c:pt idx="395">
                  <c:v>-7.7876222168401288E-2</c:v>
                </c:pt>
                <c:pt idx="396">
                  <c:v>-9.4794151507410218E-2</c:v>
                </c:pt>
                <c:pt idx="397">
                  <c:v>-0.11480752195507127</c:v>
                </c:pt>
                <c:pt idx="398">
                  <c:v>-0.11806553178218449</c:v>
                </c:pt>
                <c:pt idx="399">
                  <c:v>-9.0640354864288342E-2</c:v>
                </c:pt>
                <c:pt idx="400">
                  <c:v>-0.10597158033383003</c:v>
                </c:pt>
                <c:pt idx="401">
                  <c:v>-0.1047705624545886</c:v>
                </c:pt>
                <c:pt idx="402">
                  <c:v>-9.5066205281160943E-2</c:v>
                </c:pt>
                <c:pt idx="403">
                  <c:v>-8.3438394750025791E-2</c:v>
                </c:pt>
                <c:pt idx="404">
                  <c:v>-7.1838784914950105E-2</c:v>
                </c:pt>
                <c:pt idx="405">
                  <c:v>-8.2925805627531934E-2</c:v>
                </c:pt>
                <c:pt idx="406">
                  <c:v>-9.9771574361917859E-2</c:v>
                </c:pt>
                <c:pt idx="407">
                  <c:v>-9.4294003868471976E-2</c:v>
                </c:pt>
                <c:pt idx="408">
                  <c:v>-7.5883096502782021E-2</c:v>
                </c:pt>
                <c:pt idx="409">
                  <c:v>-0.10025762165282626</c:v>
                </c:pt>
                <c:pt idx="410">
                  <c:v>-6.165252761179929E-2</c:v>
                </c:pt>
                <c:pt idx="411">
                  <c:v>-4.9628248471356384E-2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-3.4050403512712046E-3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-5.7426562148777949E-3</c:v>
                </c:pt>
                <c:pt idx="423">
                  <c:v>0</c:v>
                </c:pt>
                <c:pt idx="424">
                  <c:v>0</c:v>
                </c:pt>
                <c:pt idx="425">
                  <c:v>-7.9914872700658224E-3</c:v>
                </c:pt>
                <c:pt idx="426">
                  <c:v>-5.9029156280073769E-3</c:v>
                </c:pt>
                <c:pt idx="427">
                  <c:v>-8.627061226657684E-3</c:v>
                </c:pt>
                <c:pt idx="428">
                  <c:v>-2.9280514076702846E-2</c:v>
                </c:pt>
                <c:pt idx="429">
                  <c:v>-1.2577342418619852E-2</c:v>
                </c:pt>
                <c:pt idx="430">
                  <c:v>-8.7404922727351009E-3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-2.0265457054784441E-3</c:v>
                </c:pt>
                <c:pt idx="436">
                  <c:v>-1.6650738500374795E-2</c:v>
                </c:pt>
                <c:pt idx="437">
                  <c:v>-2.0818066905728405E-2</c:v>
                </c:pt>
                <c:pt idx="438">
                  <c:v>-3.3899595898241763E-2</c:v>
                </c:pt>
                <c:pt idx="439">
                  <c:v>-2.1437547192416861E-2</c:v>
                </c:pt>
                <c:pt idx="440">
                  <c:v>-3.7513385696599566E-2</c:v>
                </c:pt>
                <c:pt idx="441">
                  <c:v>-2.8389286241686462E-2</c:v>
                </c:pt>
                <c:pt idx="442">
                  <c:v>-5.6616968930324196E-3</c:v>
                </c:pt>
                <c:pt idx="443">
                  <c:v>-8.0551012390533971E-3</c:v>
                </c:pt>
                <c:pt idx="444">
                  <c:v>0</c:v>
                </c:pt>
                <c:pt idx="445">
                  <c:v>-1.0760597658192594E-2</c:v>
                </c:pt>
                <c:pt idx="446">
                  <c:v>-1.3525859340858148E-2</c:v>
                </c:pt>
                <c:pt idx="447">
                  <c:v>-6.3056631353698434E-3</c:v>
                </c:pt>
                <c:pt idx="448">
                  <c:v>-1.213663557317024E-2</c:v>
                </c:pt>
                <c:pt idx="449">
                  <c:v>-2.1342244458174453E-2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-8.6029337767703495E-3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-7.1658620699865949E-3</c:v>
                </c:pt>
                <c:pt idx="458">
                  <c:v>-2.5388471647960875E-2</c:v>
                </c:pt>
                <c:pt idx="459">
                  <c:v>-3.6929852527348372E-2</c:v>
                </c:pt>
                <c:pt idx="460">
                  <c:v>-1.1288700343586422E-2</c:v>
                </c:pt>
                <c:pt idx="461">
                  <c:v>-2.193188088086806E-2</c:v>
                </c:pt>
                <c:pt idx="462">
                  <c:v>0</c:v>
                </c:pt>
                <c:pt idx="463">
                  <c:v>0</c:v>
                </c:pt>
                <c:pt idx="464">
                  <c:v>-7.4079248728836644E-3</c:v>
                </c:pt>
                <c:pt idx="465">
                  <c:v>-7.7143013966579632E-3</c:v>
                </c:pt>
                <c:pt idx="466">
                  <c:v>-1.095969701657129E-2</c:v>
                </c:pt>
                <c:pt idx="467">
                  <c:v>-1.2422719765277646E-2</c:v>
                </c:pt>
                <c:pt idx="468">
                  <c:v>-2.9373225486135746E-2</c:v>
                </c:pt>
                <c:pt idx="469">
                  <c:v>-4.3066359957486644E-2</c:v>
                </c:pt>
                <c:pt idx="470">
                  <c:v>-5.2654847385570469E-2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-3.1577296127816012E-4</c:v>
                </c:pt>
                <c:pt idx="475">
                  <c:v>-2.0512000391151086E-2</c:v>
                </c:pt>
                <c:pt idx="476">
                  <c:v>-1.3677043713164139E-2</c:v>
                </c:pt>
                <c:pt idx="477">
                  <c:v>-2.1268836875762753E-2</c:v>
                </c:pt>
                <c:pt idx="478">
                  <c:v>-2.7006737168922323E-2</c:v>
                </c:pt>
                <c:pt idx="479">
                  <c:v>-3.3340531598687106E-2</c:v>
                </c:pt>
                <c:pt idx="480">
                  <c:v>-4.5653639843621141E-2</c:v>
                </c:pt>
                <c:pt idx="481">
                  <c:v>-4.1235874253095051E-2</c:v>
                </c:pt>
                <c:pt idx="482">
                  <c:v>-4.8584216648772993E-2</c:v>
                </c:pt>
                <c:pt idx="483">
                  <c:v>-5.0176323547087898E-2</c:v>
                </c:pt>
                <c:pt idx="484">
                  <c:v>-5.4221273318814656E-2</c:v>
                </c:pt>
                <c:pt idx="485">
                  <c:v>-4.4961995196176496E-2</c:v>
                </c:pt>
                <c:pt idx="486">
                  <c:v>-6.4385088182145944E-2</c:v>
                </c:pt>
                <c:pt idx="487">
                  <c:v>-5.9319478709772056E-2</c:v>
                </c:pt>
                <c:pt idx="488">
                  <c:v>-8.1756675542263735E-2</c:v>
                </c:pt>
                <c:pt idx="489">
                  <c:v>-8.8972597018695865E-2</c:v>
                </c:pt>
                <c:pt idx="490">
                  <c:v>-9.7177600899647332E-2</c:v>
                </c:pt>
                <c:pt idx="491">
                  <c:v>-8.2980041111602398E-2</c:v>
                </c:pt>
                <c:pt idx="492">
                  <c:v>-6.3647605524193351E-2</c:v>
                </c:pt>
                <c:pt idx="493">
                  <c:v>-7.0881862204828727E-2</c:v>
                </c:pt>
                <c:pt idx="494">
                  <c:v>-8.5311667912781552E-2</c:v>
                </c:pt>
                <c:pt idx="495">
                  <c:v>-9.8071951415783398E-2</c:v>
                </c:pt>
                <c:pt idx="496">
                  <c:v>-0.10268325527289912</c:v>
                </c:pt>
                <c:pt idx="497">
                  <c:v>-0.11270751885979491</c:v>
                </c:pt>
                <c:pt idx="498">
                  <c:v>-0.12348046995165618</c:v>
                </c:pt>
                <c:pt idx="499">
                  <c:v>-9.4490474861416485E-2</c:v>
                </c:pt>
                <c:pt idx="500">
                  <c:v>-9.1927620762785378E-2</c:v>
                </c:pt>
                <c:pt idx="501">
                  <c:v>-0.12319729290896175</c:v>
                </c:pt>
                <c:pt idx="502">
                  <c:v>-0.11072629818338875</c:v>
                </c:pt>
                <c:pt idx="503">
                  <c:v>-0.12046840335004549</c:v>
                </c:pt>
                <c:pt idx="504">
                  <c:v>-0.13470568941386429</c:v>
                </c:pt>
                <c:pt idx="505">
                  <c:v>-0.13464151619915299</c:v>
                </c:pt>
                <c:pt idx="506">
                  <c:v>-0.15828883650905867</c:v>
                </c:pt>
                <c:pt idx="507">
                  <c:v>-0.1279848184509198</c:v>
                </c:pt>
                <c:pt idx="508">
                  <c:v>-0.11887731507418631</c:v>
                </c:pt>
                <c:pt idx="509">
                  <c:v>-0.13087465035784207</c:v>
                </c:pt>
                <c:pt idx="510">
                  <c:v>-0.14505183769677243</c:v>
                </c:pt>
                <c:pt idx="511">
                  <c:v>-0.13256760087927499</c:v>
                </c:pt>
                <c:pt idx="512">
                  <c:v>-0.16550170211812354</c:v>
                </c:pt>
                <c:pt idx="513">
                  <c:v>-0.16945803173620122</c:v>
                </c:pt>
                <c:pt idx="514">
                  <c:v>-0.17584275728875309</c:v>
                </c:pt>
                <c:pt idx="515">
                  <c:v>-0.19658598497735602</c:v>
                </c:pt>
                <c:pt idx="516">
                  <c:v>-0.19393960383735454</c:v>
                </c:pt>
                <c:pt idx="517">
                  <c:v>-0.24896151440637737</c:v>
                </c:pt>
                <c:pt idx="518">
                  <c:v>-0.23732579009450783</c:v>
                </c:pt>
                <c:pt idx="519">
                  <c:v>-0.25023479247604707</c:v>
                </c:pt>
                <c:pt idx="520">
                  <c:v>-0.21565052285890651</c:v>
                </c:pt>
                <c:pt idx="521">
                  <c:v>-0.20810762357418333</c:v>
                </c:pt>
                <c:pt idx="522">
                  <c:v>-0.23579072605371398</c:v>
                </c:pt>
                <c:pt idx="523">
                  <c:v>-0.20572506565021731</c:v>
                </c:pt>
                <c:pt idx="524">
                  <c:v>-0.24781862001104182</c:v>
                </c:pt>
                <c:pt idx="525">
                  <c:v>-0.24440012304959269</c:v>
                </c:pt>
                <c:pt idx="526">
                  <c:v>-0.30115674766073353</c:v>
                </c:pt>
                <c:pt idx="527">
                  <c:v>-0.29923664433167163</c:v>
                </c:pt>
                <c:pt idx="528">
                  <c:v>-0.27162586404649813</c:v>
                </c:pt>
                <c:pt idx="529">
                  <c:v>-0.28799920139999469</c:v>
                </c:pt>
                <c:pt idx="530">
                  <c:v>-0.25286283841184543</c:v>
                </c:pt>
                <c:pt idx="531">
                  <c:v>-0.29668295783514209</c:v>
                </c:pt>
                <c:pt idx="532">
                  <c:v>-0.19784703957755689</c:v>
                </c:pt>
                <c:pt idx="533">
                  <c:v>-0.26640847982821947</c:v>
                </c:pt>
                <c:pt idx="534">
                  <c:v>-0.18998633008664401</c:v>
                </c:pt>
                <c:pt idx="535">
                  <c:v>-0.15003595737268749</c:v>
                </c:pt>
                <c:pt idx="536">
                  <c:v>-0.19012588136307984</c:v>
                </c:pt>
                <c:pt idx="537">
                  <c:v>-0.12646808961432909</c:v>
                </c:pt>
                <c:pt idx="538">
                  <c:v>-0.10986759945320346</c:v>
                </c:pt>
                <c:pt idx="539">
                  <c:v>-8.139710181538895E-2</c:v>
                </c:pt>
                <c:pt idx="540">
                  <c:v>-0.11541909183696342</c:v>
                </c:pt>
                <c:pt idx="541">
                  <c:v>-8.8111861043599138E-2</c:v>
                </c:pt>
                <c:pt idx="542">
                  <c:v>-0.12730845314031114</c:v>
                </c:pt>
                <c:pt idx="543">
                  <c:v>-0.12739911053887176</c:v>
                </c:pt>
                <c:pt idx="544">
                  <c:v>-8.5197582197738986E-2</c:v>
                </c:pt>
                <c:pt idx="545">
                  <c:v>-8.6742832463090225E-2</c:v>
                </c:pt>
                <c:pt idx="546">
                  <c:v>-6.0699712137293971E-2</c:v>
                </c:pt>
                <c:pt idx="547">
                  <c:v>-2.4507037662546693E-2</c:v>
                </c:pt>
                <c:pt idx="548">
                  <c:v>-6.7442992794265466E-3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-1.4384184183360293E-3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-5.3948172563111907E-3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-1.3728292961005972E-2</c:v>
                </c:pt>
                <c:pt idx="561">
                  <c:v>-2.6752516357386513E-2</c:v>
                </c:pt>
                <c:pt idx="562">
                  <c:v>-1.101305187567525E-2</c:v>
                </c:pt>
                <c:pt idx="563">
                  <c:v>-1.3541108303341209E-2</c:v>
                </c:pt>
                <c:pt idx="564">
                  <c:v>-1.4123933260161037E-2</c:v>
                </c:pt>
                <c:pt idx="565">
                  <c:v>-2.7989424066841906E-2</c:v>
                </c:pt>
                <c:pt idx="566">
                  <c:v>-9.313500268014363E-3</c:v>
                </c:pt>
                <c:pt idx="567">
                  <c:v>0</c:v>
                </c:pt>
                <c:pt idx="568">
                  <c:v>-5.5064788996417313E-4</c:v>
                </c:pt>
                <c:pt idx="569">
                  <c:v>-1.9309954052322276E-3</c:v>
                </c:pt>
                <c:pt idx="570">
                  <c:v>0</c:v>
                </c:pt>
                <c:pt idx="571">
                  <c:v>0</c:v>
                </c:pt>
                <c:pt idx="572">
                  <c:v>-1.6422379724668756E-3</c:v>
                </c:pt>
                <c:pt idx="573">
                  <c:v>-2.4369388166614048E-3</c:v>
                </c:pt>
                <c:pt idx="574">
                  <c:v>0</c:v>
                </c:pt>
                <c:pt idx="575">
                  <c:v>-2.6696568561938028E-3</c:v>
                </c:pt>
                <c:pt idx="576">
                  <c:v>0</c:v>
                </c:pt>
                <c:pt idx="577">
                  <c:v>0</c:v>
                </c:pt>
                <c:pt idx="578">
                  <c:v>-2.5967341201624805E-3</c:v>
                </c:pt>
                <c:pt idx="579">
                  <c:v>-2.2788789059622339E-3</c:v>
                </c:pt>
                <c:pt idx="580">
                  <c:v>-7.8550932173656607E-3</c:v>
                </c:pt>
                <c:pt idx="581">
                  <c:v>0</c:v>
                </c:pt>
                <c:pt idx="582">
                  <c:v>-5.5184934368830429E-3</c:v>
                </c:pt>
                <c:pt idx="583">
                  <c:v>-8.4678228274326361E-3</c:v>
                </c:pt>
                <c:pt idx="584">
                  <c:v>-1.7478739003743415E-3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-5.8735143902827192E-3</c:v>
                </c:pt>
                <c:pt idx="596">
                  <c:v>-1.022379778476723E-2</c:v>
                </c:pt>
                <c:pt idx="597">
                  <c:v>-9.5747589366331765E-3</c:v>
                </c:pt>
                <c:pt idx="598">
                  <c:v>-5.5886265418979564E-3</c:v>
                </c:pt>
                <c:pt idx="599">
                  <c:v>-1.5448273326915674E-2</c:v>
                </c:pt>
                <c:pt idx="600">
                  <c:v>-1.591121608054058E-2</c:v>
                </c:pt>
                <c:pt idx="601">
                  <c:v>-2.1198872395516322E-2</c:v>
                </c:pt>
                <c:pt idx="602">
                  <c:v>-1.5759582225755353E-2</c:v>
                </c:pt>
                <c:pt idx="603">
                  <c:v>-4.5616517981249549E-3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-5.9248645961922364E-3</c:v>
                </c:pt>
                <c:pt idx="608">
                  <c:v>-7.5198409457382098E-3</c:v>
                </c:pt>
                <c:pt idx="609">
                  <c:v>-5.1256262644884254E-3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-8.3312809550684097E-4</c:v>
                </c:pt>
                <c:pt idx="614">
                  <c:v>-4.7018120241471006E-4</c:v>
                </c:pt>
                <c:pt idx="615">
                  <c:v>0</c:v>
                </c:pt>
                <c:pt idx="616">
                  <c:v>-1.3014273224223327E-3</c:v>
                </c:pt>
                <c:pt idx="617">
                  <c:v>0</c:v>
                </c:pt>
                <c:pt idx="618">
                  <c:v>-1.8969302925553322E-5</c:v>
                </c:pt>
                <c:pt idx="619">
                  <c:v>-2.8513233459954712E-3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-4.5437029798767181E-3</c:v>
                </c:pt>
                <c:pt idx="624">
                  <c:v>-3.1487801628049539E-3</c:v>
                </c:pt>
                <c:pt idx="625">
                  <c:v>-6.4056008191868408E-3</c:v>
                </c:pt>
                <c:pt idx="626">
                  <c:v>-5.0658986988316723E-4</c:v>
                </c:pt>
                <c:pt idx="627">
                  <c:v>-1.0454718428466792E-2</c:v>
                </c:pt>
                <c:pt idx="628">
                  <c:v>-1.7335697419392671E-2</c:v>
                </c:pt>
                <c:pt idx="629">
                  <c:v>-2.5259867398300773E-2</c:v>
                </c:pt>
                <c:pt idx="630">
                  <c:v>-2.7119364337753638E-2</c:v>
                </c:pt>
                <c:pt idx="631">
                  <c:v>-2.0073923706605212E-2</c:v>
                </c:pt>
                <c:pt idx="632">
                  <c:v>-2.8891228432416427E-2</c:v>
                </c:pt>
                <c:pt idx="633">
                  <c:v>-2.0810999962785903E-2</c:v>
                </c:pt>
                <c:pt idx="634">
                  <c:v>-2.4732869879630748E-2</c:v>
                </c:pt>
                <c:pt idx="635">
                  <c:v>-2.1788166204693371E-2</c:v>
                </c:pt>
                <c:pt idx="636">
                  <c:v>-3.379986819059777E-2</c:v>
                </c:pt>
                <c:pt idx="637">
                  <c:v>-3.2792690700474414E-2</c:v>
                </c:pt>
                <c:pt idx="638">
                  <c:v>-4.5548671642131389E-2</c:v>
                </c:pt>
                <c:pt idx="639">
                  <c:v>-5.1195588106422218E-2</c:v>
                </c:pt>
                <c:pt idx="640">
                  <c:v>-6.0794385735773671E-2</c:v>
                </c:pt>
                <c:pt idx="641">
                  <c:v>-4.4887223731454484E-2</c:v>
                </c:pt>
                <c:pt idx="642">
                  <c:v>-4.1744445818292619E-2</c:v>
                </c:pt>
                <c:pt idx="643">
                  <c:v>-5.4974604481759615E-2</c:v>
                </c:pt>
                <c:pt idx="644">
                  <c:v>-6.5419719310797597E-2</c:v>
                </c:pt>
                <c:pt idx="645">
                  <c:v>-5.0602565841677327E-2</c:v>
                </c:pt>
                <c:pt idx="646">
                  <c:v>-3.9719286788688302E-2</c:v>
                </c:pt>
                <c:pt idx="647">
                  <c:v>-4.6887173312557429E-2</c:v>
                </c:pt>
                <c:pt idx="648">
                  <c:v>-3.5959477612208968E-2</c:v>
                </c:pt>
                <c:pt idx="649">
                  <c:v>-3.0350975545634373E-2</c:v>
                </c:pt>
                <c:pt idx="650">
                  <c:v>-4.0404743697937895E-2</c:v>
                </c:pt>
                <c:pt idx="651">
                  <c:v>-2.6139797195988912E-2</c:v>
                </c:pt>
                <c:pt idx="652">
                  <c:v>-2.5514362783170985E-2</c:v>
                </c:pt>
                <c:pt idx="653">
                  <c:v>-1.7686228798553527E-2</c:v>
                </c:pt>
                <c:pt idx="654">
                  <c:v>-1.8345275809373174E-2</c:v>
                </c:pt>
                <c:pt idx="655">
                  <c:v>-1.7309287520962724E-2</c:v>
                </c:pt>
                <c:pt idx="656">
                  <c:v>-2.1208348889163564E-2</c:v>
                </c:pt>
                <c:pt idx="657">
                  <c:v>-1.8426906404520271E-2</c:v>
                </c:pt>
                <c:pt idx="658">
                  <c:v>-1.6294907331267705E-2</c:v>
                </c:pt>
                <c:pt idx="659">
                  <c:v>-1.9270822704349433E-2</c:v>
                </c:pt>
                <c:pt idx="660">
                  <c:v>-2.95370704940211E-2</c:v>
                </c:pt>
                <c:pt idx="661">
                  <c:v>-2.9143322917429382E-2</c:v>
                </c:pt>
                <c:pt idx="662">
                  <c:v>-2.7267019678975601E-2</c:v>
                </c:pt>
                <c:pt idx="663">
                  <c:v>-2.5615200577176256E-2</c:v>
                </c:pt>
                <c:pt idx="664">
                  <c:v>-4.2415497328398555E-2</c:v>
                </c:pt>
                <c:pt idx="665">
                  <c:v>-5.4746518995319349E-2</c:v>
                </c:pt>
                <c:pt idx="666">
                  <c:v>-4.4096127228485105E-2</c:v>
                </c:pt>
                <c:pt idx="667">
                  <c:v>-4.2834454353491536E-2</c:v>
                </c:pt>
                <c:pt idx="668">
                  <c:v>-5.6820896471997617E-2</c:v>
                </c:pt>
                <c:pt idx="669">
                  <c:v>-6.0413843108396925E-2</c:v>
                </c:pt>
                <c:pt idx="670">
                  <c:v>-5.719783774958842E-2</c:v>
                </c:pt>
                <c:pt idx="671">
                  <c:v>-6.9438825671861659E-2</c:v>
                </c:pt>
                <c:pt idx="672">
                  <c:v>-4.0673644481951654E-2</c:v>
                </c:pt>
                <c:pt idx="673">
                  <c:v>-3.7213947787630652E-2</c:v>
                </c:pt>
                <c:pt idx="674">
                  <c:v>-4.581517152628789E-2</c:v>
                </c:pt>
                <c:pt idx="675">
                  <c:v>-3.9302730663452468E-2</c:v>
                </c:pt>
                <c:pt idx="676">
                  <c:v>-5.2125936801112993E-2</c:v>
                </c:pt>
                <c:pt idx="677">
                  <c:v>-6.7656157527841376E-2</c:v>
                </c:pt>
                <c:pt idx="678">
                  <c:v>-6.677742818008181E-2</c:v>
                </c:pt>
                <c:pt idx="679">
                  <c:v>-3.7676121010154495E-2</c:v>
                </c:pt>
                <c:pt idx="680">
                  <c:v>-5.6037002668600122E-2</c:v>
                </c:pt>
                <c:pt idx="681">
                  <c:v>-4.4545095501793974E-2</c:v>
                </c:pt>
                <c:pt idx="682">
                  <c:v>-3.4939095172870749E-2</c:v>
                </c:pt>
                <c:pt idx="683">
                  <c:v>-5.610662876446082E-2</c:v>
                </c:pt>
                <c:pt idx="684">
                  <c:v>-5.9655158753500692E-2</c:v>
                </c:pt>
                <c:pt idx="685">
                  <c:v>-7.2527583338235058E-2</c:v>
                </c:pt>
                <c:pt idx="686">
                  <c:v>-3.9151473972444784E-2</c:v>
                </c:pt>
                <c:pt idx="687">
                  <c:v>-2.6300657486425849E-2</c:v>
                </c:pt>
                <c:pt idx="688">
                  <c:v>-1.8581764445314009E-2</c:v>
                </c:pt>
                <c:pt idx="689">
                  <c:v>-6.7945465960640439E-3</c:v>
                </c:pt>
                <c:pt idx="690">
                  <c:v>-4.4272593367993274E-3</c:v>
                </c:pt>
                <c:pt idx="691">
                  <c:v>0</c:v>
                </c:pt>
                <c:pt idx="692">
                  <c:v>-9.9693564862103345E-3</c:v>
                </c:pt>
                <c:pt idx="693">
                  <c:v>0</c:v>
                </c:pt>
                <c:pt idx="694">
                  <c:v>-8.2221406870042202E-4</c:v>
                </c:pt>
                <c:pt idx="695">
                  <c:v>-6.5450177339103632E-3</c:v>
                </c:pt>
                <c:pt idx="696">
                  <c:v>-1.3525966343714613E-2</c:v>
                </c:pt>
                <c:pt idx="697">
                  <c:v>-6.1696328130015354E-3</c:v>
                </c:pt>
                <c:pt idx="698">
                  <c:v>-8.8372875896535197E-3</c:v>
                </c:pt>
                <c:pt idx="699">
                  <c:v>-4.2854426938592205E-3</c:v>
                </c:pt>
                <c:pt idx="700">
                  <c:v>0</c:v>
                </c:pt>
                <c:pt idx="701">
                  <c:v>0</c:v>
                </c:pt>
                <c:pt idx="702">
                  <c:v>-7.912192945347396E-4</c:v>
                </c:pt>
                <c:pt idx="703">
                  <c:v>0</c:v>
                </c:pt>
                <c:pt idx="704">
                  <c:v>-3.4882738919223E-3</c:v>
                </c:pt>
                <c:pt idx="705">
                  <c:v>-8.7941220748987137E-3</c:v>
                </c:pt>
                <c:pt idx="706">
                  <c:v>-1.0330186543096032E-3</c:v>
                </c:pt>
                <c:pt idx="707">
                  <c:v>0</c:v>
                </c:pt>
                <c:pt idx="708">
                  <c:v>-6.7258696717295008E-3</c:v>
                </c:pt>
                <c:pt idx="709">
                  <c:v>-8.9220970112690035E-3</c:v>
                </c:pt>
                <c:pt idx="710">
                  <c:v>-1.9323860852523245E-2</c:v>
                </c:pt>
                <c:pt idx="711">
                  <c:v>-2.403723664870161E-2</c:v>
                </c:pt>
                <c:pt idx="712">
                  <c:v>-3.1115874571288504E-2</c:v>
                </c:pt>
                <c:pt idx="713">
                  <c:v>-3.4208721215090665E-2</c:v>
                </c:pt>
                <c:pt idx="714">
                  <c:v>-1.939000489955911E-2</c:v>
                </c:pt>
                <c:pt idx="715">
                  <c:v>-1.6204066634002978E-2</c:v>
                </c:pt>
                <c:pt idx="716">
                  <c:v>-1.37996080352768E-2</c:v>
                </c:pt>
                <c:pt idx="717">
                  <c:v>-2.1641352278295001E-2</c:v>
                </c:pt>
                <c:pt idx="718">
                  <c:v>-2.5737383635472844E-2</c:v>
                </c:pt>
                <c:pt idx="719">
                  <c:v>-3.9071533561979344E-2</c:v>
                </c:pt>
                <c:pt idx="720">
                  <c:v>-4.4995100440960334E-2</c:v>
                </c:pt>
                <c:pt idx="721">
                  <c:v>-4.0037971582557508E-2</c:v>
                </c:pt>
                <c:pt idx="722">
                  <c:v>-4.5477707006369439E-2</c:v>
                </c:pt>
                <c:pt idx="723">
                  <c:v>-4.1821411073003412E-2</c:v>
                </c:pt>
                <c:pt idx="724">
                  <c:v>-4.1747917687408154E-2</c:v>
                </c:pt>
                <c:pt idx="725">
                  <c:v>-5.1678098971092545E-2</c:v>
                </c:pt>
                <c:pt idx="726">
                  <c:v>-6.7179078882900534E-2</c:v>
                </c:pt>
                <c:pt idx="727">
                  <c:v>-7.2087212150906521E-2</c:v>
                </c:pt>
                <c:pt idx="728">
                  <c:v>-7.8010779029887289E-2</c:v>
                </c:pt>
                <c:pt idx="729">
                  <c:v>-0.10178588926996568</c:v>
                </c:pt>
                <c:pt idx="730">
                  <c:v>-8.7071288584027462E-2</c:v>
                </c:pt>
                <c:pt idx="731">
                  <c:v>-7.3037726604605502E-2</c:v>
                </c:pt>
                <c:pt idx="732">
                  <c:v>-7.553772660460556E-2</c:v>
                </c:pt>
                <c:pt idx="733">
                  <c:v>-6.818348848603617E-2</c:v>
                </c:pt>
                <c:pt idx="734">
                  <c:v>-6.4550465458108719E-2</c:v>
                </c:pt>
                <c:pt idx="735">
                  <c:v>-6.5619794218520378E-2</c:v>
                </c:pt>
                <c:pt idx="736">
                  <c:v>-5.0607545320921155E-2</c:v>
                </c:pt>
                <c:pt idx="737">
                  <c:v>-4.6335129838314559E-2</c:v>
                </c:pt>
                <c:pt idx="738">
                  <c:v>-5.6543361097501244E-2</c:v>
                </c:pt>
                <c:pt idx="739">
                  <c:v>-4.259186673199411E-2</c:v>
                </c:pt>
                <c:pt idx="740">
                  <c:v>-3.257594316511514E-2</c:v>
                </c:pt>
                <c:pt idx="741">
                  <c:v>-4.1872856442920159E-2</c:v>
                </c:pt>
                <c:pt idx="742">
                  <c:v>-5.2610240078392989E-2</c:v>
                </c:pt>
                <c:pt idx="743">
                  <c:v>-6.3324350808427243E-2</c:v>
                </c:pt>
                <c:pt idx="744">
                  <c:v>-3.0262126408623247E-2</c:v>
                </c:pt>
                <c:pt idx="745">
                  <c:v>-3.1039931406173449E-2</c:v>
                </c:pt>
                <c:pt idx="746">
                  <c:v>-2.7030867221950028E-2</c:v>
                </c:pt>
                <c:pt idx="747">
                  <c:v>-2.4527192552670218E-2</c:v>
                </c:pt>
                <c:pt idx="748">
                  <c:v>-4.9865262126408405E-3</c:v>
                </c:pt>
                <c:pt idx="749">
                  <c:v>0</c:v>
                </c:pt>
                <c:pt idx="750">
                  <c:v>-1.5324956964413716E-2</c:v>
                </c:pt>
                <c:pt idx="751">
                  <c:v>-1.3748108578324758E-2</c:v>
                </c:pt>
                <c:pt idx="752">
                  <c:v>-8.1427617513186723E-3</c:v>
                </c:pt>
                <c:pt idx="753">
                  <c:v>0</c:v>
                </c:pt>
                <c:pt idx="754">
                  <c:v>0</c:v>
                </c:pt>
                <c:pt idx="755">
                  <c:v>-2.6352018638509112E-4</c:v>
                </c:pt>
                <c:pt idx="756">
                  <c:v>-2.316268554160672E-3</c:v>
                </c:pt>
                <c:pt idx="757">
                  <c:v>0</c:v>
                </c:pt>
                <c:pt idx="758">
                  <c:v>-1.1642861810993943E-2</c:v>
                </c:pt>
                <c:pt idx="759">
                  <c:v>-1.3765014445681567E-2</c:v>
                </c:pt>
                <c:pt idx="760">
                  <c:v>-1.4009166811555063E-2</c:v>
                </c:pt>
                <c:pt idx="761">
                  <c:v>-1.3497433317426477E-2</c:v>
                </c:pt>
                <c:pt idx="762">
                  <c:v>-1.6483983974726502E-2</c:v>
                </c:pt>
                <c:pt idx="763">
                  <c:v>-1.5479013377823314E-2</c:v>
                </c:pt>
                <c:pt idx="764">
                  <c:v>-2.0016794723349496E-2</c:v>
                </c:pt>
                <c:pt idx="765">
                  <c:v>-1.7935334149640769E-2</c:v>
                </c:pt>
                <c:pt idx="766">
                  <c:v>-2.4712411941763435E-2</c:v>
                </c:pt>
                <c:pt idx="767">
                  <c:v>-1.9212818245826879E-2</c:v>
                </c:pt>
                <c:pt idx="768">
                  <c:v>-2.1085886143613397E-2</c:v>
                </c:pt>
                <c:pt idx="769">
                  <c:v>-2.6870324266402235E-2</c:v>
                </c:pt>
                <c:pt idx="770">
                  <c:v>-2.6405448297037171E-2</c:v>
                </c:pt>
                <c:pt idx="771">
                  <c:v>-3.2183720956041495E-2</c:v>
                </c:pt>
                <c:pt idx="772">
                  <c:v>-3.4622778429261758E-2</c:v>
                </c:pt>
                <c:pt idx="773">
                  <c:v>-4.6903149195591909E-2</c:v>
                </c:pt>
                <c:pt idx="774">
                  <c:v>-5.4320202128564699E-2</c:v>
                </c:pt>
                <c:pt idx="775">
                  <c:v>-5.7500348348703767E-2</c:v>
                </c:pt>
                <c:pt idx="776">
                  <c:v>-5.1564239816811686E-2</c:v>
                </c:pt>
                <c:pt idx="777">
                  <c:v>-5.8220474518754672E-2</c:v>
                </c:pt>
                <c:pt idx="778">
                  <c:v>-5.7587897934446297E-2</c:v>
                </c:pt>
                <c:pt idx="779">
                  <c:v>-3.3383520208540629E-2</c:v>
                </c:pt>
                <c:pt idx="780">
                  <c:v>-4.6946307442084612E-2</c:v>
                </c:pt>
                <c:pt idx="781">
                  <c:v>-4.7565320006066836E-2</c:v>
                </c:pt>
                <c:pt idx="782">
                  <c:v>-4.8733058846885613E-2</c:v>
                </c:pt>
                <c:pt idx="783">
                  <c:v>-5.1932934551135679E-2</c:v>
                </c:pt>
                <c:pt idx="784">
                  <c:v>-5.9038015016603551E-2</c:v>
                </c:pt>
                <c:pt idx="785">
                  <c:v>-5.7496649070432948E-2</c:v>
                </c:pt>
                <c:pt idx="786">
                  <c:v>-6.3955588931266183E-2</c:v>
                </c:pt>
                <c:pt idx="787">
                  <c:v>-6.8021095750885552E-2</c:v>
                </c:pt>
                <c:pt idx="788">
                  <c:v>-8.6507622362876901E-2</c:v>
                </c:pt>
                <c:pt idx="789">
                  <c:v>-8.4865142810637617E-2</c:v>
                </c:pt>
                <c:pt idx="790">
                  <c:v>-7.4450441385552346E-2</c:v>
                </c:pt>
                <c:pt idx="791">
                  <c:v>-6.5764536005691987E-2</c:v>
                </c:pt>
                <c:pt idx="792">
                  <c:v>-6.5615331782102659E-2</c:v>
                </c:pt>
                <c:pt idx="793">
                  <c:v>-6.3422892860269586E-2</c:v>
                </c:pt>
                <c:pt idx="794">
                  <c:v>-7.1169181559344374E-2</c:v>
                </c:pt>
                <c:pt idx="795">
                  <c:v>-6.8458843679598091E-2</c:v>
                </c:pt>
                <c:pt idx="796">
                  <c:v>-6.910128500596191E-2</c:v>
                </c:pt>
                <c:pt idx="797">
                  <c:v>-6.8465009143382716E-2</c:v>
                </c:pt>
                <c:pt idx="798">
                  <c:v>-7.1784494845055669E-2</c:v>
                </c:pt>
                <c:pt idx="799">
                  <c:v>-8.0148563015355667E-2</c:v>
                </c:pt>
                <c:pt idx="800">
                  <c:v>-7.6528202680990254E-2</c:v>
                </c:pt>
                <c:pt idx="801">
                  <c:v>-7.6811814015085522E-2</c:v>
                </c:pt>
                <c:pt idx="802">
                  <c:v>-7.8582535214046345E-2</c:v>
                </c:pt>
                <c:pt idx="803">
                  <c:v>-8.4188174887079525E-2</c:v>
                </c:pt>
                <c:pt idx="804">
                  <c:v>-8.4998316828386766E-2</c:v>
                </c:pt>
                <c:pt idx="805">
                  <c:v>-8.5708578256382117E-2</c:v>
                </c:pt>
                <c:pt idx="806">
                  <c:v>-9.8868144158408056E-2</c:v>
                </c:pt>
                <c:pt idx="807">
                  <c:v>-0.10006424413263637</c:v>
                </c:pt>
                <c:pt idx="808">
                  <c:v>-0.10127884049821867</c:v>
                </c:pt>
                <c:pt idx="809">
                  <c:v>-9.055956516217023E-2</c:v>
                </c:pt>
                <c:pt idx="810">
                  <c:v>-8.7254876573580442E-2</c:v>
                </c:pt>
                <c:pt idx="811">
                  <c:v>-9.3980164469911864E-2</c:v>
                </c:pt>
                <c:pt idx="812">
                  <c:v>-0.10429745156719916</c:v>
                </c:pt>
                <c:pt idx="813">
                  <c:v>-0.10209391481055374</c:v>
                </c:pt>
                <c:pt idx="814">
                  <c:v>-0.11425960795048884</c:v>
                </c:pt>
                <c:pt idx="815">
                  <c:v>-0.13334665073510821</c:v>
                </c:pt>
                <c:pt idx="816">
                  <c:v>-0.12626993140304987</c:v>
                </c:pt>
                <c:pt idx="817">
                  <c:v>-0.11650630295362707</c:v>
                </c:pt>
                <c:pt idx="818">
                  <c:v>-0.1277767707520262</c:v>
                </c:pt>
                <c:pt idx="819">
                  <c:v>-0.13365739010985611</c:v>
                </c:pt>
                <c:pt idx="820">
                  <c:v>-0.13432449329135887</c:v>
                </c:pt>
                <c:pt idx="821">
                  <c:v>-0.11744715272716966</c:v>
                </c:pt>
                <c:pt idx="822">
                  <c:v>-0.1264203687193961</c:v>
                </c:pt>
                <c:pt idx="823">
                  <c:v>-0.13255747137066898</c:v>
                </c:pt>
                <c:pt idx="824">
                  <c:v>-0.13389661010470189</c:v>
                </c:pt>
                <c:pt idx="825">
                  <c:v>-0.14843600680173963</c:v>
                </c:pt>
                <c:pt idx="826">
                  <c:v>-0.1403518506872643</c:v>
                </c:pt>
                <c:pt idx="827">
                  <c:v>-0.13855276835489394</c:v>
                </c:pt>
                <c:pt idx="828">
                  <c:v>-0.14212750425725273</c:v>
                </c:pt>
                <c:pt idx="829">
                  <c:v>-0.14953592554092687</c:v>
                </c:pt>
                <c:pt idx="830">
                  <c:v>-0.1586028565826807</c:v>
                </c:pt>
                <c:pt idx="831">
                  <c:v>-0.16903605439912006</c:v>
                </c:pt>
                <c:pt idx="832">
                  <c:v>-0.20299049655412227</c:v>
                </c:pt>
                <c:pt idx="833">
                  <c:v>-0.17802776678270071</c:v>
                </c:pt>
                <c:pt idx="834">
                  <c:v>-0.18180842917546791</c:v>
                </c:pt>
                <c:pt idx="835">
                  <c:v>-0.18806760800967726</c:v>
                </c:pt>
                <c:pt idx="836">
                  <c:v>-0.18868785366641638</c:v>
                </c:pt>
                <c:pt idx="837">
                  <c:v>-0.19178661576459766</c:v>
                </c:pt>
                <c:pt idx="838">
                  <c:v>-0.2363555203713088</c:v>
                </c:pt>
                <c:pt idx="839">
                  <c:v>-0.21908359012489997</c:v>
                </c:pt>
                <c:pt idx="840">
                  <c:v>-0.19498649146884772</c:v>
                </c:pt>
                <c:pt idx="841">
                  <c:v>-0.18161729979814267</c:v>
                </c:pt>
                <c:pt idx="842">
                  <c:v>-0.16348097152912133</c:v>
                </c:pt>
                <c:pt idx="843">
                  <c:v>-0.16720244546955554</c:v>
                </c:pt>
                <c:pt idx="844">
                  <c:v>-0.14785152083495179</c:v>
                </c:pt>
                <c:pt idx="845">
                  <c:v>-0.12816272878494739</c:v>
                </c:pt>
                <c:pt idx="846">
                  <c:v>-0.12471253525103909</c:v>
                </c:pt>
                <c:pt idx="847">
                  <c:v>-0.13291013589915268</c:v>
                </c:pt>
                <c:pt idx="848">
                  <c:v>-0.13430476380724776</c:v>
                </c:pt>
                <c:pt idx="849">
                  <c:v>-0.14062683037206103</c:v>
                </c:pt>
                <c:pt idx="850">
                  <c:v>-0.11362086590239573</c:v>
                </c:pt>
                <c:pt idx="851">
                  <c:v>-0.11729918159633712</c:v>
                </c:pt>
                <c:pt idx="852">
                  <c:v>-8.2392791832979984E-2</c:v>
                </c:pt>
                <c:pt idx="853">
                  <c:v>-9.6076422156703867E-2</c:v>
                </c:pt>
                <c:pt idx="854">
                  <c:v>-0.10316177313806074</c:v>
                </c:pt>
                <c:pt idx="855">
                  <c:v>-0.10087931844497133</c:v>
                </c:pt>
                <c:pt idx="856">
                  <c:v>-0.12663739304461696</c:v>
                </c:pt>
                <c:pt idx="857">
                  <c:v>-0.12674220592895646</c:v>
                </c:pt>
                <c:pt idx="858">
                  <c:v>-0.14435940214730769</c:v>
                </c:pt>
                <c:pt idx="859">
                  <c:v>-0.14025690254498013</c:v>
                </c:pt>
                <c:pt idx="860">
                  <c:v>-0.14807840990222809</c:v>
                </c:pt>
                <c:pt idx="861">
                  <c:v>-0.1333232219727265</c:v>
                </c:pt>
                <c:pt idx="862">
                  <c:v>-0.10627039997829757</c:v>
                </c:pt>
                <c:pt idx="863">
                  <c:v>-0.10489426846155647</c:v>
                </c:pt>
                <c:pt idx="864">
                  <c:v>-0.12001691803262504</c:v>
                </c:pt>
                <c:pt idx="865">
                  <c:v>-0.11206593593589886</c:v>
                </c:pt>
                <c:pt idx="866">
                  <c:v>-0.11206593593589886</c:v>
                </c:pt>
                <c:pt idx="867">
                  <c:v>-8.6660525864737159E-2</c:v>
                </c:pt>
                <c:pt idx="868">
                  <c:v>-7.1372641864238862E-2</c:v>
                </c:pt>
                <c:pt idx="869">
                  <c:v>-6.6456301042333243E-2</c:v>
                </c:pt>
                <c:pt idx="870">
                  <c:v>-9.0475714854698519E-2</c:v>
                </c:pt>
                <c:pt idx="871">
                  <c:v>-9.6284814832626076E-2</c:v>
                </c:pt>
                <c:pt idx="872">
                  <c:v>-9.2814891814607003E-2</c:v>
                </c:pt>
                <c:pt idx="873">
                  <c:v>-8.3311445936897655E-2</c:v>
                </c:pt>
                <c:pt idx="874">
                  <c:v>-9.9114762709795357E-2</c:v>
                </c:pt>
                <c:pt idx="875">
                  <c:v>-0.1169021257286037</c:v>
                </c:pt>
                <c:pt idx="876">
                  <c:v>-0.13063384666984801</c:v>
                </c:pt>
                <c:pt idx="877">
                  <c:v>-0.11621652615574696</c:v>
                </c:pt>
                <c:pt idx="878">
                  <c:v>-9.758079532016628E-2</c:v>
                </c:pt>
                <c:pt idx="879">
                  <c:v>-0.12346834465929035</c:v>
                </c:pt>
                <c:pt idx="880">
                  <c:v>-8.2882329657483766E-2</c:v>
                </c:pt>
                <c:pt idx="881">
                  <c:v>-7.9048644276168312E-2</c:v>
                </c:pt>
                <c:pt idx="882">
                  <c:v>-8.1465506079763772E-2</c:v>
                </c:pt>
                <c:pt idx="883">
                  <c:v>-7.7012808134466204E-2</c:v>
                </c:pt>
                <c:pt idx="884">
                  <c:v>-5.7584198656175478E-2</c:v>
                </c:pt>
                <c:pt idx="885">
                  <c:v>-5.7240165776990204E-2</c:v>
                </c:pt>
                <c:pt idx="886">
                  <c:v>-8.3720832732200545E-2</c:v>
                </c:pt>
                <c:pt idx="887">
                  <c:v>-7.5563924145065853E-2</c:v>
                </c:pt>
                <c:pt idx="888">
                  <c:v>-9.6258919884730343E-2</c:v>
                </c:pt>
                <c:pt idx="889">
                  <c:v>-8.4792390337978363E-2</c:v>
                </c:pt>
                <c:pt idx="890">
                  <c:v>-4.5830358497057078E-2</c:v>
                </c:pt>
                <c:pt idx="891">
                  <c:v>-4.608560869774303E-2</c:v>
                </c:pt>
                <c:pt idx="892">
                  <c:v>-3.961187172382663E-2</c:v>
                </c:pt>
                <c:pt idx="893">
                  <c:v>-2.83833290791633E-2</c:v>
                </c:pt>
                <c:pt idx="894">
                  <c:v>-1.0431964723682352E-2</c:v>
                </c:pt>
                <c:pt idx="895">
                  <c:v>-1.3581283624898077E-2</c:v>
                </c:pt>
                <c:pt idx="896">
                  <c:v>-8.9263584674629248E-3</c:v>
                </c:pt>
                <c:pt idx="897">
                  <c:v>-7.8104095224353909E-3</c:v>
                </c:pt>
                <c:pt idx="898">
                  <c:v>-8.3505041499736254E-3</c:v>
                </c:pt>
                <c:pt idx="899">
                  <c:v>-1.471326277576579E-2</c:v>
                </c:pt>
                <c:pt idx="900">
                  <c:v>-1.2604674161404317E-2</c:v>
                </c:pt>
                <c:pt idx="901">
                  <c:v>-1.4358132061768059E-2</c:v>
                </c:pt>
                <c:pt idx="902">
                  <c:v>-1.5133747405881026E-2</c:v>
                </c:pt>
                <c:pt idx="903">
                  <c:v>-1.0044773598004375E-2</c:v>
                </c:pt>
                <c:pt idx="904">
                  <c:v>-1.9686325864490484E-2</c:v>
                </c:pt>
                <c:pt idx="905">
                  <c:v>-1.893783856103004E-2</c:v>
                </c:pt>
                <c:pt idx="906">
                  <c:v>-2.637585407087073E-2</c:v>
                </c:pt>
                <c:pt idx="907">
                  <c:v>-1.2287769322871678E-2</c:v>
                </c:pt>
                <c:pt idx="908">
                  <c:v>-1.1835224281076084E-2</c:v>
                </c:pt>
                <c:pt idx="909">
                  <c:v>-1.9169659999334177E-2</c:v>
                </c:pt>
                <c:pt idx="910">
                  <c:v>-1.6920498810681917E-2</c:v>
                </c:pt>
                <c:pt idx="911">
                  <c:v>-2.2877569919442009E-2</c:v>
                </c:pt>
                <c:pt idx="912">
                  <c:v>-2.5543516459938576E-2</c:v>
                </c:pt>
                <c:pt idx="913">
                  <c:v>-2.3053902183683972E-2</c:v>
                </c:pt>
                <c:pt idx="914">
                  <c:v>-1.4121378252436201E-2</c:v>
                </c:pt>
                <c:pt idx="915">
                  <c:v>-2.2738230437907569E-3</c:v>
                </c:pt>
                <c:pt idx="916">
                  <c:v>-1.8496391353983732E-5</c:v>
                </c:pt>
                <c:pt idx="917">
                  <c:v>-2.6301868505455017E-3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-6.7799259729911521E-3</c:v>
                </c:pt>
                <c:pt idx="923">
                  <c:v>-5.4385646425221257E-3</c:v>
                </c:pt>
                <c:pt idx="924">
                  <c:v>-9.2117737234375108E-3</c:v>
                </c:pt>
                <c:pt idx="925">
                  <c:v>-1.4022520750758827E-2</c:v>
                </c:pt>
                <c:pt idx="926">
                  <c:v>-1.4612518027694588E-2</c:v>
                </c:pt>
                <c:pt idx="927">
                  <c:v>-1.5849243088963405E-2</c:v>
                </c:pt>
                <c:pt idx="928">
                  <c:v>-1.9933839621594895E-2</c:v>
                </c:pt>
                <c:pt idx="929">
                  <c:v>-7.7342591752139755E-3</c:v>
                </c:pt>
                <c:pt idx="930">
                  <c:v>-1.4186408883241075E-2</c:v>
                </c:pt>
                <c:pt idx="931">
                  <c:v>-1.1740693675430958E-2</c:v>
                </c:pt>
                <c:pt idx="932">
                  <c:v>-5.1007029540205417E-3</c:v>
                </c:pt>
                <c:pt idx="933">
                  <c:v>-5.5356368440692139E-3</c:v>
                </c:pt>
                <c:pt idx="934">
                  <c:v>-6.1243734430627139E-3</c:v>
                </c:pt>
                <c:pt idx="935">
                  <c:v>-9.1474791483867612E-3</c:v>
                </c:pt>
                <c:pt idx="936">
                  <c:v>-1.5157130898712068E-2</c:v>
                </c:pt>
                <c:pt idx="937">
                  <c:v>-1.6332082740814768E-2</c:v>
                </c:pt>
                <c:pt idx="938">
                  <c:v>-2.8358950309118169E-2</c:v>
                </c:pt>
                <c:pt idx="939">
                  <c:v>-3.2834357003822312E-2</c:v>
                </c:pt>
                <c:pt idx="940">
                  <c:v>-3.8102730124151551E-2</c:v>
                </c:pt>
                <c:pt idx="941">
                  <c:v>-2.4560527669359455E-2</c:v>
                </c:pt>
                <c:pt idx="942">
                  <c:v>-1.0092987605014425E-2</c:v>
                </c:pt>
                <c:pt idx="943">
                  <c:v>0</c:v>
                </c:pt>
                <c:pt idx="944">
                  <c:v>-1.8268339630711505E-3</c:v>
                </c:pt>
                <c:pt idx="945">
                  <c:v>-1.6867979101529151E-3</c:v>
                </c:pt>
                <c:pt idx="946">
                  <c:v>-4.4455081526444395E-3</c:v>
                </c:pt>
                <c:pt idx="947">
                  <c:v>-3.7962500891137729E-3</c:v>
                </c:pt>
                <c:pt idx="948">
                  <c:v>-8.6567741804155496E-5</c:v>
                </c:pt>
                <c:pt idx="949">
                  <c:v>0</c:v>
                </c:pt>
                <c:pt idx="950">
                  <c:v>-2.5888131582242346E-3</c:v>
                </c:pt>
                <c:pt idx="951">
                  <c:v>0</c:v>
                </c:pt>
                <c:pt idx="952">
                  <c:v>0</c:v>
                </c:pt>
                <c:pt idx="953">
                  <c:v>-8.340283569641449E-3</c:v>
                </c:pt>
                <c:pt idx="954">
                  <c:v>-2.8670527956656811E-3</c:v>
                </c:pt>
                <c:pt idx="955">
                  <c:v>-3.2525820823979812E-3</c:v>
                </c:pt>
                <c:pt idx="956">
                  <c:v>-1.1966829060169548E-2</c:v>
                </c:pt>
                <c:pt idx="957">
                  <c:v>-2.5069684418576821E-2</c:v>
                </c:pt>
                <c:pt idx="958">
                  <c:v>-3.5833662104141739E-2</c:v>
                </c:pt>
                <c:pt idx="959">
                  <c:v>-2.7477957363031158E-2</c:v>
                </c:pt>
                <c:pt idx="960">
                  <c:v>-3.4853132618219318E-2</c:v>
                </c:pt>
                <c:pt idx="961">
                  <c:v>-3.5703867244275211E-2</c:v>
                </c:pt>
                <c:pt idx="962">
                  <c:v>-4.3234539311778897E-2</c:v>
                </c:pt>
                <c:pt idx="963">
                  <c:v>-2.8256726522230324E-2</c:v>
                </c:pt>
                <c:pt idx="964">
                  <c:v>-3.2063185679900186E-2</c:v>
                </c:pt>
                <c:pt idx="965">
                  <c:v>-1.1397530813428314E-2</c:v>
                </c:pt>
                <c:pt idx="966">
                  <c:v>-8.810629299454753E-3</c:v>
                </c:pt>
                <c:pt idx="967">
                  <c:v>0</c:v>
                </c:pt>
                <c:pt idx="968">
                  <c:v>-4.5676868048611929E-3</c:v>
                </c:pt>
                <c:pt idx="969">
                  <c:v>-1.8051704410749769E-3</c:v>
                </c:pt>
                <c:pt idx="970">
                  <c:v>-1.8889221032232228E-3</c:v>
                </c:pt>
                <c:pt idx="971">
                  <c:v>0</c:v>
                </c:pt>
                <c:pt idx="972">
                  <c:v>-1.0501324672661516E-3</c:v>
                </c:pt>
                <c:pt idx="973">
                  <c:v>0</c:v>
                </c:pt>
                <c:pt idx="974">
                  <c:v>-3.8118201538772656E-3</c:v>
                </c:pt>
                <c:pt idx="975">
                  <c:v>-5.6871680426153759E-3</c:v>
                </c:pt>
                <c:pt idx="976">
                  <c:v>-7.0449095099125447E-3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-4.4792523246252047E-3</c:v>
                </c:pt>
                <c:pt idx="981">
                  <c:v>-1.9266451599299961E-2</c:v>
                </c:pt>
                <c:pt idx="982">
                  <c:v>-1.6587334218904792E-2</c:v>
                </c:pt>
                <c:pt idx="983">
                  <c:v>-2.5266462141817936E-2</c:v>
                </c:pt>
                <c:pt idx="984">
                  <c:v>-2.0356284394964841E-2</c:v>
                </c:pt>
                <c:pt idx="985">
                  <c:v>-2.1597665886520234E-2</c:v>
                </c:pt>
                <c:pt idx="986">
                  <c:v>-2.1396040230248548E-2</c:v>
                </c:pt>
                <c:pt idx="987">
                  <c:v>-2.7655660277900784E-2</c:v>
                </c:pt>
                <c:pt idx="988">
                  <c:v>-2.5602504902270784E-2</c:v>
                </c:pt>
                <c:pt idx="989">
                  <c:v>-3.0834229447361139E-2</c:v>
                </c:pt>
                <c:pt idx="990">
                  <c:v>-2.71272165644042E-2</c:v>
                </c:pt>
                <c:pt idx="991">
                  <c:v>-2.5041115820102378E-2</c:v>
                </c:pt>
                <c:pt idx="992">
                  <c:v>-3.1191357243764095E-2</c:v>
                </c:pt>
                <c:pt idx="993">
                  <c:v>-2.3325321019672329E-2</c:v>
                </c:pt>
                <c:pt idx="994">
                  <c:v>-2.4437556666034088E-2</c:v>
                </c:pt>
                <c:pt idx="995">
                  <c:v>-2.4162133383937356E-2</c:v>
                </c:pt>
                <c:pt idx="996">
                  <c:v>-3.2735836127100626E-2</c:v>
                </c:pt>
                <c:pt idx="997">
                  <c:v>-4.2357201594028782E-2</c:v>
                </c:pt>
                <c:pt idx="998">
                  <c:v>-4.2579912286250354E-2</c:v>
                </c:pt>
                <c:pt idx="999">
                  <c:v>-4.9905644464123822E-2</c:v>
                </c:pt>
                <c:pt idx="1000">
                  <c:v>-6.5913140194404085E-2</c:v>
                </c:pt>
                <c:pt idx="1001">
                  <c:v>-6.4232926392139511E-2</c:v>
                </c:pt>
                <c:pt idx="1002">
                  <c:v>-6.0305838446454541E-2</c:v>
                </c:pt>
                <c:pt idx="1003">
                  <c:v>-6.8796518860564593E-2</c:v>
                </c:pt>
                <c:pt idx="1004">
                  <c:v>-6.1742256520547323E-2</c:v>
                </c:pt>
                <c:pt idx="1005">
                  <c:v>-6.1889851772197191E-2</c:v>
                </c:pt>
                <c:pt idx="1006">
                  <c:v>-7.7036814472768667E-2</c:v>
                </c:pt>
                <c:pt idx="1007">
                  <c:v>-7.6561083349147019E-2</c:v>
                </c:pt>
                <c:pt idx="1008">
                  <c:v>-6.0582579543298043E-2</c:v>
                </c:pt>
                <c:pt idx="1009">
                  <c:v>-5.8272450292027655E-2</c:v>
                </c:pt>
                <c:pt idx="1010">
                  <c:v>-4.6157779324013659E-2</c:v>
                </c:pt>
                <c:pt idx="1011">
                  <c:v>-3.8622514601387437E-2</c:v>
                </c:pt>
                <c:pt idx="1012">
                  <c:v>-4.0485904653467353E-2</c:v>
                </c:pt>
                <c:pt idx="1013">
                  <c:v>-5.6934868323950449E-2</c:v>
                </c:pt>
                <c:pt idx="1014">
                  <c:v>-6.3475182912686834E-2</c:v>
                </c:pt>
                <c:pt idx="1015">
                  <c:v>-5.9047325363189684E-2</c:v>
                </c:pt>
                <c:pt idx="1016">
                  <c:v>-6.8432801990427339E-2</c:v>
                </c:pt>
                <c:pt idx="1017">
                  <c:v>-6.510268412507636E-2</c:v>
                </c:pt>
                <c:pt idx="1018">
                  <c:v>-8.4073945221076585E-2</c:v>
                </c:pt>
                <c:pt idx="1019">
                  <c:v>-8.8716606574314238E-2</c:v>
                </c:pt>
                <c:pt idx="1020">
                  <c:v>-6.7441805300777924E-2</c:v>
                </c:pt>
                <c:pt idx="1021">
                  <c:v>-7.1980359289012585E-2</c:v>
                </c:pt>
                <c:pt idx="1022">
                  <c:v>-8.5267885381744568E-2</c:v>
                </c:pt>
                <c:pt idx="1023">
                  <c:v>-9.4645455120500932E-2</c:v>
                </c:pt>
                <c:pt idx="1024">
                  <c:v>-6.9168142619183137E-2</c:v>
                </c:pt>
                <c:pt idx="1025">
                  <c:v>-8.4220222657979682E-2</c:v>
                </c:pt>
                <c:pt idx="1026">
                  <c:v>-7.6368682396103393E-2</c:v>
                </c:pt>
                <c:pt idx="1027">
                  <c:v>-4.8466590760537165E-2</c:v>
                </c:pt>
                <c:pt idx="1028">
                  <c:v>-7.8495635397558328E-2</c:v>
                </c:pt>
                <c:pt idx="1029">
                  <c:v>-5.5564340987201311E-2</c:v>
                </c:pt>
                <c:pt idx="1030">
                  <c:v>-3.2026851793282241E-2</c:v>
                </c:pt>
                <c:pt idx="1031">
                  <c:v>-2.9521685959474464E-2</c:v>
                </c:pt>
                <c:pt idx="1032">
                  <c:v>-3.2165222341704047E-2</c:v>
                </c:pt>
                <c:pt idx="1033">
                  <c:v>-1.4012324203512727E-2</c:v>
                </c:pt>
                <c:pt idx="1034">
                  <c:v>-1.404526957218466E-2</c:v>
                </c:pt>
                <c:pt idx="1035">
                  <c:v>-1.2059322748645185E-2</c:v>
                </c:pt>
                <c:pt idx="1036">
                  <c:v>-1.0188025808083978E-2</c:v>
                </c:pt>
                <c:pt idx="1037">
                  <c:v>0</c:v>
                </c:pt>
                <c:pt idx="1038">
                  <c:v>0</c:v>
                </c:pt>
                <c:pt idx="1039">
                  <c:v>-1.0368023533894655E-2</c:v>
                </c:pt>
                <c:pt idx="1040">
                  <c:v>-1.453814865097125E-2</c:v>
                </c:pt>
                <c:pt idx="1041">
                  <c:v>-1.7820956410867894E-2</c:v>
                </c:pt>
                <c:pt idx="1042">
                  <c:v>-2.3323389872058509E-2</c:v>
                </c:pt>
                <c:pt idx="1043">
                  <c:v>-3.3027923850584395E-2</c:v>
                </c:pt>
                <c:pt idx="1044">
                  <c:v>-4.3327999658929084E-2</c:v>
                </c:pt>
                <c:pt idx="1045">
                  <c:v>-3.1010809017595786E-2</c:v>
                </c:pt>
                <c:pt idx="1046">
                  <c:v>-2.3371352972446524E-2</c:v>
                </c:pt>
                <c:pt idx="1047">
                  <c:v>-1.123269164922458E-2</c:v>
                </c:pt>
                <c:pt idx="1048">
                  <c:v>-2.2433407898190372E-2</c:v>
                </c:pt>
                <c:pt idx="1049">
                  <c:v>-3.939369311876062E-2</c:v>
                </c:pt>
                <c:pt idx="1050">
                  <c:v>-3.8309194126652013E-2</c:v>
                </c:pt>
                <c:pt idx="1051">
                  <c:v>-3.616684230931666E-2</c:v>
                </c:pt>
                <c:pt idx="1052">
                  <c:v>-3.5479371203753884E-2</c:v>
                </c:pt>
                <c:pt idx="1053">
                  <c:v>-3.3219776252136679E-2</c:v>
                </c:pt>
                <c:pt idx="1054">
                  <c:v>-4.8249546682086031E-2</c:v>
                </c:pt>
                <c:pt idx="1055">
                  <c:v>-6.5584210547352306E-2</c:v>
                </c:pt>
                <c:pt idx="1056">
                  <c:v>-6.9787643373031782E-2</c:v>
                </c:pt>
                <c:pt idx="1057">
                  <c:v>-8.4105961147224129E-2</c:v>
                </c:pt>
                <c:pt idx="1058">
                  <c:v>-9.7073318260485042E-2</c:v>
                </c:pt>
                <c:pt idx="1059">
                  <c:v>-6.0458820347546016E-2</c:v>
                </c:pt>
                <c:pt idx="1060">
                  <c:v>-5.1945370028657956E-2</c:v>
                </c:pt>
                <c:pt idx="1061">
                  <c:v>-7.1710164313588121E-2</c:v>
                </c:pt>
                <c:pt idx="1062">
                  <c:v>-3.5282189568825117E-2</c:v>
                </c:pt>
                <c:pt idx="1063">
                  <c:v>-1.5975709354270173E-2</c:v>
                </c:pt>
                <c:pt idx="1064">
                  <c:v>-1.2562335376650302E-2</c:v>
                </c:pt>
                <c:pt idx="1065">
                  <c:v>-1.3761412886352908E-2</c:v>
                </c:pt>
                <c:pt idx="1066">
                  <c:v>-5.2306425589913053E-3</c:v>
                </c:pt>
                <c:pt idx="1067">
                  <c:v>0</c:v>
                </c:pt>
                <c:pt idx="1068">
                  <c:v>-6.5855348786709733E-3</c:v>
                </c:pt>
                <c:pt idx="1069">
                  <c:v>-6.062766996993374E-3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-3.0555144499788689E-4</c:v>
                </c:pt>
                <c:pt idx="1074">
                  <c:v>0</c:v>
                </c:pt>
                <c:pt idx="1075">
                  <c:v>-5.146631483557651E-3</c:v>
                </c:pt>
                <c:pt idx="1076">
                  <c:v>0</c:v>
                </c:pt>
                <c:pt idx="1077">
                  <c:v>0</c:v>
                </c:pt>
                <c:pt idx="1078">
                  <c:v>-1.39734601972763E-3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-1.3062635458543248E-2</c:v>
                </c:pt>
                <c:pt idx="1086">
                  <c:v>-6.3762016137794975E-3</c:v>
                </c:pt>
                <c:pt idx="1087">
                  <c:v>-7.9230738438488268E-3</c:v>
                </c:pt>
                <c:pt idx="1088">
                  <c:v>-8.3648331036375589E-3</c:v>
                </c:pt>
                <c:pt idx="1089">
                  <c:v>-4.975152828688878E-3</c:v>
                </c:pt>
                <c:pt idx="1090">
                  <c:v>-4.2031463552717474E-3</c:v>
                </c:pt>
                <c:pt idx="1091">
                  <c:v>-4.8321886669450143E-3</c:v>
                </c:pt>
                <c:pt idx="1092">
                  <c:v>-4.4190222395049661E-3</c:v>
                </c:pt>
                <c:pt idx="1093">
                  <c:v>0</c:v>
                </c:pt>
                <c:pt idx="1094">
                  <c:v>0</c:v>
                </c:pt>
                <c:pt idx="1095">
                  <c:v>-8.0768362758883994E-3</c:v>
                </c:pt>
                <c:pt idx="1096">
                  <c:v>-5.2890763791236806E-3</c:v>
                </c:pt>
                <c:pt idx="1097">
                  <c:v>-7.2392062913390065E-3</c:v>
                </c:pt>
                <c:pt idx="1098">
                  <c:v>-5.3932376207257438E-3</c:v>
                </c:pt>
                <c:pt idx="1099">
                  <c:v>-1.0456631309711861E-2</c:v>
                </c:pt>
                <c:pt idx="1100">
                  <c:v>-1.4397398283654161E-2</c:v>
                </c:pt>
                <c:pt idx="1101">
                  <c:v>-1.9672007823666515E-2</c:v>
                </c:pt>
                <c:pt idx="1102">
                  <c:v>-2.1721958925750351E-2</c:v>
                </c:pt>
                <c:pt idx="1103">
                  <c:v>-1.9818122898691559E-2</c:v>
                </c:pt>
                <c:pt idx="1104">
                  <c:v>-9.3701716924464717E-3</c:v>
                </c:pt>
                <c:pt idx="1105">
                  <c:v>-5.5538195348621144E-3</c:v>
                </c:pt>
                <c:pt idx="1106">
                  <c:v>-1.2726478366288707E-2</c:v>
                </c:pt>
                <c:pt idx="1107">
                  <c:v>0</c:v>
                </c:pt>
                <c:pt idx="1108">
                  <c:v>-1.5444553472411249E-3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-3.7978652464421003E-4</c:v>
                </c:pt>
                <c:pt idx="1113">
                  <c:v>-1.5456428328541882E-3</c:v>
                </c:pt>
                <c:pt idx="1114">
                  <c:v>0</c:v>
                </c:pt>
                <c:pt idx="1115">
                  <c:v>-1.2212186557315263E-2</c:v>
                </c:pt>
                <c:pt idx="1116">
                  <c:v>-7.5488428544494557E-3</c:v>
                </c:pt>
                <c:pt idx="1117">
                  <c:v>-4.6427224736047545E-3</c:v>
                </c:pt>
                <c:pt idx="1118">
                  <c:v>-5.6237038084464563E-3</c:v>
                </c:pt>
                <c:pt idx="1119">
                  <c:v>-5.754795908748056E-3</c:v>
                </c:pt>
                <c:pt idx="1120">
                  <c:v>0</c:v>
                </c:pt>
                <c:pt idx="1121">
                  <c:v>-2.7496006742857571E-3</c:v>
                </c:pt>
                <c:pt idx="1122">
                  <c:v>0</c:v>
                </c:pt>
                <c:pt idx="1123">
                  <c:v>0</c:v>
                </c:pt>
                <c:pt idx="1124">
                  <c:v>-1.8921855560692924E-3</c:v>
                </c:pt>
                <c:pt idx="1125">
                  <c:v>-1.6558481613991871E-3</c:v>
                </c:pt>
                <c:pt idx="1126">
                  <c:v>0</c:v>
                </c:pt>
                <c:pt idx="1127">
                  <c:v>-3.4321903642009488E-4</c:v>
                </c:pt>
                <c:pt idx="1128">
                  <c:v>0</c:v>
                </c:pt>
                <c:pt idx="1129">
                  <c:v>-1.0903523129256798E-2</c:v>
                </c:pt>
                <c:pt idx="1130">
                  <c:v>-9.8294627435303594E-3</c:v>
                </c:pt>
                <c:pt idx="1131">
                  <c:v>-4.6190630633348162E-3</c:v>
                </c:pt>
                <c:pt idx="1132">
                  <c:v>-6.3689367254735618E-3</c:v>
                </c:pt>
                <c:pt idx="1133">
                  <c:v>0</c:v>
                </c:pt>
                <c:pt idx="1134">
                  <c:v>-2.890906401055604E-3</c:v>
                </c:pt>
                <c:pt idx="1135">
                  <c:v>0</c:v>
                </c:pt>
                <c:pt idx="1136">
                  <c:v>-5.1328502415515231E-5</c:v>
                </c:pt>
                <c:pt idx="1137">
                  <c:v>0</c:v>
                </c:pt>
                <c:pt idx="1138">
                  <c:v>0</c:v>
                </c:pt>
                <c:pt idx="1139">
                  <c:v>-1.8232617304329013E-3</c:v>
                </c:pt>
                <c:pt idx="1140">
                  <c:v>0</c:v>
                </c:pt>
                <c:pt idx="1141">
                  <c:v>-4.4460090619680148E-4</c:v>
                </c:pt>
                <c:pt idx="1142">
                  <c:v>-1.5856926517940906E-3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-1.2180173710635289E-3</c:v>
                </c:pt>
                <c:pt idx="1150">
                  <c:v>-1.2474231271627501E-3</c:v>
                </c:pt>
                <c:pt idx="1151">
                  <c:v>-1.2560900868553104E-2</c:v>
                </c:pt>
                <c:pt idx="1152">
                  <c:v>-1.4042022373137342E-2</c:v>
                </c:pt>
                <c:pt idx="1153">
                  <c:v>-5.3239895253600622E-3</c:v>
                </c:pt>
                <c:pt idx="1154">
                  <c:v>-5.9786545164146609E-3</c:v>
                </c:pt>
                <c:pt idx="1155">
                  <c:v>-8.1717048528784364E-4</c:v>
                </c:pt>
                <c:pt idx="1156">
                  <c:v>0</c:v>
                </c:pt>
                <c:pt idx="1157">
                  <c:v>-8.5910785905662923E-4</c:v>
                </c:pt>
                <c:pt idx="1158">
                  <c:v>-1.8141881275937077E-3</c:v>
                </c:pt>
                <c:pt idx="1159">
                  <c:v>-4.8156478369830724E-3</c:v>
                </c:pt>
                <c:pt idx="1160">
                  <c:v>0</c:v>
                </c:pt>
                <c:pt idx="1161">
                  <c:v>0</c:v>
                </c:pt>
                <c:pt idx="1162">
                  <c:v>-4.7705401277009507E-4</c:v>
                </c:pt>
                <c:pt idx="1163">
                  <c:v>-1.1676168898875461E-2</c:v>
                </c:pt>
                <c:pt idx="1164">
                  <c:v>-5.8209913089150023E-3</c:v>
                </c:pt>
                <c:pt idx="1165">
                  <c:v>-6.5295796796744909E-3</c:v>
                </c:pt>
                <c:pt idx="1166">
                  <c:v>-9.2862370694276608E-3</c:v>
                </c:pt>
                <c:pt idx="1167">
                  <c:v>0</c:v>
                </c:pt>
                <c:pt idx="1168">
                  <c:v>0</c:v>
                </c:pt>
                <c:pt idx="1169">
                  <c:v>-8.4761200420380156E-3</c:v>
                </c:pt>
                <c:pt idx="1170">
                  <c:v>-1.8817484722276179E-2</c:v>
                </c:pt>
                <c:pt idx="1171">
                  <c:v>-2.1755478572262565E-2</c:v>
                </c:pt>
                <c:pt idx="1172">
                  <c:v>-2.4461484566579705E-2</c:v>
                </c:pt>
                <c:pt idx="1173">
                  <c:v>-2.357557121170839E-2</c:v>
                </c:pt>
                <c:pt idx="1174">
                  <c:v>-2.2473239655910637E-2</c:v>
                </c:pt>
                <c:pt idx="1175">
                  <c:v>-1.9504106496438522E-2</c:v>
                </c:pt>
                <c:pt idx="1176">
                  <c:v>-3.2637110272079717E-2</c:v>
                </c:pt>
                <c:pt idx="1177">
                  <c:v>-3.2107742010820894E-2</c:v>
                </c:pt>
                <c:pt idx="1178">
                  <c:v>-3.1270094585652553E-2</c:v>
                </c:pt>
                <c:pt idx="1179">
                  <c:v>-1.2088279942392366E-2</c:v>
                </c:pt>
                <c:pt idx="1180">
                  <c:v>-1.3972208166283862E-2</c:v>
                </c:pt>
                <c:pt idx="1181">
                  <c:v>-1.284807909384611E-2</c:v>
                </c:pt>
                <c:pt idx="1182">
                  <c:v>-2.5875209217235517E-2</c:v>
                </c:pt>
                <c:pt idx="1183">
                  <c:v>-3.2054805184695057E-2</c:v>
                </c:pt>
                <c:pt idx="1184">
                  <c:v>-1.0964150869954503E-2</c:v>
                </c:pt>
                <c:pt idx="1185">
                  <c:v>-8.1413724650656327E-3</c:v>
                </c:pt>
                <c:pt idx="1186">
                  <c:v>-6.0690514187846656E-3</c:v>
                </c:pt>
                <c:pt idx="1187">
                  <c:v>-1.1084037211474773E-2</c:v>
                </c:pt>
                <c:pt idx="1188">
                  <c:v>-1.2830952473628865E-2</c:v>
                </c:pt>
                <c:pt idx="1189">
                  <c:v>-9.3573625004865768E-3</c:v>
                </c:pt>
                <c:pt idx="1190">
                  <c:v>-9.3122105017321433E-3</c:v>
                </c:pt>
                <c:pt idx="1191">
                  <c:v>-1.1619633334630786E-2</c:v>
                </c:pt>
                <c:pt idx="1192">
                  <c:v>-7.484333034914914E-3</c:v>
                </c:pt>
                <c:pt idx="1193">
                  <c:v>-6.3150519637227287E-3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-3.5211267605639307E-4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-1.1594872314039106E-3</c:v>
                </c:pt>
                <c:pt idx="1202">
                  <c:v>-1.4695274733618202E-3</c:v>
                </c:pt>
                <c:pt idx="1203">
                  <c:v>-7.4852572701273878E-3</c:v>
                </c:pt>
                <c:pt idx="1204">
                  <c:v>-9.5843562552201389E-3</c:v>
                </c:pt>
                <c:pt idx="1205">
                  <c:v>-2.0320290551998132E-2</c:v>
                </c:pt>
                <c:pt idx="1206">
                  <c:v>-2.2995178557869922E-2</c:v>
                </c:pt>
                <c:pt idx="1207">
                  <c:v>-2.6682442864012557E-2</c:v>
                </c:pt>
                <c:pt idx="1208">
                  <c:v>-3.6746096023892116E-2</c:v>
                </c:pt>
                <c:pt idx="1209">
                  <c:v>-2.7033610893169024E-2</c:v>
                </c:pt>
                <c:pt idx="1210">
                  <c:v>-3.3487509807395344E-2</c:v>
                </c:pt>
                <c:pt idx="1211">
                  <c:v>-2.8685049732985801E-2</c:v>
                </c:pt>
                <c:pt idx="1212">
                  <c:v>-2.8063387411100704E-2</c:v>
                </c:pt>
                <c:pt idx="1213">
                  <c:v>-1.3817354660727421E-2</c:v>
                </c:pt>
                <c:pt idx="1214">
                  <c:v>-2.7704310192098403E-2</c:v>
                </c:pt>
                <c:pt idx="1215">
                  <c:v>-1.1802093088000953E-2</c:v>
                </c:pt>
                <c:pt idx="1216">
                  <c:v>-8.9389663637974293E-3</c:v>
                </c:pt>
                <c:pt idx="1217">
                  <c:v>-1.3456695603756064E-2</c:v>
                </c:pt>
                <c:pt idx="1218">
                  <c:v>-1.3890119207309426E-2</c:v>
                </c:pt>
                <c:pt idx="1219">
                  <c:v>-2.1153919161752466E-2</c:v>
                </c:pt>
                <c:pt idx="1220">
                  <c:v>-1.3089709194907706E-2</c:v>
                </c:pt>
                <c:pt idx="1221">
                  <c:v>-2.6891245475943459E-2</c:v>
                </c:pt>
                <c:pt idx="1222">
                  <c:v>-2.4717800106299537E-2</c:v>
                </c:pt>
                <c:pt idx="1223">
                  <c:v>-2.0068778314899616E-2</c:v>
                </c:pt>
                <c:pt idx="1224">
                  <c:v>-1.6038255169446569E-2</c:v>
                </c:pt>
                <c:pt idx="1225">
                  <c:v>-2.3142289489003098E-2</c:v>
                </c:pt>
                <c:pt idx="1226">
                  <c:v>-1.8007643441067089E-2</c:v>
                </c:pt>
                <c:pt idx="1227">
                  <c:v>0</c:v>
                </c:pt>
                <c:pt idx="1228">
                  <c:v>-1.3352786323702626E-3</c:v>
                </c:pt>
                <c:pt idx="1229">
                  <c:v>-4.8748770972755207E-3</c:v>
                </c:pt>
                <c:pt idx="1230">
                  <c:v>-1.6048717054140127E-3</c:v>
                </c:pt>
                <c:pt idx="1231">
                  <c:v>0</c:v>
                </c:pt>
                <c:pt idx="1232">
                  <c:v>0</c:v>
                </c:pt>
                <c:pt idx="1233">
                  <c:v>-1.8791695584191581E-3</c:v>
                </c:pt>
                <c:pt idx="1234">
                  <c:v>-1.1271796837133419E-3</c:v>
                </c:pt>
                <c:pt idx="1235">
                  <c:v>0</c:v>
                </c:pt>
                <c:pt idx="1236">
                  <c:v>0</c:v>
                </c:pt>
                <c:pt idx="1237">
                  <c:v>-1.1102340892108487E-3</c:v>
                </c:pt>
                <c:pt idx="1238">
                  <c:v>-5.0503495211405847E-3</c:v>
                </c:pt>
                <c:pt idx="1239">
                  <c:v>-5.875326384510493E-3</c:v>
                </c:pt>
                <c:pt idx="1240">
                  <c:v>-1.39662586083662E-2</c:v>
                </c:pt>
                <c:pt idx="1241">
                  <c:v>-1.859682618920655E-2</c:v>
                </c:pt>
                <c:pt idx="1242">
                  <c:v>-2.5710428258618134E-2</c:v>
                </c:pt>
                <c:pt idx="1243">
                  <c:v>0</c:v>
                </c:pt>
                <c:pt idx="1244">
                  <c:v>0</c:v>
                </c:pt>
                <c:pt idx="1245">
                  <c:v>-1.2905562607479215E-3</c:v>
                </c:pt>
                <c:pt idx="1246">
                  <c:v>-2.1503832511576837E-3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-3.286100761725641E-3</c:v>
                </c:pt>
                <c:pt idx="1252">
                  <c:v>-3.7438252312820275E-3</c:v>
                </c:pt>
                <c:pt idx="1253">
                  <c:v>0</c:v>
                </c:pt>
                <c:pt idx="1254">
                  <c:v>0</c:v>
                </c:pt>
                <c:pt idx="1255">
                  <c:v>-2.1987323398808822E-4</c:v>
                </c:pt>
                <c:pt idx="1256">
                  <c:v>0</c:v>
                </c:pt>
                <c:pt idx="1257">
                  <c:v>-4.3150017674964403E-5</c:v>
                </c:pt>
                <c:pt idx="1258">
                  <c:v>0</c:v>
                </c:pt>
                <c:pt idx="1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1-4634-B96C-5601DB74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100"/>
        <c:crosses val="autoZero"/>
        <c:auto val="0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del FEO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 AAPL'!$A$2</c:f>
              <c:strCache>
                <c:ptCount val="1"/>
                <c:pt idx="0">
                  <c:v>Flujo de actividad de operación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'EFF AAPL'!$B$1:$F$1</c:f>
              <c:numCache>
                <c:formatCode>m/d/yyyy</c:formatCode>
                <c:ptCount val="5"/>
                <c:pt idx="0">
                  <c:v>44464</c:v>
                </c:pt>
                <c:pt idx="1">
                  <c:v>44100</c:v>
                </c:pt>
                <c:pt idx="2">
                  <c:v>43736</c:v>
                </c:pt>
                <c:pt idx="3">
                  <c:v>43372</c:v>
                </c:pt>
                <c:pt idx="4">
                  <c:v>43008</c:v>
                </c:pt>
              </c:numCache>
            </c:numRef>
          </c:cat>
          <c:val>
            <c:numRef>
              <c:f>'EFF AAPL'!$B$2:$F$2</c:f>
              <c:numCache>
                <c:formatCode>_(* #,##0.00_);_(* \(#,##0.00\);_(* "-"??_);_(@_)</c:formatCode>
                <c:ptCount val="5"/>
                <c:pt idx="0">
                  <c:v>104038000</c:v>
                </c:pt>
                <c:pt idx="1">
                  <c:v>80674000</c:v>
                </c:pt>
                <c:pt idx="2">
                  <c:v>69391000</c:v>
                </c:pt>
                <c:pt idx="3">
                  <c:v>77434000</c:v>
                </c:pt>
                <c:pt idx="4">
                  <c:v>63598000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1-4106-8F6E-72E764845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yyyy" sourceLinked="0"/>
        <c:majorTickMark val="none"/>
        <c:minorTickMark val="none"/>
        <c:tickLblPos val="low"/>
        <c:crossAx val="100"/>
        <c:crosses val="autoZero"/>
        <c:auto val="0"/>
        <c:lblOffset val="100"/>
        <c:base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del activo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'BG AAPL'!$A$2</c:f>
              <c:strCache>
                <c:ptCount val="1"/>
                <c:pt idx="0">
                  <c:v>Activo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'BG AAPL'!$B$1:$F$1</c:f>
              <c:numCache>
                <c:formatCode>m/d/yyyy</c:formatCode>
                <c:ptCount val="5"/>
                <c:pt idx="0">
                  <c:v>44464</c:v>
                </c:pt>
                <c:pt idx="1">
                  <c:v>44100</c:v>
                </c:pt>
                <c:pt idx="2">
                  <c:v>43736</c:v>
                </c:pt>
                <c:pt idx="3">
                  <c:v>43372</c:v>
                </c:pt>
                <c:pt idx="4">
                  <c:v>43008</c:v>
                </c:pt>
              </c:numCache>
            </c:numRef>
          </c:cat>
          <c:val>
            <c:numRef>
              <c:f>'BG AAPL'!$B$2:$F$2</c:f>
              <c:numCache>
                <c:formatCode>_(* #,##0.00_);_(* \(#,##0.00\);_(* "-"??_);_(@_)</c:formatCode>
                <c:ptCount val="5"/>
                <c:pt idx="0">
                  <c:v>351002000</c:v>
                </c:pt>
                <c:pt idx="1">
                  <c:v>323888000</c:v>
                </c:pt>
                <c:pt idx="2">
                  <c:v>338516000</c:v>
                </c:pt>
                <c:pt idx="3">
                  <c:v>365725000</c:v>
                </c:pt>
                <c:pt idx="4">
                  <c:v>375319000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E3E-A986-ECAAD57B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yyyy" sourceLinked="0"/>
        <c:majorTickMark val="none"/>
        <c:minorTickMark val="none"/>
        <c:tickLblPos val="low"/>
        <c:crossAx val="100"/>
        <c:crosses val="autoZero"/>
        <c:auto val="0"/>
        <c:lblOffset val="100"/>
        <c:base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del EBITDA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'EERR AAPL'!$A$17</c:f>
              <c:strCache>
                <c:ptCount val="1"/>
                <c:pt idx="0">
                  <c:v>EBITDA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'EERR AAPL'!$B$1:$F$1</c:f>
              <c:numCache>
                <c:formatCode>m/d/yyyy</c:formatCode>
                <c:ptCount val="5"/>
                <c:pt idx="0">
                  <c:v>44464</c:v>
                </c:pt>
                <c:pt idx="1">
                  <c:v>44100</c:v>
                </c:pt>
                <c:pt idx="2">
                  <c:v>43736</c:v>
                </c:pt>
                <c:pt idx="3">
                  <c:v>43372</c:v>
                </c:pt>
                <c:pt idx="4">
                  <c:v>43008</c:v>
                </c:pt>
              </c:numCache>
            </c:numRef>
          </c:cat>
          <c:val>
            <c:numRef>
              <c:f>'EERR AAPL'!$B$17:$F$17</c:f>
              <c:numCache>
                <c:formatCode>_(* #,##0.00_);_(* \(#,##0.00\);_(* "-"??_);_(@_)</c:formatCode>
                <c:ptCount val="5"/>
                <c:pt idx="0">
                  <c:v>123136000</c:v>
                </c:pt>
                <c:pt idx="1">
                  <c:v>81020000</c:v>
                </c:pt>
                <c:pt idx="2">
                  <c:v>81860000</c:v>
                </c:pt>
                <c:pt idx="3">
                  <c:v>87046000</c:v>
                </c:pt>
                <c:pt idx="4">
                  <c:v>76569000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3-4774-963A-C4768BBB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yyyy" sourceLinked="0"/>
        <c:majorTickMark val="none"/>
        <c:minorTickMark val="none"/>
        <c:tickLblPos val="low"/>
        <c:crossAx val="100"/>
        <c:crosses val="autoZero"/>
        <c:auto val="0"/>
        <c:lblOffset val="100"/>
        <c:base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Ingresos totales y Resultado neto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'EERR AAPL'!$A$3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rgbClr val="002060"/>
            </a:solidFill>
            <a:ln>
              <a:prstDash val="solid"/>
            </a:ln>
          </c:spPr>
          <c:invertIfNegative val="0"/>
          <c:cat>
            <c:numRef>
              <c:f>'EERR AAPL'!$B$1:$F$1</c:f>
              <c:numCache>
                <c:formatCode>m/d/yyyy</c:formatCode>
                <c:ptCount val="5"/>
                <c:pt idx="0">
                  <c:v>44464</c:v>
                </c:pt>
                <c:pt idx="1">
                  <c:v>44100</c:v>
                </c:pt>
                <c:pt idx="2">
                  <c:v>43736</c:v>
                </c:pt>
                <c:pt idx="3">
                  <c:v>43372</c:v>
                </c:pt>
                <c:pt idx="4">
                  <c:v>43008</c:v>
                </c:pt>
              </c:numCache>
            </c:numRef>
          </c:cat>
          <c:val>
            <c:numRef>
              <c:f>'EERR AAPL'!$B$3:$F$3</c:f>
              <c:numCache>
                <c:formatCode>_(* #,##0.00_);_(* \(#,##0.00\);_(* "-"??_);_(@_)</c:formatCode>
                <c:ptCount val="5"/>
                <c:pt idx="0">
                  <c:v>365817000</c:v>
                </c:pt>
                <c:pt idx="1">
                  <c:v>274515000</c:v>
                </c:pt>
                <c:pt idx="2">
                  <c:v>260174000</c:v>
                </c:pt>
                <c:pt idx="3">
                  <c:v>265595000</c:v>
                </c:pt>
                <c:pt idx="4">
                  <c:v>229234000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9-4E9E-8CD6-FB150F830B62}"/>
            </c:ext>
          </c:extLst>
        </c:ser>
        <c:ser>
          <c:idx val="1"/>
          <c:order val="1"/>
          <c:tx>
            <c:strRef>
              <c:f>'EERR AAPL'!$A$14</c:f>
              <c:strCache>
                <c:ptCount val="1"/>
                <c:pt idx="0">
                  <c:v>Resultado neto</c:v>
                </c:pt>
              </c:strCache>
            </c:strRef>
          </c:tx>
          <c:spPr>
            <a:solidFill>
              <a:srgbClr val="6F6F6F"/>
            </a:solidFill>
            <a:ln>
              <a:prstDash val="solid"/>
            </a:ln>
          </c:spPr>
          <c:invertIfNegative val="0"/>
          <c:val>
            <c:numRef>
              <c:f>'EERR AAPL'!$B$14:$F$14</c:f>
              <c:numCache>
                <c:formatCode>_(* #,##0.00_);_(* \(#,##0.00\);_(* "-"??_);_(@_)</c:formatCode>
                <c:ptCount val="5"/>
                <c:pt idx="0">
                  <c:v>94680000</c:v>
                </c:pt>
                <c:pt idx="1">
                  <c:v>57411000</c:v>
                </c:pt>
                <c:pt idx="2">
                  <c:v>55256000</c:v>
                </c:pt>
                <c:pt idx="3">
                  <c:v>59531000</c:v>
                </c:pt>
                <c:pt idx="4">
                  <c:v>48351000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9-4E9E-8CD6-FB150F83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yyyy" sourceLinked="0"/>
        <c:majorTickMark val="none"/>
        <c:minorTickMark val="none"/>
        <c:tickLblPos val="low"/>
        <c:crossAx val="100"/>
        <c:crosses val="autoZero"/>
        <c:auto val="0"/>
        <c:lblOffset val="100"/>
        <c:base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108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21</xdr:row>
      <xdr:rowOff>0</xdr:rowOff>
    </xdr:from>
    <xdr:ext cx="108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08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22</xdr:row>
      <xdr:rowOff>0</xdr:rowOff>
    </xdr:from>
    <xdr:ext cx="108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0</xdr:colOff>
      <xdr:row>42</xdr:row>
      <xdr:rowOff>0</xdr:rowOff>
    </xdr:from>
    <xdr:ext cx="108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108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108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108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21</xdr:row>
      <xdr:rowOff>0</xdr:rowOff>
    </xdr:from>
    <xdr:ext cx="108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B2:G41"/>
  <sheetViews>
    <sheetView showGridLines="0" tabSelected="1" workbookViewId="0">
      <selection activeCell="G3" sqref="G3"/>
    </sheetView>
  </sheetViews>
  <sheetFormatPr defaultRowHeight="15" x14ac:dyDescent="0.25"/>
  <cols>
    <col min="1" max="1" width="3" customWidth="1"/>
    <col min="7" max="7" width="24.28515625" bestFit="1" customWidth="1"/>
  </cols>
  <sheetData>
    <row r="2" spans="2:7" ht="23.25" x14ac:dyDescent="0.35">
      <c r="B2" s="1" t="s">
        <v>0</v>
      </c>
      <c r="G2" s="1">
        <v>161.79</v>
      </c>
    </row>
    <row r="3" spans="2:7" x14ac:dyDescent="0.25">
      <c r="B3" t="s">
        <v>1</v>
      </c>
      <c r="G3" s="2">
        <f>DATE(2022,4,23)</f>
        <v>44674</v>
      </c>
    </row>
    <row r="5" spans="2:7" ht="18.75" x14ac:dyDescent="0.3">
      <c r="B5" s="3" t="s">
        <v>2</v>
      </c>
      <c r="C5" s="3"/>
      <c r="D5" s="3"/>
      <c r="E5" s="3"/>
      <c r="F5" s="3"/>
      <c r="G5" s="3"/>
    </row>
    <row r="7" spans="2:7" x14ac:dyDescent="0.25">
      <c r="B7" t="s">
        <v>3</v>
      </c>
      <c r="G7" s="4">
        <v>1.19</v>
      </c>
    </row>
    <row r="8" spans="2:7" x14ac:dyDescent="0.25">
      <c r="B8" t="s">
        <v>4</v>
      </c>
      <c r="G8" s="4">
        <v>91395314</v>
      </c>
    </row>
    <row r="9" spans="2:7" x14ac:dyDescent="0.25">
      <c r="B9" t="s">
        <v>5</v>
      </c>
      <c r="G9" s="4">
        <v>2640315678.7199998</v>
      </c>
    </row>
    <row r="10" spans="2:7" x14ac:dyDescent="0.25">
      <c r="B10" t="s">
        <v>6</v>
      </c>
      <c r="G10" s="4" t="s">
        <v>7</v>
      </c>
    </row>
    <row r="11" spans="2:7" x14ac:dyDescent="0.25">
      <c r="B11" t="s">
        <v>8</v>
      </c>
      <c r="G11" s="4" t="s">
        <v>9</v>
      </c>
    </row>
    <row r="12" spans="2:7" x14ac:dyDescent="0.25">
      <c r="B12" t="s">
        <v>10</v>
      </c>
      <c r="G12" s="4" t="s">
        <v>11</v>
      </c>
    </row>
    <row r="13" spans="2:7" x14ac:dyDescent="0.25">
      <c r="B13" t="s">
        <v>12</v>
      </c>
      <c r="G13" s="4">
        <v>0.88</v>
      </c>
    </row>
    <row r="14" spans="2:7" x14ac:dyDescent="0.25">
      <c r="G14" s="4"/>
    </row>
    <row r="15" spans="2:7" ht="18.75" x14ac:dyDescent="0.3">
      <c r="B15" s="3" t="s">
        <v>13</v>
      </c>
      <c r="C15" s="3"/>
      <c r="D15" s="3"/>
      <c r="E15" s="3"/>
      <c r="F15" s="3"/>
      <c r="G15" s="3"/>
    </row>
    <row r="16" spans="2:7" x14ac:dyDescent="0.25">
      <c r="G16" s="4"/>
    </row>
    <row r="17" spans="2:7" x14ac:dyDescent="0.25">
      <c r="B17" t="s">
        <v>14</v>
      </c>
      <c r="G17" s="4">
        <v>26.37</v>
      </c>
    </row>
    <row r="18" spans="2:7" x14ac:dyDescent="0.25">
      <c r="B18" t="s">
        <v>15</v>
      </c>
      <c r="G18" s="4">
        <f>G2/G17</f>
        <v>6.1353811149032991</v>
      </c>
    </row>
    <row r="19" spans="2:7" x14ac:dyDescent="0.25">
      <c r="B19" t="s">
        <v>16</v>
      </c>
      <c r="G19" s="4">
        <v>23.63</v>
      </c>
    </row>
    <row r="20" spans="2:7" x14ac:dyDescent="0.25">
      <c r="B20" t="s">
        <v>17</v>
      </c>
      <c r="G20" s="4">
        <v>20.92</v>
      </c>
    </row>
    <row r="21" spans="2:7" x14ac:dyDescent="0.25">
      <c r="G21" s="4"/>
    </row>
    <row r="22" spans="2:7" ht="18.75" x14ac:dyDescent="0.3">
      <c r="B22" s="3" t="s">
        <v>18</v>
      </c>
      <c r="C22" s="3"/>
      <c r="D22" s="3"/>
      <c r="E22" s="3"/>
      <c r="F22" s="3"/>
      <c r="G22" s="3"/>
    </row>
    <row r="23" spans="2:7" x14ac:dyDescent="0.25">
      <c r="G23" s="4"/>
    </row>
    <row r="24" spans="2:7" x14ac:dyDescent="0.25">
      <c r="B24" t="s">
        <v>19</v>
      </c>
      <c r="G24" s="4">
        <v>1.04</v>
      </c>
    </row>
    <row r="25" spans="2:7" x14ac:dyDescent="0.25">
      <c r="B25" t="s">
        <v>20</v>
      </c>
      <c r="G25" s="4">
        <v>0.88</v>
      </c>
    </row>
    <row r="26" spans="2:7" x14ac:dyDescent="0.25">
      <c r="B26" t="s">
        <v>21</v>
      </c>
      <c r="G26" s="4">
        <v>0.25</v>
      </c>
    </row>
    <row r="27" spans="2:7" x14ac:dyDescent="0.25">
      <c r="B27" t="s">
        <v>22</v>
      </c>
      <c r="G27" s="4">
        <v>25.47</v>
      </c>
    </row>
    <row r="28" spans="2:7" x14ac:dyDescent="0.25">
      <c r="G28" s="4"/>
    </row>
    <row r="29" spans="2:7" ht="18.75" x14ac:dyDescent="0.3">
      <c r="B29" s="3" t="s">
        <v>23</v>
      </c>
      <c r="C29" s="3"/>
      <c r="D29" s="3"/>
      <c r="E29" s="3"/>
      <c r="F29" s="3"/>
      <c r="G29" s="3"/>
    </row>
    <row r="30" spans="2:7" x14ac:dyDescent="0.25">
      <c r="G30" s="4"/>
    </row>
    <row r="31" spans="2:7" x14ac:dyDescent="0.25">
      <c r="B31" t="s">
        <v>24</v>
      </c>
      <c r="G31" s="4">
        <v>0.31</v>
      </c>
    </row>
    <row r="32" spans="2:7" x14ac:dyDescent="0.25">
      <c r="B32" t="s">
        <v>25</v>
      </c>
      <c r="G32" s="4">
        <v>0.43</v>
      </c>
    </row>
    <row r="33" spans="2:7" x14ac:dyDescent="0.25">
      <c r="B33" t="s">
        <v>26</v>
      </c>
      <c r="G33" s="4">
        <v>0.27</v>
      </c>
    </row>
    <row r="34" spans="2:7" x14ac:dyDescent="0.25">
      <c r="B34" t="s">
        <v>27</v>
      </c>
      <c r="G34" s="4">
        <v>1.5</v>
      </c>
    </row>
    <row r="35" spans="2:7" x14ac:dyDescent="0.25">
      <c r="B35" t="s">
        <v>28</v>
      </c>
      <c r="G35" s="4">
        <v>0.26</v>
      </c>
    </row>
    <row r="36" spans="2:7" x14ac:dyDescent="0.25">
      <c r="G36" s="4"/>
    </row>
    <row r="37" spans="2:7" ht="18.75" x14ac:dyDescent="0.3">
      <c r="B37" s="3" t="s">
        <v>29</v>
      </c>
      <c r="C37" s="3"/>
      <c r="D37" s="3"/>
      <c r="E37" s="3"/>
      <c r="F37" s="3"/>
      <c r="G37" s="3"/>
    </row>
    <row r="38" spans="2:7" x14ac:dyDescent="0.25">
      <c r="G38" s="4"/>
    </row>
    <row r="39" spans="2:7" x14ac:dyDescent="0.25">
      <c r="B39" t="s">
        <v>30</v>
      </c>
      <c r="G39" s="4">
        <v>4.3</v>
      </c>
    </row>
    <row r="40" spans="2:7" x14ac:dyDescent="0.25">
      <c r="B40" t="s">
        <v>31</v>
      </c>
      <c r="G40" s="4">
        <v>43.28</v>
      </c>
    </row>
    <row r="41" spans="2:7" x14ac:dyDescent="0.25">
      <c r="B41" t="s">
        <v>32</v>
      </c>
      <c r="G41" s="4">
        <v>0.91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K1262"/>
  <sheetViews>
    <sheetView showGridLines="0" workbookViewId="0"/>
  </sheetViews>
  <sheetFormatPr defaultColWidth="11.28515625" defaultRowHeight="15" x14ac:dyDescent="0.25"/>
  <sheetData>
    <row r="1" spans="1:11" x14ac:dyDescent="0.25">
      <c r="B1" s="5" t="s">
        <v>33</v>
      </c>
      <c r="C1" s="5" t="s">
        <v>34</v>
      </c>
      <c r="D1" s="5" t="s">
        <v>35</v>
      </c>
      <c r="E1" s="5" t="s">
        <v>36</v>
      </c>
      <c r="G1" s="5" t="s">
        <v>37</v>
      </c>
      <c r="H1" s="5" t="s">
        <v>38</v>
      </c>
      <c r="I1" s="5" t="s">
        <v>35</v>
      </c>
      <c r="J1" s="5" t="s">
        <v>36</v>
      </c>
      <c r="K1" s="5" t="s">
        <v>39</v>
      </c>
    </row>
    <row r="2" spans="1:11" x14ac:dyDescent="0.25">
      <c r="A2" s="2">
        <f>DATE(2022,4,22)</f>
        <v>44673</v>
      </c>
      <c r="B2" s="6">
        <v>161.79</v>
      </c>
      <c r="C2" s="7">
        <f t="shared" ref="C2:C65" si="0">IFERROR(B2/B3-1,0)</f>
        <v>-2.7821175339502457E-2</v>
      </c>
      <c r="D2" s="6">
        <f>MAX($B2:$B$1261)</f>
        <v>182.01</v>
      </c>
      <c r="E2" s="7">
        <f t="shared" ref="E2:E65" si="1">$B2/$D2-1</f>
        <v>-0.1110927970990605</v>
      </c>
      <c r="G2" s="6">
        <v>12839.29</v>
      </c>
      <c r="H2" s="7">
        <f t="shared" ref="H2:H65" si="2">IFERROR(G2/G3-1,0)</f>
        <v>-2.5454945672180984E-2</v>
      </c>
      <c r="I2" s="6">
        <f>MAX($G2:$G$1261)</f>
        <v>16057.44</v>
      </c>
      <c r="J2" s="7">
        <f t="shared" ref="J2:J65" si="3">$G2/$I2-1</f>
        <v>-0.20041488556083653</v>
      </c>
      <c r="K2" s="6">
        <f t="shared" ref="K2:K65" si="4">$K3*(1+H2)</f>
        <v>214.56678175479871</v>
      </c>
    </row>
    <row r="3" spans="1:11" x14ac:dyDescent="0.25">
      <c r="A3" s="2">
        <f>DATE(2022,4,21)</f>
        <v>44672</v>
      </c>
      <c r="B3" s="6">
        <v>166.42</v>
      </c>
      <c r="C3" s="7">
        <f t="shared" si="0"/>
        <v>-4.8436285355498709E-3</v>
      </c>
      <c r="D3" s="6">
        <f>MAX($B3:$B$1261)</f>
        <v>182.01</v>
      </c>
      <c r="E3" s="7">
        <f t="shared" si="1"/>
        <v>-8.5654634360749382E-2</v>
      </c>
      <c r="G3" s="6">
        <v>13174.65</v>
      </c>
      <c r="H3" s="7">
        <f t="shared" si="2"/>
        <v>-2.0695647907875259E-2</v>
      </c>
      <c r="I3" s="6">
        <f>MAX($G3:$G$1261)</f>
        <v>16057.44</v>
      </c>
      <c r="J3" s="7">
        <f t="shared" si="3"/>
        <v>-0.17952986279257466</v>
      </c>
      <c r="K3" s="6">
        <f t="shared" si="4"/>
        <v>220.17122841261929</v>
      </c>
    </row>
    <row r="4" spans="1:11" x14ac:dyDescent="0.25">
      <c r="A4" s="2">
        <f>DATE(2022,4,20)</f>
        <v>44671</v>
      </c>
      <c r="B4" s="6">
        <v>167.23</v>
      </c>
      <c r="C4" s="7">
        <f t="shared" si="0"/>
        <v>-1.0155316606930143E-3</v>
      </c>
      <c r="D4" s="6">
        <f>MAX($B4:$B$1261)</f>
        <v>182.01</v>
      </c>
      <c r="E4" s="7">
        <f t="shared" si="1"/>
        <v>-8.1204329432448819E-2</v>
      </c>
      <c r="G4" s="6">
        <v>13453.07</v>
      </c>
      <c r="H4" s="7">
        <f t="shared" si="2"/>
        <v>-1.2231582873581281E-2</v>
      </c>
      <c r="I4" s="6">
        <f>MAX($G4:$G$1261)</f>
        <v>16057.44</v>
      </c>
      <c r="J4" s="7">
        <f t="shared" si="3"/>
        <v>-0.16219085981327042</v>
      </c>
      <c r="K4" s="6">
        <f t="shared" si="4"/>
        <v>224.82410901397427</v>
      </c>
    </row>
    <row r="5" spans="1:11" x14ac:dyDescent="0.25">
      <c r="A5" s="2">
        <f>DATE(2022,4,19)</f>
        <v>44670</v>
      </c>
      <c r="B5" s="6">
        <v>167.4</v>
      </c>
      <c r="C5" s="7">
        <f t="shared" si="0"/>
        <v>1.4115223844429758E-2</v>
      </c>
      <c r="D5" s="6">
        <f>MAX($B5:$B$1261)</f>
        <v>182.01</v>
      </c>
      <c r="E5" s="7">
        <f t="shared" si="1"/>
        <v>-8.0270314817867061E-2</v>
      </c>
      <c r="G5" s="6">
        <v>13619.66</v>
      </c>
      <c r="H5" s="7">
        <f t="shared" si="2"/>
        <v>2.1549073082334891E-2</v>
      </c>
      <c r="I5" s="6">
        <f>MAX($G5:$G$1261)</f>
        <v>16057.44</v>
      </c>
      <c r="J5" s="7">
        <f t="shared" si="3"/>
        <v>-0.15181622973525044</v>
      </c>
      <c r="K5" s="6">
        <f t="shared" si="4"/>
        <v>227.60811655430803</v>
      </c>
    </row>
    <row r="6" spans="1:11" x14ac:dyDescent="0.25">
      <c r="A6" s="2">
        <f>DATE(2022,4,18)</f>
        <v>44669</v>
      </c>
      <c r="B6" s="6">
        <v>165.07</v>
      </c>
      <c r="C6" s="7">
        <f t="shared" si="0"/>
        <v>-1.3309940105269424E-3</v>
      </c>
      <c r="D6" s="6">
        <f>MAX($B6:$B$1261)</f>
        <v>182.01</v>
      </c>
      <c r="E6" s="7">
        <f t="shared" si="1"/>
        <v>-9.3071809241250469E-2</v>
      </c>
      <c r="G6" s="6">
        <v>13332.36</v>
      </c>
      <c r="H6" s="7">
        <f t="shared" si="2"/>
        <v>-1.4021337599654515E-3</v>
      </c>
      <c r="I6" s="6">
        <f>MAX($G6:$G$1261)</f>
        <v>16057.44</v>
      </c>
      <c r="J6" s="7">
        <f t="shared" si="3"/>
        <v>-0.16970824739186319</v>
      </c>
      <c r="K6" s="6">
        <f t="shared" si="4"/>
        <v>222.8068357671186</v>
      </c>
    </row>
    <row r="7" spans="1:11" x14ac:dyDescent="0.25">
      <c r="A7" s="2">
        <f>DATE(2022,4,14)</f>
        <v>44665</v>
      </c>
      <c r="B7" s="6">
        <v>165.29</v>
      </c>
      <c r="C7" s="7">
        <f t="shared" si="0"/>
        <v>-2.9988262910798147E-2</v>
      </c>
      <c r="D7" s="6">
        <f>MAX($B7:$B$1261)</f>
        <v>182.01</v>
      </c>
      <c r="E7" s="7">
        <f t="shared" si="1"/>
        <v>-9.1863084445909515E-2</v>
      </c>
      <c r="G7" s="6">
        <v>13351.08</v>
      </c>
      <c r="H7" s="7">
        <f t="shared" si="2"/>
        <v>-2.1439371895520143E-2</v>
      </c>
      <c r="I7" s="6">
        <f>MAX($G7:$G$1261)</f>
        <v>16057.44</v>
      </c>
      <c r="J7" s="7">
        <f t="shared" si="3"/>
        <v>-0.16854243266672653</v>
      </c>
      <c r="K7" s="6">
        <f t="shared" si="4"/>
        <v>223.11967940212099</v>
      </c>
    </row>
    <row r="8" spans="1:11" x14ac:dyDescent="0.25">
      <c r="A8" s="2">
        <f>DATE(2022,4,13)</f>
        <v>44664</v>
      </c>
      <c r="B8" s="6">
        <v>170.4</v>
      </c>
      <c r="C8" s="7">
        <f t="shared" si="0"/>
        <v>1.6342598115233198E-2</v>
      </c>
      <c r="D8" s="6">
        <f>MAX($B8:$B$1261)</f>
        <v>182.01</v>
      </c>
      <c r="E8" s="7">
        <f t="shared" si="1"/>
        <v>-6.3787703972309151E-2</v>
      </c>
      <c r="G8" s="6">
        <v>13643.59</v>
      </c>
      <c r="H8" s="7">
        <f t="shared" si="2"/>
        <v>2.0343160900328172E-2</v>
      </c>
      <c r="I8" s="6">
        <f>MAX($G8:$G$1261)</f>
        <v>16057.44</v>
      </c>
      <c r="J8" s="7">
        <f t="shared" si="3"/>
        <v>-0.15032595482218836</v>
      </c>
      <c r="K8" s="6">
        <f t="shared" si="4"/>
        <v>228.00802831635971</v>
      </c>
    </row>
    <row r="9" spans="1:11" x14ac:dyDescent="0.25">
      <c r="A9" s="2">
        <f>DATE(2022,4,12)</f>
        <v>44663</v>
      </c>
      <c r="B9" s="6">
        <v>167.66</v>
      </c>
      <c r="C9" s="7">
        <f t="shared" si="0"/>
        <v>1.1523378582201982E-2</v>
      </c>
      <c r="D9" s="6">
        <f>MAX($B9:$B$1261)</f>
        <v>182.01</v>
      </c>
      <c r="E9" s="7">
        <f t="shared" si="1"/>
        <v>-7.8841821877918772E-2</v>
      </c>
      <c r="G9" s="6">
        <v>13371.57</v>
      </c>
      <c r="H9" s="7">
        <f t="shared" si="2"/>
        <v>-3.0114912361801638E-3</v>
      </c>
      <c r="I9" s="6">
        <f>MAX($G9:$G$1261)</f>
        <v>16057.44</v>
      </c>
      <c r="J9" s="7">
        <f t="shared" si="3"/>
        <v>-0.16726638866469379</v>
      </c>
      <c r="K9" s="6">
        <f t="shared" si="4"/>
        <v>223.46210280389442</v>
      </c>
    </row>
    <row r="10" spans="1:11" x14ac:dyDescent="0.25">
      <c r="A10" s="2">
        <f>DATE(2022,4,11)</f>
        <v>44662</v>
      </c>
      <c r="B10" s="6">
        <v>165.75</v>
      </c>
      <c r="C10" s="7">
        <f t="shared" si="0"/>
        <v>-2.551590334528786E-2</v>
      </c>
      <c r="D10" s="6">
        <f>MAX($B10:$B$1261)</f>
        <v>182.01</v>
      </c>
      <c r="E10" s="7">
        <f t="shared" si="1"/>
        <v>-8.9335750782923995E-2</v>
      </c>
      <c r="G10" s="6">
        <v>13411.96</v>
      </c>
      <c r="H10" s="7">
        <f t="shared" si="2"/>
        <v>-2.1810225366494129E-2</v>
      </c>
      <c r="I10" s="6">
        <f>MAX($G10:$G$1261)</f>
        <v>16057.44</v>
      </c>
      <c r="J10" s="7">
        <f t="shared" si="3"/>
        <v>-0.16475104375292704</v>
      </c>
      <c r="K10" s="6">
        <f t="shared" si="4"/>
        <v>224.13708968518429</v>
      </c>
    </row>
    <row r="11" spans="1:11" x14ac:dyDescent="0.25">
      <c r="A11" s="2">
        <f>DATE(2022,4,8)</f>
        <v>44659</v>
      </c>
      <c r="B11" s="6">
        <v>170.09</v>
      </c>
      <c r="C11" s="7">
        <f t="shared" si="0"/>
        <v>-1.1908911351225626E-2</v>
      </c>
      <c r="D11" s="6">
        <f>MAX($B11:$B$1261)</f>
        <v>182.01</v>
      </c>
      <c r="E11" s="7">
        <f t="shared" si="1"/>
        <v>-6.5490907093016748E-2</v>
      </c>
      <c r="G11" s="6">
        <v>13711</v>
      </c>
      <c r="H11" s="7">
        <f t="shared" si="2"/>
        <v>-1.3405481640318517E-2</v>
      </c>
      <c r="I11" s="6">
        <f>MAX($G11:$G$1261)</f>
        <v>16057.44</v>
      </c>
      <c r="J11" s="7">
        <f t="shared" si="3"/>
        <v>-0.1461279008359988</v>
      </c>
      <c r="K11" s="6">
        <f t="shared" si="4"/>
        <v>229.13456621355581</v>
      </c>
    </row>
    <row r="12" spans="1:11" x14ac:dyDescent="0.25">
      <c r="A12" s="2">
        <f>DATE(2022,4,7)</f>
        <v>44658</v>
      </c>
      <c r="B12" s="6">
        <v>172.14</v>
      </c>
      <c r="C12" s="7">
        <f t="shared" si="0"/>
        <v>1.8041087120990174E-3</v>
      </c>
      <c r="D12" s="6">
        <f>MAX($B12:$B$1261)</f>
        <v>182.01</v>
      </c>
      <c r="E12" s="7">
        <f t="shared" si="1"/>
        <v>-5.4227789681885685E-2</v>
      </c>
      <c r="G12" s="6">
        <v>13897.3</v>
      </c>
      <c r="H12" s="7">
        <f t="shared" si="2"/>
        <v>6.1056302839257448E-4</v>
      </c>
      <c r="I12" s="6">
        <f>MAX($G12:$G$1261)</f>
        <v>16057.44</v>
      </c>
      <c r="J12" s="7">
        <f t="shared" si="3"/>
        <v>-0.13452580236949363</v>
      </c>
      <c r="K12" s="6">
        <f t="shared" si="4"/>
        <v>232.24796200420457</v>
      </c>
    </row>
    <row r="13" spans="1:11" x14ac:dyDescent="0.25">
      <c r="A13" s="2">
        <f>DATE(2022,4,6)</f>
        <v>44657</v>
      </c>
      <c r="B13" s="6">
        <v>171.83</v>
      </c>
      <c r="C13" s="7">
        <f t="shared" si="0"/>
        <v>-1.8450816862789821E-2</v>
      </c>
      <c r="D13" s="6">
        <f>MAX($B13:$B$1261)</f>
        <v>182.01</v>
      </c>
      <c r="E13" s="7">
        <f t="shared" si="1"/>
        <v>-5.5930992802593171E-2</v>
      </c>
      <c r="G13" s="6">
        <v>13888.82</v>
      </c>
      <c r="H13" s="7">
        <f t="shared" si="2"/>
        <v>-2.2201226822827436E-2</v>
      </c>
      <c r="I13" s="6">
        <f>MAX($G13:$G$1261)</f>
        <v>16057.44</v>
      </c>
      <c r="J13" s="7">
        <f t="shared" si="3"/>
        <v>-0.13505390647575211</v>
      </c>
      <c r="K13" s="6">
        <f t="shared" si="4"/>
        <v>232.10624651142572</v>
      </c>
    </row>
    <row r="14" spans="1:11" x14ac:dyDescent="0.25">
      <c r="A14" s="2">
        <f>DATE(2022,4,5)</f>
        <v>44656</v>
      </c>
      <c r="B14" s="6">
        <v>175.06</v>
      </c>
      <c r="C14" s="7">
        <f t="shared" si="0"/>
        <v>-1.8941941268773799E-2</v>
      </c>
      <c r="D14" s="6">
        <f>MAX($B14:$B$1261)</f>
        <v>182.01</v>
      </c>
      <c r="E14" s="7">
        <f t="shared" si="1"/>
        <v>-3.8184715125542446E-2</v>
      </c>
      <c r="G14" s="6">
        <v>14204.17</v>
      </c>
      <c r="H14" s="7">
        <f t="shared" si="2"/>
        <v>-2.2596172041382867E-2</v>
      </c>
      <c r="I14" s="6">
        <f>MAX($G14:$G$1261)</f>
        <v>16057.44</v>
      </c>
      <c r="J14" s="7">
        <f t="shared" si="3"/>
        <v>-0.11541503502426287</v>
      </c>
      <c r="K14" s="6">
        <f t="shared" si="4"/>
        <v>237.3762913991396</v>
      </c>
    </row>
    <row r="15" spans="1:11" x14ac:dyDescent="0.25">
      <c r="A15" s="2">
        <f>DATE(2022,4,4)</f>
        <v>44655</v>
      </c>
      <c r="B15" s="6">
        <v>178.44</v>
      </c>
      <c r="C15" s="7">
        <f t="shared" si="0"/>
        <v>2.3693419769376334E-2</v>
      </c>
      <c r="D15" s="6">
        <f>MAX($B15:$B$1261)</f>
        <v>182.01</v>
      </c>
      <c r="E15" s="7">
        <f t="shared" si="1"/>
        <v>-1.9614306906213907E-2</v>
      </c>
      <c r="G15" s="6">
        <v>14532.55</v>
      </c>
      <c r="H15" s="7">
        <f t="shared" si="2"/>
        <v>1.9005714686393338E-2</v>
      </c>
      <c r="I15" s="6">
        <f>MAX($G15:$G$1261)</f>
        <v>16057.44</v>
      </c>
      <c r="J15" s="7">
        <f t="shared" si="3"/>
        <v>-9.4964701720822275E-2</v>
      </c>
      <c r="K15" s="6">
        <f t="shared" si="4"/>
        <v>242.86409016313982</v>
      </c>
    </row>
    <row r="16" spans="1:11" x14ac:dyDescent="0.25">
      <c r="A16" s="2">
        <f>DATE(2022,4,1)</f>
        <v>44652</v>
      </c>
      <c r="B16" s="6">
        <v>174.31</v>
      </c>
      <c r="C16" s="7">
        <f t="shared" si="0"/>
        <v>-1.7181146555180771E-3</v>
      </c>
      <c r="D16" s="6">
        <f>MAX($B16:$B$1261)</f>
        <v>182.01</v>
      </c>
      <c r="E16" s="7">
        <f t="shared" si="1"/>
        <v>-4.2305367836931951E-2</v>
      </c>
      <c r="G16" s="6">
        <v>14261.5</v>
      </c>
      <c r="H16" s="7">
        <f t="shared" si="2"/>
        <v>2.8817511595917722E-3</v>
      </c>
      <c r="I16" s="6">
        <f>MAX($G16:$G$1261)</f>
        <v>16057.44</v>
      </c>
      <c r="J16" s="7">
        <f t="shared" si="3"/>
        <v>-0.11184472742853158</v>
      </c>
      <c r="K16" s="6">
        <f t="shared" si="4"/>
        <v>238.33437503133442</v>
      </c>
    </row>
    <row r="17" spans="1:11" x14ac:dyDescent="0.25">
      <c r="A17" s="2">
        <f>DATE(2022,3,31)</f>
        <v>44651</v>
      </c>
      <c r="B17" s="6">
        <v>174.61</v>
      </c>
      <c r="C17" s="7">
        <f t="shared" si="0"/>
        <v>-1.7775777690273942E-2</v>
      </c>
      <c r="D17" s="6">
        <f>MAX($B17:$B$1261)</f>
        <v>182.01</v>
      </c>
      <c r="E17" s="7">
        <f t="shared" si="1"/>
        <v>-4.0657106752376104E-2</v>
      </c>
      <c r="G17" s="6">
        <v>14220.52</v>
      </c>
      <c r="H17" s="7">
        <f t="shared" si="2"/>
        <v>-1.535423447975981E-2</v>
      </c>
      <c r="I17" s="6">
        <f>MAX($G17:$G$1261)</f>
        <v>16057.44</v>
      </c>
      <c r="J17" s="7">
        <f t="shared" si="3"/>
        <v>-0.11439681543259694</v>
      </c>
      <c r="K17" s="6">
        <f t="shared" si="4"/>
        <v>237.64952822778756</v>
      </c>
    </row>
    <row r="18" spans="1:11" x14ac:dyDescent="0.25">
      <c r="A18" s="2">
        <f>DATE(2022,3,30)</f>
        <v>44650</v>
      </c>
      <c r="B18" s="6">
        <v>177.77</v>
      </c>
      <c r="C18" s="7">
        <f t="shared" si="0"/>
        <v>-6.6495306213678607E-3</v>
      </c>
      <c r="D18" s="6">
        <f>MAX($B18:$B$1261)</f>
        <v>182.01</v>
      </c>
      <c r="E18" s="7">
        <f t="shared" si="1"/>
        <v>-2.3295423328388409E-2</v>
      </c>
      <c r="G18" s="6">
        <v>14442.27</v>
      </c>
      <c r="H18" s="7">
        <f t="shared" si="2"/>
        <v>-1.2132309687516218E-2</v>
      </c>
      <c r="I18" s="6">
        <f>MAX($G18:$G$1261)</f>
        <v>16057.44</v>
      </c>
      <c r="J18" s="7">
        <f t="shared" si="3"/>
        <v>-0.10058701760679167</v>
      </c>
      <c r="K18" s="6">
        <f t="shared" si="4"/>
        <v>241.35535494048949</v>
      </c>
    </row>
    <row r="19" spans="1:11" x14ac:dyDescent="0.25">
      <c r="A19" s="2">
        <f>DATE(2022,3,29)</f>
        <v>44649</v>
      </c>
      <c r="B19" s="6">
        <v>178.96</v>
      </c>
      <c r="C19" s="7">
        <f t="shared" si="0"/>
        <v>1.9134396355353189E-2</v>
      </c>
      <c r="D19" s="6">
        <f>MAX($B19:$B$1261)</f>
        <v>182.01</v>
      </c>
      <c r="E19" s="7">
        <f t="shared" si="1"/>
        <v>-1.6757321026317107E-2</v>
      </c>
      <c r="G19" s="6">
        <v>14619.64</v>
      </c>
      <c r="H19" s="7">
        <f t="shared" si="2"/>
        <v>1.8442483054566639E-2</v>
      </c>
      <c r="I19" s="6">
        <f>MAX($G19:$G$1261)</f>
        <v>16057.44</v>
      </c>
      <c r="J19" s="7">
        <f t="shared" si="3"/>
        <v>-8.954104763897619E-2</v>
      </c>
      <c r="K19" s="6">
        <f t="shared" si="4"/>
        <v>244.31951495867185</v>
      </c>
    </row>
    <row r="20" spans="1:11" x14ac:dyDescent="0.25">
      <c r="A20" s="2">
        <f>DATE(2022,3,28)</f>
        <v>44648</v>
      </c>
      <c r="B20" s="6">
        <v>175.6</v>
      </c>
      <c r="C20" s="7">
        <f t="shared" si="0"/>
        <v>5.0366300366300187E-3</v>
      </c>
      <c r="D20" s="6">
        <f>MAX($B20:$B$1261)</f>
        <v>182.01</v>
      </c>
      <c r="E20" s="7">
        <f t="shared" si="1"/>
        <v>-3.5217845173342144E-2</v>
      </c>
      <c r="G20" s="6">
        <v>14354.9</v>
      </c>
      <c r="H20" s="7">
        <f t="shared" si="2"/>
        <v>1.3098741645670486E-2</v>
      </c>
      <c r="I20" s="6">
        <f>MAX($G20:$G$1261)</f>
        <v>16057.44</v>
      </c>
      <c r="J20" s="7">
        <f t="shared" si="3"/>
        <v>-0.10602810908837279</v>
      </c>
      <c r="K20" s="6">
        <f t="shared" si="4"/>
        <v>239.89525085981862</v>
      </c>
    </row>
    <row r="21" spans="1:11" x14ac:dyDescent="0.25">
      <c r="A21" s="2">
        <f>DATE(2022,3,25)</f>
        <v>44645</v>
      </c>
      <c r="B21" s="6">
        <v>174.72</v>
      </c>
      <c r="C21" s="7">
        <f t="shared" si="0"/>
        <v>3.7341299477222645E-3</v>
      </c>
      <c r="D21" s="6">
        <f>MAX($B21:$B$1261)</f>
        <v>182.01</v>
      </c>
      <c r="E21" s="7">
        <f t="shared" si="1"/>
        <v>-4.0052744354705738E-2</v>
      </c>
      <c r="G21" s="6">
        <v>14169.3</v>
      </c>
      <c r="H21" s="7">
        <f t="shared" si="2"/>
        <v>-1.5882366204805765E-3</v>
      </c>
      <c r="I21" s="6">
        <f>MAX($G21:$G$1261)</f>
        <v>16057.44</v>
      </c>
      <c r="J21" s="7">
        <f t="shared" si="3"/>
        <v>-0.11758661405554072</v>
      </c>
      <c r="K21" s="6">
        <f t="shared" si="4"/>
        <v>236.79355328201717</v>
      </c>
    </row>
    <row r="22" spans="1:11" x14ac:dyDescent="0.25">
      <c r="A22" s="2">
        <f>DATE(2022,3,24)</f>
        <v>44644</v>
      </c>
      <c r="B22" s="6">
        <v>174.07</v>
      </c>
      <c r="C22" s="7">
        <f t="shared" si="0"/>
        <v>2.2677868515363242E-2</v>
      </c>
      <c r="D22" s="6">
        <f>MAX($B22:$B$1261)</f>
        <v>182.01</v>
      </c>
      <c r="E22" s="7">
        <f t="shared" si="1"/>
        <v>-4.3623976704576628E-2</v>
      </c>
      <c r="G22" s="6">
        <v>14191.84</v>
      </c>
      <c r="H22" s="7">
        <f t="shared" si="2"/>
        <v>1.9338341976354867E-2</v>
      </c>
      <c r="I22" s="6">
        <f>MAX($G22:$G$1261)</f>
        <v>16057.44</v>
      </c>
      <c r="J22" s="7">
        <f t="shared" si="3"/>
        <v>-0.11618290337687698</v>
      </c>
      <c r="K22" s="6">
        <f t="shared" si="4"/>
        <v>237.17023573570063</v>
      </c>
    </row>
    <row r="23" spans="1:11" x14ac:dyDescent="0.25">
      <c r="A23" s="2">
        <f>DATE(2022,3,23)</f>
        <v>44643</v>
      </c>
      <c r="B23" s="6">
        <v>170.21</v>
      </c>
      <c r="C23" s="7">
        <f t="shared" si="0"/>
        <v>8.2336216088141345E-3</v>
      </c>
      <c r="D23" s="6">
        <f>MAX($B23:$B$1261)</f>
        <v>182.01</v>
      </c>
      <c r="E23" s="7">
        <f t="shared" si="1"/>
        <v>-6.4831602659194409E-2</v>
      </c>
      <c r="G23" s="6">
        <v>13922.6</v>
      </c>
      <c r="H23" s="7">
        <f t="shared" si="2"/>
        <v>-1.3198835905483208E-2</v>
      </c>
      <c r="I23" s="6">
        <f>MAX($G23:$G$1261)</f>
        <v>16057.44</v>
      </c>
      <c r="J23" s="7">
        <f t="shared" si="3"/>
        <v>-0.13295020875058539</v>
      </c>
      <c r="K23" s="6">
        <f t="shared" si="4"/>
        <v>232.67076883997183</v>
      </c>
    </row>
    <row r="24" spans="1:11" x14ac:dyDescent="0.25">
      <c r="A24" s="2">
        <f>DATE(2022,3,22)</f>
        <v>44642</v>
      </c>
      <c r="B24" s="6">
        <v>168.82</v>
      </c>
      <c r="C24" s="7">
        <f t="shared" si="0"/>
        <v>2.0800580481315833E-2</v>
      </c>
      <c r="D24" s="6">
        <f>MAX($B24:$B$1261)</f>
        <v>182.01</v>
      </c>
      <c r="E24" s="7">
        <f t="shared" si="1"/>
        <v>-7.2468545684303054E-2</v>
      </c>
      <c r="G24" s="6">
        <v>14108.82</v>
      </c>
      <c r="H24" s="7">
        <f t="shared" si="2"/>
        <v>1.9536855979639389E-2</v>
      </c>
      <c r="I24" s="6">
        <f>MAX($G24:$G$1261)</f>
        <v>16057.44</v>
      </c>
      <c r="J24" s="7">
        <f t="shared" si="3"/>
        <v>-0.12135309239829017</v>
      </c>
      <c r="K24" s="6">
        <f t="shared" si="4"/>
        <v>235.78282769200948</v>
      </c>
    </row>
    <row r="25" spans="1:11" x14ac:dyDescent="0.25">
      <c r="A25" s="2">
        <f>DATE(2022,3,21)</f>
        <v>44641</v>
      </c>
      <c r="B25" s="6">
        <v>165.38</v>
      </c>
      <c r="C25" s="7">
        <f t="shared" si="0"/>
        <v>8.5376265398220408E-3</v>
      </c>
      <c r="D25" s="6">
        <f>MAX($B25:$B$1261)</f>
        <v>182.01</v>
      </c>
      <c r="E25" s="7">
        <f t="shared" si="1"/>
        <v>-9.1368606120542761E-2</v>
      </c>
      <c r="G25" s="6">
        <v>13838.46</v>
      </c>
      <c r="H25" s="7">
        <f t="shared" si="2"/>
        <v>-3.985939092432389E-3</v>
      </c>
      <c r="I25" s="6">
        <f>MAX($G25:$G$1261)</f>
        <v>16057.44</v>
      </c>
      <c r="J25" s="7">
        <f t="shared" si="3"/>
        <v>-0.13819014737093838</v>
      </c>
      <c r="K25" s="6">
        <f t="shared" si="4"/>
        <v>231.26464365572497</v>
      </c>
    </row>
    <row r="26" spans="1:11" x14ac:dyDescent="0.25">
      <c r="A26" s="2">
        <f>DATE(2022,3,18)</f>
        <v>44638</v>
      </c>
      <c r="B26" s="6">
        <v>163.98</v>
      </c>
      <c r="C26" s="7">
        <f t="shared" si="0"/>
        <v>2.0918939110945001E-2</v>
      </c>
      <c r="D26" s="6">
        <f>MAX($B26:$B$1261)</f>
        <v>182.01</v>
      </c>
      <c r="E26" s="7">
        <f t="shared" si="1"/>
        <v>-9.9060491181803156E-2</v>
      </c>
      <c r="G26" s="6">
        <v>13893.84</v>
      </c>
      <c r="H26" s="7">
        <f t="shared" si="2"/>
        <v>2.0496842402154103E-2</v>
      </c>
      <c r="I26" s="6">
        <f>MAX($G26:$G$1261)</f>
        <v>16057.44</v>
      </c>
      <c r="J26" s="7">
        <f t="shared" si="3"/>
        <v>-0.13474127880907538</v>
      </c>
      <c r="K26" s="6">
        <f t="shared" si="4"/>
        <v>232.19013940927371</v>
      </c>
    </row>
    <row r="27" spans="1:11" x14ac:dyDescent="0.25">
      <c r="A27" s="2">
        <f>DATE(2022,3,17)</f>
        <v>44637</v>
      </c>
      <c r="B27" s="6">
        <v>160.62</v>
      </c>
      <c r="C27" s="7">
        <f t="shared" si="0"/>
        <v>6.454038473588497E-3</v>
      </c>
      <c r="D27" s="6">
        <f>MAX($B27:$B$1261)</f>
        <v>182.01</v>
      </c>
      <c r="E27" s="7">
        <f t="shared" si="1"/>
        <v>-0.11752101532882797</v>
      </c>
      <c r="G27" s="6">
        <v>13614.78</v>
      </c>
      <c r="H27" s="7">
        <f t="shared" si="2"/>
        <v>1.3264565680922713E-2</v>
      </c>
      <c r="I27" s="6">
        <f>MAX($G27:$G$1261)</f>
        <v>16057.44</v>
      </c>
      <c r="J27" s="7">
        <f t="shared" si="3"/>
        <v>-0.15212013870205954</v>
      </c>
      <c r="K27" s="6">
        <f t="shared" si="4"/>
        <v>227.52656329902976</v>
      </c>
    </row>
    <row r="28" spans="1:11" x14ac:dyDescent="0.25">
      <c r="A28" s="2">
        <f>DATE(2022,3,16)</f>
        <v>44636</v>
      </c>
      <c r="B28" s="6">
        <v>159.59</v>
      </c>
      <c r="C28" s="7">
        <f t="shared" si="0"/>
        <v>2.9015410406860509E-2</v>
      </c>
      <c r="D28" s="6">
        <f>MAX($B28:$B$1261)</f>
        <v>182.01</v>
      </c>
      <c r="E28" s="7">
        <f t="shared" si="1"/>
        <v>-0.1231800450524696</v>
      </c>
      <c r="G28" s="6">
        <v>13436.55</v>
      </c>
      <c r="H28" s="7">
        <f t="shared" si="2"/>
        <v>3.7682007812415375E-2</v>
      </c>
      <c r="I28" s="6">
        <f>MAX($G28:$G$1261)</f>
        <v>16057.44</v>
      </c>
      <c r="J28" s="7">
        <f t="shared" si="3"/>
        <v>-0.16321966639763252</v>
      </c>
      <c r="K28" s="6">
        <f t="shared" si="4"/>
        <v>224.54803119077781</v>
      </c>
    </row>
    <row r="29" spans="1:11" x14ac:dyDescent="0.25">
      <c r="A29" s="2">
        <f>DATE(2022,3,15)</f>
        <v>44635</v>
      </c>
      <c r="B29" s="6">
        <v>155.09</v>
      </c>
      <c r="C29" s="7">
        <f t="shared" si="0"/>
        <v>2.96773336874252E-2</v>
      </c>
      <c r="D29" s="6">
        <f>MAX($B29:$B$1261)</f>
        <v>182.01</v>
      </c>
      <c r="E29" s="7">
        <f t="shared" si="1"/>
        <v>-0.14790396132080652</v>
      </c>
      <c r="G29" s="6">
        <v>12948.62</v>
      </c>
      <c r="H29" s="7">
        <f t="shared" si="2"/>
        <v>2.9202255425149648E-2</v>
      </c>
      <c r="I29" s="6">
        <f>MAX($G29:$G$1261)</f>
        <v>16057.44</v>
      </c>
      <c r="J29" s="7">
        <f t="shared" si="3"/>
        <v>-0.19360620372861426</v>
      </c>
      <c r="K29" s="6">
        <f t="shared" si="4"/>
        <v>216.39387548422249</v>
      </c>
    </row>
    <row r="30" spans="1:11" x14ac:dyDescent="0.25">
      <c r="A30" s="2">
        <f>DATE(2022,3,14)</f>
        <v>44634</v>
      </c>
      <c r="B30" s="6">
        <v>150.62</v>
      </c>
      <c r="C30" s="7">
        <f t="shared" si="0"/>
        <v>-2.6562399017643568E-2</v>
      </c>
      <c r="D30" s="6">
        <f>MAX($B30:$B$1261)</f>
        <v>182.01</v>
      </c>
      <c r="E30" s="7">
        <f t="shared" si="1"/>
        <v>-0.17246305148068786</v>
      </c>
      <c r="G30" s="6">
        <v>12581.22</v>
      </c>
      <c r="H30" s="7">
        <f t="shared" si="2"/>
        <v>-2.0444867994777294E-2</v>
      </c>
      <c r="I30" s="6">
        <f>MAX($G30:$G$1261)</f>
        <v>16057.44</v>
      </c>
      <c r="J30" s="7">
        <f t="shared" si="3"/>
        <v>-0.21648656323797577</v>
      </c>
      <c r="K30" s="6">
        <f t="shared" si="4"/>
        <v>210.25398491264778</v>
      </c>
    </row>
    <row r="31" spans="1:11" x14ac:dyDescent="0.25">
      <c r="A31" s="2">
        <f>DATE(2022,3,11)</f>
        <v>44631</v>
      </c>
      <c r="B31" s="6">
        <v>154.72999999999999</v>
      </c>
      <c r="C31" s="7">
        <f t="shared" si="0"/>
        <v>-2.3908655059298622E-2</v>
      </c>
      <c r="D31" s="6">
        <f>MAX($B31:$B$1261)</f>
        <v>182.01</v>
      </c>
      <c r="E31" s="7">
        <f t="shared" si="1"/>
        <v>-0.14988187462227354</v>
      </c>
      <c r="G31" s="6">
        <v>12843.81</v>
      </c>
      <c r="H31" s="7">
        <f t="shared" si="2"/>
        <v>-2.179366883067424E-2</v>
      </c>
      <c r="I31" s="6">
        <f>MAX($G31:$G$1261)</f>
        <v>16057.44</v>
      </c>
      <c r="J31" s="7">
        <f t="shared" si="3"/>
        <v>-0.20013339610797243</v>
      </c>
      <c r="K31" s="6">
        <f t="shared" si="4"/>
        <v>214.64231878632714</v>
      </c>
    </row>
    <row r="32" spans="1:11" x14ac:dyDescent="0.25">
      <c r="A32" s="2">
        <f>DATE(2022,3,10)</f>
        <v>44630</v>
      </c>
      <c r="B32" s="6">
        <v>158.52000000000001</v>
      </c>
      <c r="C32" s="7">
        <f t="shared" si="0"/>
        <v>-2.7186253451979003E-2</v>
      </c>
      <c r="D32" s="6">
        <f>MAX($B32:$B$1261)</f>
        <v>182.01</v>
      </c>
      <c r="E32" s="7">
        <f t="shared" si="1"/>
        <v>-0.12905884292071856</v>
      </c>
      <c r="G32" s="6">
        <v>13129.96</v>
      </c>
      <c r="H32" s="7">
        <f t="shared" si="2"/>
        <v>-9.4745219926747337E-3</v>
      </c>
      <c r="I32" s="6">
        <f>MAX($G32:$G$1261)</f>
        <v>16057.44</v>
      </c>
      <c r="J32" s="7">
        <f t="shared" si="3"/>
        <v>-0.18231299634312825</v>
      </c>
      <c r="K32" s="6">
        <f t="shared" si="4"/>
        <v>219.4243810809817</v>
      </c>
    </row>
    <row r="33" spans="1:11" x14ac:dyDescent="0.25">
      <c r="A33" s="2">
        <f>DATE(2022,3,9)</f>
        <v>44629</v>
      </c>
      <c r="B33" s="6">
        <v>162.94999999999999</v>
      </c>
      <c r="C33" s="7">
        <f t="shared" si="0"/>
        <v>3.4997459349593418E-2</v>
      </c>
      <c r="D33" s="6">
        <f>MAX($B33:$B$1261)</f>
        <v>182.01</v>
      </c>
      <c r="E33" s="7">
        <f t="shared" si="1"/>
        <v>-0.10471952090544479</v>
      </c>
      <c r="G33" s="6">
        <v>13255.55</v>
      </c>
      <c r="H33" s="7">
        <f t="shared" si="2"/>
        <v>3.5949998241576075E-2</v>
      </c>
      <c r="I33" s="6">
        <f>MAX($G33:$G$1261)</f>
        <v>16057.44</v>
      </c>
      <c r="J33" s="7">
        <f t="shared" si="3"/>
        <v>-0.17449169979772627</v>
      </c>
      <c r="K33" s="6">
        <f t="shared" si="4"/>
        <v>221.52320758311578</v>
      </c>
    </row>
    <row r="34" spans="1:11" x14ac:dyDescent="0.25">
      <c r="A34" s="2">
        <f>DATE(2022,3,8)</f>
        <v>44628</v>
      </c>
      <c r="B34" s="6">
        <v>157.44</v>
      </c>
      <c r="C34" s="7">
        <f t="shared" si="0"/>
        <v>-1.167608286252364E-2</v>
      </c>
      <c r="D34" s="6">
        <f>MAX($B34:$B$1261)</f>
        <v>182.01</v>
      </c>
      <c r="E34" s="7">
        <f t="shared" si="1"/>
        <v>-0.1349925828251195</v>
      </c>
      <c r="G34" s="6">
        <v>12795.55</v>
      </c>
      <c r="H34" s="7">
        <f t="shared" si="2"/>
        <v>-2.7597311502802757E-3</v>
      </c>
      <c r="I34" s="6">
        <f>MAX($G34:$G$1261)</f>
        <v>16057.44</v>
      </c>
      <c r="J34" s="7">
        <f t="shared" si="3"/>
        <v>-0.20313885650514663</v>
      </c>
      <c r="K34" s="6">
        <f t="shared" si="4"/>
        <v>213.83581056916819</v>
      </c>
    </row>
    <row r="35" spans="1:11" x14ac:dyDescent="0.25">
      <c r="A35" s="2">
        <f>DATE(2022,3,7)</f>
        <v>44627</v>
      </c>
      <c r="B35" s="6">
        <v>159.30000000000001</v>
      </c>
      <c r="C35" s="7">
        <f t="shared" si="0"/>
        <v>-2.3717595146166448E-2</v>
      </c>
      <c r="D35" s="6">
        <f>MAX($B35:$B$1261)</f>
        <v>182.01</v>
      </c>
      <c r="E35" s="7">
        <f t="shared" si="1"/>
        <v>-0.12477336410087347</v>
      </c>
      <c r="G35" s="6">
        <v>12830.96</v>
      </c>
      <c r="H35" s="7">
        <f t="shared" si="2"/>
        <v>-3.6240070184715645E-2</v>
      </c>
      <c r="I35" s="6">
        <f>MAX($G35:$G$1261)</f>
        <v>16057.44</v>
      </c>
      <c r="J35" s="7">
        <f t="shared" si="3"/>
        <v>-0.20093364820295145</v>
      </c>
      <c r="K35" s="6">
        <f t="shared" si="4"/>
        <v>214.42757302191578</v>
      </c>
    </row>
    <row r="36" spans="1:11" x14ac:dyDescent="0.25">
      <c r="A36" s="2">
        <f>DATE(2022,3,4)</f>
        <v>44624</v>
      </c>
      <c r="B36" s="6">
        <v>163.16999999999999</v>
      </c>
      <c r="C36" s="7">
        <f t="shared" si="0"/>
        <v>-1.840822956145105E-2</v>
      </c>
      <c r="D36" s="6">
        <f>MAX($B36:$B$1261)</f>
        <v>182.01</v>
      </c>
      <c r="E36" s="7">
        <f t="shared" si="1"/>
        <v>-0.10351079611010383</v>
      </c>
      <c r="G36" s="6">
        <v>13313.44</v>
      </c>
      <c r="H36" s="7">
        <f t="shared" si="2"/>
        <v>-1.658302518699295E-2</v>
      </c>
      <c r="I36" s="6">
        <f>MAX($G36:$G$1261)</f>
        <v>16057.44</v>
      </c>
      <c r="J36" s="7">
        <f t="shared" si="3"/>
        <v>-0.17088651740252492</v>
      </c>
      <c r="K36" s="6">
        <f t="shared" si="4"/>
        <v>222.49064978558849</v>
      </c>
    </row>
    <row r="37" spans="1:11" x14ac:dyDescent="0.25">
      <c r="A37" s="2">
        <f>DATE(2022,3,3)</f>
        <v>44623</v>
      </c>
      <c r="B37" s="6">
        <v>166.23</v>
      </c>
      <c r="C37" s="7">
        <f t="shared" si="0"/>
        <v>-1.9812680115274262E-3</v>
      </c>
      <c r="D37" s="6">
        <f>MAX($B37:$B$1261)</f>
        <v>182.01</v>
      </c>
      <c r="E37" s="7">
        <f t="shared" si="1"/>
        <v>-8.6698533047634752E-2</v>
      </c>
      <c r="G37" s="6">
        <v>13537.94</v>
      </c>
      <c r="H37" s="7">
        <f t="shared" si="2"/>
        <v>-1.5567167587016262E-2</v>
      </c>
      <c r="I37" s="6">
        <f>MAX($G37:$G$1261)</f>
        <v>16057.44</v>
      </c>
      <c r="J37" s="7">
        <f t="shared" si="3"/>
        <v>-0.15690545940075129</v>
      </c>
      <c r="K37" s="6">
        <f t="shared" si="4"/>
        <v>226.2424337630477</v>
      </c>
    </row>
    <row r="38" spans="1:11" x14ac:dyDescent="0.25">
      <c r="A38" s="2">
        <f>DATE(2022,3,2)</f>
        <v>44622</v>
      </c>
      <c r="B38" s="6">
        <v>166.56</v>
      </c>
      <c r="C38" s="7">
        <f t="shared" si="0"/>
        <v>2.0588235294117796E-2</v>
      </c>
      <c r="D38" s="6">
        <f>MAX($B38:$B$1261)</f>
        <v>182.01</v>
      </c>
      <c r="E38" s="7">
        <f t="shared" si="1"/>
        <v>-8.488544585462332E-2</v>
      </c>
      <c r="G38" s="6">
        <v>13752.02</v>
      </c>
      <c r="H38" s="7">
        <f t="shared" si="2"/>
        <v>1.6224692332362345E-2</v>
      </c>
      <c r="I38" s="6">
        <f>MAX($G38:$G$1261)</f>
        <v>16057.44</v>
      </c>
      <c r="J38" s="7">
        <f t="shared" si="3"/>
        <v>-0.1435733217748284</v>
      </c>
      <c r="K38" s="6">
        <f t="shared" si="4"/>
        <v>229.82008148640836</v>
      </c>
    </row>
    <row r="39" spans="1:11" x14ac:dyDescent="0.25">
      <c r="A39" s="2">
        <f>DATE(2022,3,1)</f>
        <v>44621</v>
      </c>
      <c r="B39" s="6">
        <v>163.19999999999999</v>
      </c>
      <c r="C39" s="7">
        <f t="shared" si="0"/>
        <v>-1.1627906976744318E-2</v>
      </c>
      <c r="D39" s="6">
        <f>MAX($B39:$B$1261)</f>
        <v>182.01</v>
      </c>
      <c r="E39" s="7">
        <f t="shared" si="1"/>
        <v>-0.10334597000164825</v>
      </c>
      <c r="G39" s="6">
        <v>13532.46</v>
      </c>
      <c r="H39" s="7">
        <f t="shared" si="2"/>
        <v>-1.5921288014311252E-2</v>
      </c>
      <c r="I39" s="6">
        <f>MAX($G39:$G$1261)</f>
        <v>16057.44</v>
      </c>
      <c r="J39" s="7">
        <f t="shared" si="3"/>
        <v>-0.15724673422413549</v>
      </c>
      <c r="K39" s="6">
        <f t="shared" si="4"/>
        <v>226.15085346818589</v>
      </c>
    </row>
    <row r="40" spans="1:11" x14ac:dyDescent="0.25">
      <c r="A40" s="2">
        <f>DATE(2022,2,28)</f>
        <v>44620</v>
      </c>
      <c r="B40" s="6">
        <v>165.12</v>
      </c>
      <c r="C40" s="7">
        <f t="shared" si="0"/>
        <v>1.6378525932667642E-3</v>
      </c>
      <c r="D40" s="6">
        <f>MAX($B40:$B$1261)</f>
        <v>182.01</v>
      </c>
      <c r="E40" s="7">
        <f t="shared" si="1"/>
        <v>-9.2797099060491162E-2</v>
      </c>
      <c r="G40" s="6">
        <v>13751.4</v>
      </c>
      <c r="H40" s="7">
        <f t="shared" si="2"/>
        <v>4.1461537450473429E-3</v>
      </c>
      <c r="I40" s="6">
        <f>MAX($G40:$G$1261)</f>
        <v>16057.44</v>
      </c>
      <c r="J40" s="7">
        <f t="shared" si="3"/>
        <v>-0.1436119331599558</v>
      </c>
      <c r="K40" s="6">
        <f t="shared" si="4"/>
        <v>229.80972021217215</v>
      </c>
    </row>
    <row r="41" spans="1:11" x14ac:dyDescent="0.25">
      <c r="A41" s="2">
        <f>DATE(2022,2,25)</f>
        <v>44617</v>
      </c>
      <c r="B41" s="6">
        <v>164.85</v>
      </c>
      <c r="C41" s="7">
        <f t="shared" si="0"/>
        <v>1.2965466388103586E-2</v>
      </c>
      <c r="D41" s="6">
        <f>MAX($B41:$B$1261)</f>
        <v>182.01</v>
      </c>
      <c r="E41" s="7">
        <f t="shared" si="1"/>
        <v>-9.4280534036591424E-2</v>
      </c>
      <c r="G41" s="6">
        <v>13694.62</v>
      </c>
      <c r="H41" s="7">
        <f t="shared" si="2"/>
        <v>1.6404685017133547E-2</v>
      </c>
      <c r="I41" s="6">
        <f>MAX($G41:$G$1261)</f>
        <v>16057.44</v>
      </c>
      <c r="J41" s="7">
        <f t="shared" si="3"/>
        <v>-0.14714798872049339</v>
      </c>
      <c r="K41" s="6">
        <f t="shared" si="4"/>
        <v>228.86082803292879</v>
      </c>
    </row>
    <row r="42" spans="1:11" x14ac:dyDescent="0.25">
      <c r="A42" s="2">
        <f>DATE(2022,2,24)</f>
        <v>44616</v>
      </c>
      <c r="B42" s="6">
        <v>162.74</v>
      </c>
      <c r="C42" s="7">
        <f t="shared" si="0"/>
        <v>1.6680202411445189E-2</v>
      </c>
      <c r="D42" s="6">
        <f>MAX($B42:$B$1261)</f>
        <v>182.01</v>
      </c>
      <c r="E42" s="7">
        <f t="shared" si="1"/>
        <v>-0.10587330366463377</v>
      </c>
      <c r="G42" s="6">
        <v>13473.59</v>
      </c>
      <c r="H42" s="7">
        <f t="shared" si="2"/>
        <v>3.344969008605192E-2</v>
      </c>
      <c r="I42" s="6">
        <f>MAX($G42:$G$1261)</f>
        <v>16057.44</v>
      </c>
      <c r="J42" s="7">
        <f t="shared" si="3"/>
        <v>-0.1609129475184089</v>
      </c>
      <c r="K42" s="6">
        <f t="shared" si="4"/>
        <v>225.16703376772696</v>
      </c>
    </row>
    <row r="43" spans="1:11" x14ac:dyDescent="0.25">
      <c r="A43" s="2">
        <f>DATE(2022,2,23)</f>
        <v>44615</v>
      </c>
      <c r="B43" s="6">
        <v>160.07</v>
      </c>
      <c r="C43" s="7">
        <f t="shared" si="0"/>
        <v>-2.5864167478091504E-2</v>
      </c>
      <c r="D43" s="6">
        <f>MAX($B43:$B$1261)</f>
        <v>182.01</v>
      </c>
      <c r="E43" s="7">
        <f t="shared" si="1"/>
        <v>-0.12054282731718036</v>
      </c>
      <c r="G43" s="6">
        <v>13037.49</v>
      </c>
      <c r="H43" s="7">
        <f t="shared" si="2"/>
        <v>-2.5709336458040744E-2</v>
      </c>
      <c r="I43" s="6">
        <f>MAX($G43:$G$1261)</f>
        <v>16057.44</v>
      </c>
      <c r="J43" s="7">
        <f t="shared" si="3"/>
        <v>-0.18807169760559594</v>
      </c>
      <c r="K43" s="6">
        <f t="shared" si="4"/>
        <v>217.87904716385182</v>
      </c>
    </row>
    <row r="44" spans="1:11" x14ac:dyDescent="0.25">
      <c r="A44" s="2">
        <f>DATE(2022,2,22)</f>
        <v>44614</v>
      </c>
      <c r="B44" s="6">
        <v>164.32</v>
      </c>
      <c r="C44" s="7">
        <f t="shared" si="0"/>
        <v>-1.781231320980281E-2</v>
      </c>
      <c r="D44" s="6">
        <f>MAX($B44:$B$1261)</f>
        <v>182.01</v>
      </c>
      <c r="E44" s="7">
        <f t="shared" si="1"/>
        <v>-9.7192461952639975E-2</v>
      </c>
      <c r="G44" s="6">
        <v>13381.52</v>
      </c>
      <c r="H44" s="7">
        <f t="shared" si="2"/>
        <v>-1.2293263911390961E-2</v>
      </c>
      <c r="I44" s="6">
        <f>MAX($G44:$G$1261)</f>
        <v>16057.44</v>
      </c>
      <c r="J44" s="7">
        <f t="shared" si="3"/>
        <v>-0.16664673820982667</v>
      </c>
      <c r="K44" s="6">
        <f t="shared" si="4"/>
        <v>223.62838454365271</v>
      </c>
    </row>
    <row r="45" spans="1:11" x14ac:dyDescent="0.25">
      <c r="A45" s="2">
        <f>DATE(2022,2,18)</f>
        <v>44610</v>
      </c>
      <c r="B45" s="6">
        <v>167.3</v>
      </c>
      <c r="C45" s="7">
        <f t="shared" si="0"/>
        <v>-9.3557555660823688E-3</v>
      </c>
      <c r="D45" s="6">
        <f>MAX($B45:$B$1261)</f>
        <v>182.01</v>
      </c>
      <c r="E45" s="7">
        <f t="shared" si="1"/>
        <v>-8.0819735179385677E-2</v>
      </c>
      <c r="G45" s="6">
        <v>13548.07</v>
      </c>
      <c r="H45" s="7">
        <f t="shared" si="2"/>
        <v>-1.2295213432948926E-2</v>
      </c>
      <c r="I45" s="6">
        <f>MAX($G45:$G$1261)</f>
        <v>16057.44</v>
      </c>
      <c r="J45" s="7">
        <f t="shared" si="3"/>
        <v>-0.15627459918891184</v>
      </c>
      <c r="K45" s="6">
        <f t="shared" si="4"/>
        <v>226.41172361468091</v>
      </c>
    </row>
    <row r="46" spans="1:11" x14ac:dyDescent="0.25">
      <c r="A46" s="2">
        <f>DATE(2022,2,17)</f>
        <v>44609</v>
      </c>
      <c r="B46" s="6">
        <v>168.88</v>
      </c>
      <c r="C46" s="7">
        <f t="shared" si="0"/>
        <v>-2.1269197334106149E-2</v>
      </c>
      <c r="D46" s="6">
        <f>MAX($B46:$B$1261)</f>
        <v>182.01</v>
      </c>
      <c r="E46" s="7">
        <f t="shared" si="1"/>
        <v>-7.2138893467391885E-2</v>
      </c>
      <c r="G46" s="6">
        <v>13716.72</v>
      </c>
      <c r="H46" s="7">
        <f t="shared" si="2"/>
        <v>-2.8842212135436696E-2</v>
      </c>
      <c r="I46" s="6">
        <f>MAX($G46:$G$1261)</f>
        <v>16057.44</v>
      </c>
      <c r="J46" s="7">
        <f t="shared" si="3"/>
        <v>-0.14577167966998483</v>
      </c>
      <c r="K46" s="6">
        <f t="shared" si="4"/>
        <v>229.23015732425102</v>
      </c>
    </row>
    <row r="47" spans="1:11" x14ac:dyDescent="0.25">
      <c r="A47" s="2">
        <f>DATE(2022,2,16)</f>
        <v>44608</v>
      </c>
      <c r="B47" s="6">
        <v>172.55</v>
      </c>
      <c r="C47" s="7">
        <f t="shared" si="0"/>
        <v>-1.3889692690548516E-3</v>
      </c>
      <c r="D47" s="6">
        <f>MAX($B47:$B$1261)</f>
        <v>182.01</v>
      </c>
      <c r="E47" s="7">
        <f t="shared" si="1"/>
        <v>-5.1975166199659251E-2</v>
      </c>
      <c r="G47" s="6">
        <v>14124.09</v>
      </c>
      <c r="H47" s="7">
        <f t="shared" si="2"/>
        <v>-1.108222487510413E-3</v>
      </c>
      <c r="I47" s="6">
        <f>MAX($G47:$G$1261)</f>
        <v>16057.44</v>
      </c>
      <c r="J47" s="7">
        <f t="shared" si="3"/>
        <v>-0.12040213134845901</v>
      </c>
      <c r="K47" s="6">
        <f t="shared" si="4"/>
        <v>236.0380158494072</v>
      </c>
    </row>
    <row r="48" spans="1:11" x14ac:dyDescent="0.25">
      <c r="A48" s="2">
        <f>DATE(2022,2,15)</f>
        <v>44607</v>
      </c>
      <c r="B48" s="6">
        <v>172.79</v>
      </c>
      <c r="C48" s="7">
        <f t="shared" si="0"/>
        <v>2.3152534343912734E-2</v>
      </c>
      <c r="D48" s="6">
        <f>MAX($B48:$B$1261)</f>
        <v>182.01</v>
      </c>
      <c r="E48" s="7">
        <f t="shared" si="1"/>
        <v>-5.0656557332014684E-2</v>
      </c>
      <c r="G48" s="6">
        <v>14139.76</v>
      </c>
      <c r="H48" s="7">
        <f t="shared" si="2"/>
        <v>2.5294904183332134E-2</v>
      </c>
      <c r="I48" s="6">
        <f>MAX($G48:$G$1261)</f>
        <v>16057.44</v>
      </c>
      <c r="J48" s="7">
        <f t="shared" si="3"/>
        <v>-0.11942625972757803</v>
      </c>
      <c r="K48" s="6">
        <f t="shared" si="4"/>
        <v>236.29988869986059</v>
      </c>
    </row>
    <row r="49" spans="1:11" x14ac:dyDescent="0.25">
      <c r="A49" s="2">
        <f>DATE(2022,2,14)</f>
        <v>44606</v>
      </c>
      <c r="B49" s="6">
        <v>168.88</v>
      </c>
      <c r="C49" s="7">
        <f t="shared" si="0"/>
        <v>1.4231499051233776E-3</v>
      </c>
      <c r="D49" s="6">
        <f>MAX($B49:$B$1261)</f>
        <v>182.01</v>
      </c>
      <c r="E49" s="7">
        <f t="shared" si="1"/>
        <v>-7.2138893467391885E-2</v>
      </c>
      <c r="G49" s="6">
        <v>13790.92</v>
      </c>
      <c r="H49" s="7">
        <f t="shared" si="2"/>
        <v>-1.667736193133873E-5</v>
      </c>
      <c r="I49" s="6">
        <f>MAX($G49:$G$1261)</f>
        <v>16057.44</v>
      </c>
      <c r="J49" s="7">
        <f t="shared" si="3"/>
        <v>-0.14115076874022259</v>
      </c>
      <c r="K49" s="6">
        <f t="shared" si="4"/>
        <v>230.47016788606606</v>
      </c>
    </row>
    <row r="50" spans="1:11" x14ac:dyDescent="0.25">
      <c r="A50" s="2">
        <f>DATE(2022,2,11)</f>
        <v>44603</v>
      </c>
      <c r="B50" s="6">
        <v>168.64</v>
      </c>
      <c r="C50" s="7">
        <f t="shared" si="0"/>
        <v>-2.0218452242621532E-2</v>
      </c>
      <c r="D50" s="6">
        <f>MAX($B50:$B$1261)</f>
        <v>182.01</v>
      </c>
      <c r="E50" s="7">
        <f t="shared" si="1"/>
        <v>-7.3457502335036562E-2</v>
      </c>
      <c r="G50" s="6">
        <v>13791.15</v>
      </c>
      <c r="H50" s="7">
        <f t="shared" si="2"/>
        <v>-2.7809108365924984E-2</v>
      </c>
      <c r="I50" s="6">
        <f>MAX($G50:$G$1261)</f>
        <v>16057.44</v>
      </c>
      <c r="J50" s="7">
        <f t="shared" si="3"/>
        <v>-0.14113644516186896</v>
      </c>
      <c r="K50" s="6">
        <f t="shared" si="4"/>
        <v>230.47401158457302</v>
      </c>
    </row>
    <row r="51" spans="1:11" x14ac:dyDescent="0.25">
      <c r="A51" s="2">
        <f>DATE(2022,2,10)</f>
        <v>44602</v>
      </c>
      <c r="B51" s="6">
        <v>172.12</v>
      </c>
      <c r="C51" s="7">
        <f t="shared" si="0"/>
        <v>-2.359882005899705E-2</v>
      </c>
      <c r="D51" s="6">
        <f>MAX($B51:$B$1261)</f>
        <v>182.01</v>
      </c>
      <c r="E51" s="7">
        <f t="shared" si="1"/>
        <v>-5.4337673754189297E-2</v>
      </c>
      <c r="G51" s="6">
        <v>14185.64</v>
      </c>
      <c r="H51" s="7">
        <f t="shared" si="2"/>
        <v>-2.1029828775938841E-2</v>
      </c>
      <c r="I51" s="6">
        <f>MAX($G51:$G$1261)</f>
        <v>16057.44</v>
      </c>
      <c r="J51" s="7">
        <f t="shared" si="3"/>
        <v>-0.11656901722815105</v>
      </c>
      <c r="K51" s="6">
        <f t="shared" si="4"/>
        <v>237.06662299333865</v>
      </c>
    </row>
    <row r="52" spans="1:11" x14ac:dyDescent="0.25">
      <c r="A52" s="2">
        <f>DATE(2022,2,9)</f>
        <v>44601</v>
      </c>
      <c r="B52" s="6">
        <v>176.28</v>
      </c>
      <c r="C52" s="7">
        <f t="shared" si="0"/>
        <v>8.2937710919177565E-3</v>
      </c>
      <c r="D52" s="6">
        <f>MAX($B52:$B$1261)</f>
        <v>182.01</v>
      </c>
      <c r="E52" s="7">
        <f t="shared" si="1"/>
        <v>-3.1481786715015558E-2</v>
      </c>
      <c r="G52" s="6">
        <v>14490.37</v>
      </c>
      <c r="H52" s="7">
        <f t="shared" si="2"/>
        <v>2.084758479546589E-2</v>
      </c>
      <c r="I52" s="6">
        <f>MAX($G52:$G$1261)</f>
        <v>16057.44</v>
      </c>
      <c r="J52" s="7">
        <f t="shared" si="3"/>
        <v>-9.7591521438037399E-2</v>
      </c>
      <c r="K52" s="6">
        <f t="shared" si="4"/>
        <v>242.15918928042618</v>
      </c>
    </row>
    <row r="53" spans="1:11" x14ac:dyDescent="0.25">
      <c r="A53" s="2">
        <f>DATE(2022,2,8)</f>
        <v>44600</v>
      </c>
      <c r="B53" s="6">
        <v>174.83</v>
      </c>
      <c r="C53" s="7">
        <f t="shared" si="0"/>
        <v>1.846673657229414E-2</v>
      </c>
      <c r="D53" s="6">
        <f>MAX($B53:$B$1261)</f>
        <v>182.01</v>
      </c>
      <c r="E53" s="7">
        <f t="shared" si="1"/>
        <v>-3.9448381957035261E-2</v>
      </c>
      <c r="G53" s="6">
        <v>14194.45</v>
      </c>
      <c r="H53" s="7">
        <f t="shared" si="2"/>
        <v>1.2755722701804473E-2</v>
      </c>
      <c r="I53" s="6">
        <f>MAX($G53:$G$1261)</f>
        <v>16057.44</v>
      </c>
      <c r="J53" s="7">
        <f t="shared" si="3"/>
        <v>-0.11602036190077625</v>
      </c>
      <c r="K53" s="6">
        <f t="shared" si="4"/>
        <v>237.21385335788838</v>
      </c>
    </row>
    <row r="54" spans="1:11" x14ac:dyDescent="0.25">
      <c r="A54" s="2">
        <f>DATE(2022,2,7)</f>
        <v>44599</v>
      </c>
      <c r="B54" s="6">
        <v>171.66</v>
      </c>
      <c r="C54" s="7">
        <f t="shared" si="0"/>
        <v>-4.2345843726433463E-3</v>
      </c>
      <c r="D54" s="6">
        <f>MAX($B54:$B$1261)</f>
        <v>182.01</v>
      </c>
      <c r="E54" s="7">
        <f t="shared" si="1"/>
        <v>-5.6865007417174818E-2</v>
      </c>
      <c r="G54" s="6">
        <v>14015.67</v>
      </c>
      <c r="H54" s="7">
        <f t="shared" si="2"/>
        <v>-5.8405406153066997E-3</v>
      </c>
      <c r="I54" s="6">
        <f>MAX($G54:$G$1261)</f>
        <v>16057.44</v>
      </c>
      <c r="J54" s="7">
        <f t="shared" si="3"/>
        <v>-0.12715414163154282</v>
      </c>
      <c r="K54" s="6">
        <f t="shared" si="4"/>
        <v>234.226129796685</v>
      </c>
    </row>
    <row r="55" spans="1:11" x14ac:dyDescent="0.25">
      <c r="A55" s="2">
        <f>DATE(2022,2,4)</f>
        <v>44596</v>
      </c>
      <c r="B55" s="6">
        <v>172.39</v>
      </c>
      <c r="C55" s="7">
        <f t="shared" si="0"/>
        <v>-2.9496818970504712E-3</v>
      </c>
      <c r="D55" s="6">
        <f>MAX($B55:$B$1261)</f>
        <v>182.01</v>
      </c>
      <c r="E55" s="7">
        <f t="shared" si="1"/>
        <v>-5.2854238778089146E-2</v>
      </c>
      <c r="G55" s="6">
        <v>14098.01</v>
      </c>
      <c r="H55" s="7">
        <f t="shared" si="2"/>
        <v>1.5793129387080551E-2</v>
      </c>
      <c r="I55" s="6">
        <f>MAX($G55:$G$1261)</f>
        <v>16057.44</v>
      </c>
      <c r="J55" s="7">
        <f t="shared" si="3"/>
        <v>-0.12202630058091457</v>
      </c>
      <c r="K55" s="6">
        <f t="shared" si="4"/>
        <v>235.60217386218162</v>
      </c>
    </row>
    <row r="56" spans="1:11" x14ac:dyDescent="0.25">
      <c r="A56" s="2">
        <f>DATE(2022,2,3)</f>
        <v>44595</v>
      </c>
      <c r="B56" s="6">
        <v>172.9</v>
      </c>
      <c r="C56" s="7">
        <f t="shared" si="0"/>
        <v>-1.671974522292996E-2</v>
      </c>
      <c r="D56" s="6">
        <f>MAX($B56:$B$1261)</f>
        <v>182.01</v>
      </c>
      <c r="E56" s="7">
        <f t="shared" si="1"/>
        <v>-5.0052194934344207E-2</v>
      </c>
      <c r="G56" s="6">
        <v>13878.82</v>
      </c>
      <c r="H56" s="7">
        <f t="shared" si="2"/>
        <v>-3.736626541957544E-2</v>
      </c>
      <c r="I56" s="6">
        <f>MAX($G56:$G$1261)</f>
        <v>16057.44</v>
      </c>
      <c r="J56" s="7">
        <f t="shared" si="3"/>
        <v>-0.13567667075200041</v>
      </c>
      <c r="K56" s="6">
        <f t="shared" si="4"/>
        <v>231.93912918503557</v>
      </c>
    </row>
    <row r="57" spans="1:11" x14ac:dyDescent="0.25">
      <c r="A57" s="2">
        <f>DATE(2022,2,2)</f>
        <v>44594</v>
      </c>
      <c r="B57" s="6">
        <v>175.84</v>
      </c>
      <c r="C57" s="7">
        <f t="shared" si="0"/>
        <v>7.0442700876238717E-3</v>
      </c>
      <c r="D57" s="6">
        <f>MAX($B57:$B$1261)</f>
        <v>182.01</v>
      </c>
      <c r="E57" s="7">
        <f t="shared" si="1"/>
        <v>-3.3899236305697467E-2</v>
      </c>
      <c r="G57" s="6">
        <v>14417.55</v>
      </c>
      <c r="H57" s="7">
        <f t="shared" si="2"/>
        <v>4.9874529485569585E-3</v>
      </c>
      <c r="I57" s="6">
        <f>MAX($G57:$G$1261)</f>
        <v>16057.44</v>
      </c>
      <c r="J57" s="7">
        <f t="shared" si="3"/>
        <v>-0.10212649089767745</v>
      </c>
      <c r="K57" s="6">
        <f t="shared" si="4"/>
        <v>240.94224090965295</v>
      </c>
    </row>
    <row r="58" spans="1:11" x14ac:dyDescent="0.25">
      <c r="A58" s="2">
        <f>DATE(2022,2,1)</f>
        <v>44593</v>
      </c>
      <c r="B58" s="6">
        <v>174.61</v>
      </c>
      <c r="C58" s="7">
        <f t="shared" si="0"/>
        <v>-9.7265133310442398E-4</v>
      </c>
      <c r="D58" s="6">
        <f>MAX($B58:$B$1261)</f>
        <v>182.01</v>
      </c>
      <c r="E58" s="7">
        <f t="shared" si="1"/>
        <v>-4.0657106752376104E-2</v>
      </c>
      <c r="G58" s="6">
        <v>14346</v>
      </c>
      <c r="H58" s="7">
        <f t="shared" si="2"/>
        <v>7.4523099913763602E-3</v>
      </c>
      <c r="I58" s="6">
        <f>MAX($G58:$G$1261)</f>
        <v>16057.44</v>
      </c>
      <c r="J58" s="7">
        <f t="shared" si="3"/>
        <v>-0.1065823692942337</v>
      </c>
      <c r="K58" s="6">
        <f t="shared" si="4"/>
        <v>239.74651643933134</v>
      </c>
    </row>
    <row r="59" spans="1:11" x14ac:dyDescent="0.25">
      <c r="A59" s="2">
        <f>DATE(2022,1,31)</f>
        <v>44592</v>
      </c>
      <c r="B59" s="6">
        <v>174.78</v>
      </c>
      <c r="C59" s="7">
        <f t="shared" si="0"/>
        <v>2.6125755885633595E-2</v>
      </c>
      <c r="D59" s="6">
        <f>MAX($B59:$B$1261)</f>
        <v>182.01</v>
      </c>
      <c r="E59" s="7">
        <f t="shared" si="1"/>
        <v>-3.9723092137794569E-2</v>
      </c>
      <c r="G59" s="6">
        <v>14239.88</v>
      </c>
      <c r="H59" s="7">
        <f t="shared" si="2"/>
        <v>3.4080651708680243E-2</v>
      </c>
      <c r="I59" s="6">
        <f>MAX($G59:$G$1261)</f>
        <v>16057.44</v>
      </c>
      <c r="J59" s="7">
        <f t="shared" si="3"/>
        <v>-0.11319114379378037</v>
      </c>
      <c r="K59" s="6">
        <f t="shared" si="4"/>
        <v>237.97306737167889</v>
      </c>
    </row>
    <row r="60" spans="1:11" x14ac:dyDescent="0.25">
      <c r="A60" s="2">
        <f>DATE(2022,1,28)</f>
        <v>44589</v>
      </c>
      <c r="B60" s="6">
        <v>170.33</v>
      </c>
      <c r="C60" s="7">
        <f t="shared" si="0"/>
        <v>6.9777666122346593E-2</v>
      </c>
      <c r="D60" s="6">
        <f>MAX($B60:$B$1261)</f>
        <v>182.01</v>
      </c>
      <c r="E60" s="7">
        <f t="shared" si="1"/>
        <v>-6.4172298225372071E-2</v>
      </c>
      <c r="G60" s="6">
        <v>13770.57</v>
      </c>
      <c r="H60" s="7">
        <f t="shared" si="2"/>
        <v>3.1288615554214028E-2</v>
      </c>
      <c r="I60" s="6">
        <f>MAX($G60:$G$1261)</f>
        <v>16057.44</v>
      </c>
      <c r="J60" s="7">
        <f t="shared" si="3"/>
        <v>-0.14241809404238792</v>
      </c>
      <c r="K60" s="6">
        <f t="shared" si="4"/>
        <v>230.13008412686202</v>
      </c>
    </row>
    <row r="61" spans="1:11" x14ac:dyDescent="0.25">
      <c r="A61" s="2">
        <f>DATE(2022,1,27)</f>
        <v>44588</v>
      </c>
      <c r="B61" s="6">
        <v>159.22</v>
      </c>
      <c r="C61" s="7">
        <f t="shared" si="0"/>
        <v>-2.9432024547560998E-3</v>
      </c>
      <c r="D61" s="6">
        <f>MAX($B61:$B$1261)</f>
        <v>182.01</v>
      </c>
      <c r="E61" s="7">
        <f t="shared" si="1"/>
        <v>-0.12521290039008837</v>
      </c>
      <c r="G61" s="6">
        <v>13352.78</v>
      </c>
      <c r="H61" s="7">
        <f t="shared" si="2"/>
        <v>-1.3981562709531437E-2</v>
      </c>
      <c r="I61" s="6">
        <f>MAX($G61:$G$1261)</f>
        <v>16057.44</v>
      </c>
      <c r="J61" s="7">
        <f t="shared" si="3"/>
        <v>-0.16843656273976426</v>
      </c>
      <c r="K61" s="6">
        <f t="shared" si="4"/>
        <v>223.14808934760734</v>
      </c>
    </row>
    <row r="62" spans="1:11" x14ac:dyDescent="0.25">
      <c r="A62" s="2">
        <f>DATE(2022,1,26)</f>
        <v>44587</v>
      </c>
      <c r="B62" s="6">
        <v>159.69</v>
      </c>
      <c r="C62" s="7">
        <f t="shared" si="0"/>
        <v>-5.6327450244086918E-4</v>
      </c>
      <c r="D62" s="6">
        <f>MAX($B62:$B$1261)</f>
        <v>182.01</v>
      </c>
      <c r="E62" s="7">
        <f t="shared" si="1"/>
        <v>-0.12263062469095098</v>
      </c>
      <c r="G62" s="6">
        <v>13542.12</v>
      </c>
      <c r="H62" s="7">
        <f t="shared" si="2"/>
        <v>2.0902130023059406E-4</v>
      </c>
      <c r="I62" s="6">
        <f>MAX($G62:$G$1261)</f>
        <v>16057.44</v>
      </c>
      <c r="J62" s="7">
        <f t="shared" si="3"/>
        <v>-0.15664514393327955</v>
      </c>
      <c r="K62" s="6">
        <f t="shared" si="4"/>
        <v>226.31228880547872</v>
      </c>
    </row>
    <row r="63" spans="1:11" x14ac:dyDescent="0.25">
      <c r="A63" s="2">
        <f>DATE(2022,1,25)</f>
        <v>44586</v>
      </c>
      <c r="B63" s="6">
        <v>159.78</v>
      </c>
      <c r="C63" s="7">
        <f t="shared" si="0"/>
        <v>-1.1384729612671673E-2</v>
      </c>
      <c r="D63" s="6">
        <f>MAX($B63:$B$1261)</f>
        <v>182.01</v>
      </c>
      <c r="E63" s="7">
        <f t="shared" si="1"/>
        <v>-0.12213614636558423</v>
      </c>
      <c r="G63" s="6">
        <v>13539.29</v>
      </c>
      <c r="H63" s="7">
        <f t="shared" si="2"/>
        <v>-2.2795888598663328E-2</v>
      </c>
      <c r="I63" s="6">
        <f>MAX($G63:$G$1261)</f>
        <v>16057.44</v>
      </c>
      <c r="J63" s="7">
        <f t="shared" si="3"/>
        <v>-0.15682138622345776</v>
      </c>
      <c r="K63" s="6">
        <f t="shared" si="4"/>
        <v>226.26499460211031</v>
      </c>
    </row>
    <row r="64" spans="1:11" x14ac:dyDescent="0.25">
      <c r="A64" s="2">
        <f>DATE(2022,1,24)</f>
        <v>44585</v>
      </c>
      <c r="B64" s="6">
        <v>161.62</v>
      </c>
      <c r="C64" s="7">
        <f t="shared" si="0"/>
        <v>-4.8642324979988327E-3</v>
      </c>
      <c r="D64" s="6">
        <f>MAX($B64:$B$1261)</f>
        <v>182.01</v>
      </c>
      <c r="E64" s="7">
        <f t="shared" si="1"/>
        <v>-0.11202681171364204</v>
      </c>
      <c r="G64" s="6">
        <v>13855.13</v>
      </c>
      <c r="H64" s="7">
        <f t="shared" si="2"/>
        <v>6.2612027668109693E-3</v>
      </c>
      <c r="I64" s="6">
        <f>MAX($G64:$G$1261)</f>
        <v>16057.44</v>
      </c>
      <c r="J64" s="7">
        <f t="shared" si="3"/>
        <v>-0.13715199932243249</v>
      </c>
      <c r="K64" s="6">
        <f t="shared" si="4"/>
        <v>231.54322823881725</v>
      </c>
    </row>
    <row r="65" spans="1:11" x14ac:dyDescent="0.25">
      <c r="A65" s="2">
        <f>DATE(2022,1,21)</f>
        <v>44582</v>
      </c>
      <c r="B65" s="6">
        <v>162.41</v>
      </c>
      <c r="C65" s="7">
        <f t="shared" si="0"/>
        <v>-1.2765181447936258E-2</v>
      </c>
      <c r="D65" s="6">
        <f>MAX($B65:$B$1261)</f>
        <v>182.01</v>
      </c>
      <c r="E65" s="7">
        <f t="shared" si="1"/>
        <v>-0.1076863908576452</v>
      </c>
      <c r="G65" s="6">
        <v>13768.92</v>
      </c>
      <c r="H65" s="7">
        <f t="shared" si="2"/>
        <v>-2.7207817990931193E-2</v>
      </c>
      <c r="I65" s="6">
        <f>MAX($G65:$G$1261)</f>
        <v>16057.44</v>
      </c>
      <c r="J65" s="7">
        <f t="shared" si="3"/>
        <v>-0.14252085014796878</v>
      </c>
      <c r="K65" s="6">
        <f t="shared" si="4"/>
        <v>230.10250976800765</v>
      </c>
    </row>
    <row r="66" spans="1:11" x14ac:dyDescent="0.25">
      <c r="A66" s="2">
        <f>DATE(2022,1,20)</f>
        <v>44581</v>
      </c>
      <c r="B66" s="6">
        <v>164.51</v>
      </c>
      <c r="C66" s="7">
        <f t="shared" ref="C66:C129" si="5">IFERROR(B66/B67-1,0)</f>
        <v>-1.034710942669792E-2</v>
      </c>
      <c r="D66" s="6">
        <f>MAX($B66:$B$1261)</f>
        <v>182.01</v>
      </c>
      <c r="E66" s="7">
        <f t="shared" ref="E66:E129" si="6">$B66/$D66-1</f>
        <v>-9.6148563265754605E-2</v>
      </c>
      <c r="G66" s="6">
        <v>14154.02</v>
      </c>
      <c r="H66" s="7">
        <f t="shared" ref="H66:H129" si="7">IFERROR(G66/G67-1,0)</f>
        <v>-1.2987212226277633E-2</v>
      </c>
      <c r="I66" s="6">
        <f>MAX($G66:$G$1261)</f>
        <v>16057.44</v>
      </c>
      <c r="J66" s="7">
        <f t="shared" ref="J66:J129" si="8">$G66/$I66-1</f>
        <v>-0.11853819786964792</v>
      </c>
      <c r="K66" s="6">
        <f t="shared" ref="K66:K129" si="9">$K67*(1+H66)</f>
        <v>236.53819800729292</v>
      </c>
    </row>
    <row r="67" spans="1:11" x14ac:dyDescent="0.25">
      <c r="A67" s="2">
        <f>DATE(2022,1,19)</f>
        <v>44580</v>
      </c>
      <c r="B67" s="6">
        <v>166.23</v>
      </c>
      <c r="C67" s="7">
        <f t="shared" si="5"/>
        <v>-2.102473498233226E-2</v>
      </c>
      <c r="D67" s="6">
        <f>MAX($B67:$B$1261)</f>
        <v>182.01</v>
      </c>
      <c r="E67" s="7">
        <f t="shared" si="6"/>
        <v>-8.6698533047634752E-2</v>
      </c>
      <c r="G67" s="6">
        <v>14340.26</v>
      </c>
      <c r="H67" s="7">
        <f t="shared" si="7"/>
        <v>-1.1486947590456875E-2</v>
      </c>
      <c r="I67" s="6">
        <f>MAX($G67:$G$1261)</f>
        <v>16057.44</v>
      </c>
      <c r="J67" s="7">
        <f t="shared" si="8"/>
        <v>-0.10693983598880019</v>
      </c>
      <c r="K67" s="6">
        <f t="shared" si="9"/>
        <v>239.65059109398337</v>
      </c>
    </row>
    <row r="68" spans="1:11" x14ac:dyDescent="0.25">
      <c r="A68" s="2">
        <f>DATE(2022,1,18)</f>
        <v>44579</v>
      </c>
      <c r="B68" s="6">
        <v>169.8</v>
      </c>
      <c r="C68" s="7">
        <f t="shared" si="5"/>
        <v>-1.889408909689716E-2</v>
      </c>
      <c r="D68" s="6">
        <f>MAX($B68:$B$1261)</f>
        <v>182.01</v>
      </c>
      <c r="E68" s="7">
        <f t="shared" si="6"/>
        <v>-6.7084226141420733E-2</v>
      </c>
      <c r="G68" s="6">
        <v>14506.9</v>
      </c>
      <c r="H68" s="7">
        <f t="shared" si="7"/>
        <v>-2.5973982375157356E-2</v>
      </c>
      <c r="I68" s="6">
        <f>MAX($G68:$G$1261)</f>
        <v>16057.44</v>
      </c>
      <c r="J68" s="7">
        <f t="shared" si="8"/>
        <v>-9.6562092089399143E-2</v>
      </c>
      <c r="K68" s="6">
        <f t="shared" si="9"/>
        <v>242.43543422094905</v>
      </c>
    </row>
    <row r="69" spans="1:11" x14ac:dyDescent="0.25">
      <c r="A69" s="2">
        <f>DATE(2022,1,14)</f>
        <v>44575</v>
      </c>
      <c r="B69" s="6">
        <v>173.07</v>
      </c>
      <c r="C69" s="7">
        <f t="shared" si="5"/>
        <v>5.110633602415815E-3</v>
      </c>
      <c r="D69" s="6">
        <f>MAX($B69:$B$1261)</f>
        <v>182.01</v>
      </c>
      <c r="E69" s="7">
        <f t="shared" si="6"/>
        <v>-4.9118180319762672E-2</v>
      </c>
      <c r="G69" s="6">
        <v>14893.75</v>
      </c>
      <c r="H69" s="7">
        <f t="shared" si="7"/>
        <v>5.8716225844730463E-3</v>
      </c>
      <c r="I69" s="6">
        <f>MAX($G69:$G$1261)</f>
        <v>16057.44</v>
      </c>
      <c r="J69" s="7">
        <f t="shared" si="8"/>
        <v>-7.2470456062734834E-2</v>
      </c>
      <c r="K69" s="6">
        <f t="shared" si="9"/>
        <v>248.90036799235259</v>
      </c>
    </row>
    <row r="70" spans="1:11" x14ac:dyDescent="0.25">
      <c r="A70" s="2">
        <f>DATE(2022,1,13)</f>
        <v>44574</v>
      </c>
      <c r="B70" s="6">
        <v>172.19</v>
      </c>
      <c r="C70" s="7">
        <f t="shared" si="5"/>
        <v>-1.9028086367002817E-2</v>
      </c>
      <c r="D70" s="6">
        <f>MAX($B70:$B$1261)</f>
        <v>182.01</v>
      </c>
      <c r="E70" s="7">
        <f t="shared" si="6"/>
        <v>-5.3953079501126266E-2</v>
      </c>
      <c r="G70" s="6">
        <v>14806.81</v>
      </c>
      <c r="H70" s="7">
        <f t="shared" si="7"/>
        <v>-2.5123136817002956E-2</v>
      </c>
      <c r="I70" s="6">
        <f>MAX($G70:$G$1261)</f>
        <v>16057.44</v>
      </c>
      <c r="J70" s="7">
        <f t="shared" si="8"/>
        <v>-7.7884768680437255E-2</v>
      </c>
      <c r="K70" s="6">
        <f t="shared" si="9"/>
        <v>247.44744995671647</v>
      </c>
    </row>
    <row r="71" spans="1:11" x14ac:dyDescent="0.25">
      <c r="A71" s="2">
        <f>DATE(2022,1,12)</f>
        <v>44573</v>
      </c>
      <c r="B71" s="6">
        <v>175.53</v>
      </c>
      <c r="C71" s="7">
        <f t="shared" si="5"/>
        <v>2.5702535983549435E-3</v>
      </c>
      <c r="D71" s="6">
        <f>MAX($B71:$B$1261)</f>
        <v>182.01</v>
      </c>
      <c r="E71" s="7">
        <f t="shared" si="6"/>
        <v>-3.5602439426405064E-2</v>
      </c>
      <c r="G71" s="6">
        <v>15188.39</v>
      </c>
      <c r="H71" s="7">
        <f t="shared" si="7"/>
        <v>2.3057455562924822E-3</v>
      </c>
      <c r="I71" s="6">
        <f>MAX($G71:$G$1261)</f>
        <v>16057.44</v>
      </c>
      <c r="J71" s="7">
        <f t="shared" si="8"/>
        <v>-5.4121329427355813E-2</v>
      </c>
      <c r="K71" s="6">
        <f t="shared" si="9"/>
        <v>253.82431289711238</v>
      </c>
    </row>
    <row r="72" spans="1:11" x14ac:dyDescent="0.25">
      <c r="A72" s="2">
        <f>DATE(2022,1,11)</f>
        <v>44572</v>
      </c>
      <c r="B72" s="6">
        <v>175.08</v>
      </c>
      <c r="C72" s="7">
        <f t="shared" si="5"/>
        <v>1.6783785353388758E-2</v>
      </c>
      <c r="D72" s="6">
        <f>MAX($B72:$B$1261)</f>
        <v>182.01</v>
      </c>
      <c r="E72" s="7">
        <f t="shared" si="6"/>
        <v>-3.8074831053238722E-2</v>
      </c>
      <c r="G72" s="6">
        <v>15153.45</v>
      </c>
      <c r="H72" s="7">
        <f t="shared" si="7"/>
        <v>1.4095054283559394E-2</v>
      </c>
      <c r="I72" s="6">
        <f>MAX($G72:$G$1261)</f>
        <v>16057.44</v>
      </c>
      <c r="J72" s="7">
        <f t="shared" si="8"/>
        <v>-5.6297267808567253E-2</v>
      </c>
      <c r="K72" s="6">
        <f t="shared" si="9"/>
        <v>253.24040495870514</v>
      </c>
    </row>
    <row r="73" spans="1:11" x14ac:dyDescent="0.25">
      <c r="A73" s="2">
        <f>DATE(2022,1,10)</f>
        <v>44571</v>
      </c>
      <c r="B73" s="6">
        <v>172.19</v>
      </c>
      <c r="C73" s="7">
        <f t="shared" si="5"/>
        <v>1.1616425625837756E-4</v>
      </c>
      <c r="D73" s="6">
        <f>MAX($B73:$B$1261)</f>
        <v>182.01</v>
      </c>
      <c r="E73" s="7">
        <f t="shared" si="6"/>
        <v>-5.3953079501126266E-2</v>
      </c>
      <c r="G73" s="6">
        <v>14942.83</v>
      </c>
      <c r="H73" s="7">
        <f t="shared" si="7"/>
        <v>4.6398275296444247E-4</v>
      </c>
      <c r="I73" s="6">
        <f>MAX($G73:$G$1261)</f>
        <v>16057.44</v>
      </c>
      <c r="J73" s="7">
        <f t="shared" si="8"/>
        <v>-6.9413928994908281E-2</v>
      </c>
      <c r="K73" s="6">
        <f t="shared" si="9"/>
        <v>249.72057983027548</v>
      </c>
    </row>
    <row r="74" spans="1:11" x14ac:dyDescent="0.25">
      <c r="A74" s="2">
        <f>DATE(2022,1,7)</f>
        <v>44568</v>
      </c>
      <c r="B74" s="6">
        <v>172.17</v>
      </c>
      <c r="C74" s="7">
        <f t="shared" si="5"/>
        <v>9.8837209302327089E-4</v>
      </c>
      <c r="D74" s="6">
        <f>MAX($B74:$B$1261)</f>
        <v>182.01</v>
      </c>
      <c r="E74" s="7">
        <f t="shared" si="6"/>
        <v>-5.4062963573430101E-2</v>
      </c>
      <c r="G74" s="6">
        <v>14935.9</v>
      </c>
      <c r="H74" s="7">
        <f t="shared" si="7"/>
        <v>-9.6121839205457471E-3</v>
      </c>
      <c r="I74" s="6">
        <f>MAX($G74:$G$1261)</f>
        <v>16057.44</v>
      </c>
      <c r="J74" s="7">
        <f t="shared" si="8"/>
        <v>-6.9845504638348377E-2</v>
      </c>
      <c r="K74" s="6">
        <f t="shared" si="9"/>
        <v>249.60476752308708</v>
      </c>
    </row>
    <row r="75" spans="1:11" x14ac:dyDescent="0.25">
      <c r="A75" s="2">
        <f>DATE(2022,1,6)</f>
        <v>44567</v>
      </c>
      <c r="B75" s="6">
        <v>172</v>
      </c>
      <c r="C75" s="7">
        <f t="shared" si="5"/>
        <v>-1.669334552938484E-2</v>
      </c>
      <c r="D75" s="6">
        <f>MAX($B75:$B$1261)</f>
        <v>182.01</v>
      </c>
      <c r="E75" s="7">
        <f t="shared" si="6"/>
        <v>-5.4996978188011636E-2</v>
      </c>
      <c r="G75" s="6">
        <v>15080.86</v>
      </c>
      <c r="H75" s="7">
        <f t="shared" si="7"/>
        <v>-1.2787935500063741E-3</v>
      </c>
      <c r="I75" s="6">
        <f>MAX($G75:$G$1261)</f>
        <v>16057.44</v>
      </c>
      <c r="J75" s="7">
        <f t="shared" si="8"/>
        <v>-6.0817913689853453E-2</v>
      </c>
      <c r="K75" s="6">
        <f t="shared" si="9"/>
        <v>252.02730028643893</v>
      </c>
    </row>
    <row r="76" spans="1:11" x14ac:dyDescent="0.25">
      <c r="A76" s="2">
        <f>DATE(2022,1,5)</f>
        <v>44566</v>
      </c>
      <c r="B76" s="6">
        <v>174.92</v>
      </c>
      <c r="C76" s="7">
        <f t="shared" si="5"/>
        <v>-2.6599888703394581E-2</v>
      </c>
      <c r="D76" s="6">
        <f>MAX($B76:$B$1261)</f>
        <v>182.01</v>
      </c>
      <c r="E76" s="7">
        <f t="shared" si="6"/>
        <v>-3.8953903631668618E-2</v>
      </c>
      <c r="G76" s="6">
        <v>15100.17</v>
      </c>
      <c r="H76" s="7">
        <f t="shared" si="7"/>
        <v>-3.3448080743942121E-2</v>
      </c>
      <c r="I76" s="6">
        <f>MAX($G76:$G$1261)</f>
        <v>16057.44</v>
      </c>
      <c r="J76" s="7">
        <f t="shared" si="8"/>
        <v>-5.9615355872418063E-2</v>
      </c>
      <c r="K76" s="6">
        <f t="shared" si="9"/>
        <v>252.35000384369835</v>
      </c>
    </row>
    <row r="77" spans="1:11" x14ac:dyDescent="0.25">
      <c r="A77" s="2">
        <f>DATE(2022,1,4)</f>
        <v>44565</v>
      </c>
      <c r="B77" s="6">
        <v>179.7</v>
      </c>
      <c r="C77" s="7">
        <f t="shared" si="5"/>
        <v>-1.2691610351079574E-2</v>
      </c>
      <c r="D77" s="6">
        <f>MAX($B77:$B$1261)</f>
        <v>182.01</v>
      </c>
      <c r="E77" s="7">
        <f t="shared" si="6"/>
        <v>-1.2691610351079574E-2</v>
      </c>
      <c r="G77" s="6">
        <v>15622.72</v>
      </c>
      <c r="H77" s="7">
        <f t="shared" si="7"/>
        <v>-1.326865747056738E-2</v>
      </c>
      <c r="I77" s="6">
        <f>MAX($G77:$G$1261)</f>
        <v>16057.44</v>
      </c>
      <c r="J77" s="7">
        <f t="shared" si="8"/>
        <v>-2.7072808617064847E-2</v>
      </c>
      <c r="K77" s="6">
        <f t="shared" si="9"/>
        <v>261.08271973421643</v>
      </c>
    </row>
    <row r="78" spans="1:11" x14ac:dyDescent="0.25">
      <c r="A78" s="2">
        <f>DATE(2022,1,3)</f>
        <v>44564</v>
      </c>
      <c r="B78" s="6">
        <v>182.01</v>
      </c>
      <c r="C78" s="7">
        <f t="shared" si="5"/>
        <v>2.5004223686433402E-2</v>
      </c>
      <c r="D78" s="6">
        <f>MAX($B78:$B$1261)</f>
        <v>182.01</v>
      </c>
      <c r="E78" s="7">
        <f t="shared" si="6"/>
        <v>0</v>
      </c>
      <c r="G78" s="6">
        <v>15832.8</v>
      </c>
      <c r="H78" s="7">
        <f t="shared" si="7"/>
        <v>1.2005775658246787E-2</v>
      </c>
      <c r="I78" s="6">
        <f>MAX($G78:$G$1261)</f>
        <v>16057.44</v>
      </c>
      <c r="J78" s="7">
        <f t="shared" si="8"/>
        <v>-1.3989776701641143E-2</v>
      </c>
      <c r="K78" s="6">
        <f t="shared" si="9"/>
        <v>264.59352052702098</v>
      </c>
    </row>
    <row r="79" spans="1:11" x14ac:dyDescent="0.25">
      <c r="A79" s="2">
        <f>DATE(2021,12,31)</f>
        <v>44561</v>
      </c>
      <c r="B79" s="6">
        <v>177.57</v>
      </c>
      <c r="C79" s="7">
        <f t="shared" si="5"/>
        <v>-3.5353535353535026E-3</v>
      </c>
      <c r="D79" s="6">
        <f>MAX($B79:$B$1261)</f>
        <v>180.33</v>
      </c>
      <c r="E79" s="7">
        <f t="shared" si="6"/>
        <v>-1.5305273664947716E-2</v>
      </c>
      <c r="G79" s="6">
        <v>15644.97</v>
      </c>
      <c r="H79" s="7">
        <f t="shared" si="7"/>
        <v>-6.1359865223015175E-3</v>
      </c>
      <c r="I79" s="6">
        <f>MAX($G79:$G$1261)</f>
        <v>16057.44</v>
      </c>
      <c r="J79" s="7">
        <f t="shared" si="8"/>
        <v>-2.56871581024124E-2</v>
      </c>
      <c r="K79" s="6">
        <f t="shared" si="9"/>
        <v>261.45455578543448</v>
      </c>
    </row>
    <row r="80" spans="1:11" x14ac:dyDescent="0.25">
      <c r="A80" s="2">
        <f>DATE(2021,12,30)</f>
        <v>44560</v>
      </c>
      <c r="B80" s="6">
        <v>178.2</v>
      </c>
      <c r="C80" s="7">
        <f t="shared" si="5"/>
        <v>-6.5782138476976337E-3</v>
      </c>
      <c r="D80" s="6">
        <f>MAX($B80:$B$1261)</f>
        <v>180.33</v>
      </c>
      <c r="E80" s="7">
        <f t="shared" si="6"/>
        <v>-1.1811678589253138E-2</v>
      </c>
      <c r="G80" s="6">
        <v>15741.56</v>
      </c>
      <c r="H80" s="7">
        <f t="shared" si="7"/>
        <v>-1.5641035073721277E-3</v>
      </c>
      <c r="I80" s="6">
        <f>MAX($G80:$G$1261)</f>
        <v>16057.44</v>
      </c>
      <c r="J80" s="7">
        <f t="shared" si="8"/>
        <v>-1.9671877958130413E-2</v>
      </c>
      <c r="K80" s="6">
        <f t="shared" si="9"/>
        <v>263.06874204103707</v>
      </c>
    </row>
    <row r="81" spans="1:11" x14ac:dyDescent="0.25">
      <c r="A81" s="2">
        <f>DATE(2021,12,29)</f>
        <v>44559</v>
      </c>
      <c r="B81" s="6">
        <v>179.38</v>
      </c>
      <c r="C81" s="7">
        <f t="shared" si="5"/>
        <v>5.0198003234980249E-4</v>
      </c>
      <c r="D81" s="6">
        <f>MAX($B81:$B$1261)</f>
        <v>180.33</v>
      </c>
      <c r="E81" s="7">
        <f t="shared" si="6"/>
        <v>-5.268119558587081E-3</v>
      </c>
      <c r="G81" s="6">
        <v>15766.22</v>
      </c>
      <c r="H81" s="7">
        <f t="shared" si="7"/>
        <v>-9.8214896728621159E-4</v>
      </c>
      <c r="I81" s="6">
        <f>MAX($G81:$G$1261)</f>
        <v>16057.44</v>
      </c>
      <c r="J81" s="7">
        <f t="shared" si="8"/>
        <v>-1.8136141252902194E-2</v>
      </c>
      <c r="K81" s="6">
        <f t="shared" si="9"/>
        <v>263.48085336791524</v>
      </c>
    </row>
    <row r="82" spans="1:11" x14ac:dyDescent="0.25">
      <c r="A82" s="2">
        <f>DATE(2021,12,28)</f>
        <v>44558</v>
      </c>
      <c r="B82" s="6">
        <v>179.29</v>
      </c>
      <c r="C82" s="7">
        <f t="shared" si="5"/>
        <v>-5.767204569400608E-3</v>
      </c>
      <c r="D82" s="6">
        <f>MAX($B82:$B$1261)</f>
        <v>180.33</v>
      </c>
      <c r="E82" s="7">
        <f t="shared" si="6"/>
        <v>-5.767204569400608E-3</v>
      </c>
      <c r="G82" s="6">
        <v>15781.72</v>
      </c>
      <c r="H82" s="7">
        <f t="shared" si="7"/>
        <v>-5.6416440786680733E-3</v>
      </c>
      <c r="I82" s="6">
        <f>MAX($G82:$G$1261)</f>
        <v>16057.44</v>
      </c>
      <c r="J82" s="7">
        <f t="shared" si="8"/>
        <v>-1.717085662471729E-2</v>
      </c>
      <c r="K82" s="6">
        <f t="shared" si="9"/>
        <v>263.73988522382001</v>
      </c>
    </row>
    <row r="83" spans="1:11" x14ac:dyDescent="0.25">
      <c r="A83" s="2">
        <f>DATE(2021,12,27)</f>
        <v>44557</v>
      </c>
      <c r="B83" s="6">
        <v>180.33</v>
      </c>
      <c r="C83" s="7">
        <f t="shared" si="5"/>
        <v>2.2974812797821764E-2</v>
      </c>
      <c r="D83" s="6">
        <f>MAX($B83:$B$1261)</f>
        <v>180.33</v>
      </c>
      <c r="E83" s="7">
        <f t="shared" si="6"/>
        <v>0</v>
      </c>
      <c r="G83" s="6">
        <v>15871.26</v>
      </c>
      <c r="H83" s="7">
        <f t="shared" si="7"/>
        <v>1.3919686303971668E-2</v>
      </c>
      <c r="I83" s="6">
        <f>MAX($G83:$G$1261)</f>
        <v>16057.44</v>
      </c>
      <c r="J83" s="7">
        <f t="shared" si="8"/>
        <v>-1.1594625295190286E-2</v>
      </c>
      <c r="K83" s="6">
        <f t="shared" si="9"/>
        <v>265.23625376431755</v>
      </c>
    </row>
    <row r="84" spans="1:11" x14ac:dyDescent="0.25">
      <c r="A84" s="2">
        <f>DATE(2021,12,23)</f>
        <v>44553</v>
      </c>
      <c r="B84" s="6">
        <v>176.28</v>
      </c>
      <c r="C84" s="7">
        <f t="shared" si="5"/>
        <v>3.6438168982009245E-3</v>
      </c>
      <c r="D84" s="6">
        <f>MAX($B84:$B$1261)</f>
        <v>179.45</v>
      </c>
      <c r="E84" s="7">
        <f t="shared" si="6"/>
        <v>-1.7665087768180432E-2</v>
      </c>
      <c r="G84" s="6">
        <v>15653.37</v>
      </c>
      <c r="H84" s="7">
        <f t="shared" si="7"/>
        <v>8.4706179466547127E-3</v>
      </c>
      <c r="I84" s="6">
        <f>MAX($G84:$G$1261)</f>
        <v>16057.44</v>
      </c>
      <c r="J84" s="7">
        <f t="shared" si="8"/>
        <v>-2.5164036110363774E-2</v>
      </c>
      <c r="K84" s="6">
        <f t="shared" si="9"/>
        <v>261.59493433960222</v>
      </c>
    </row>
    <row r="85" spans="1:11" x14ac:dyDescent="0.25">
      <c r="A85" s="2">
        <f>DATE(2021,12,22)</f>
        <v>44552</v>
      </c>
      <c r="B85" s="6">
        <v>175.64</v>
      </c>
      <c r="C85" s="7">
        <f t="shared" si="5"/>
        <v>1.5318804555176424E-2</v>
      </c>
      <c r="D85" s="6">
        <f>MAX($B85:$B$1261)</f>
        <v>179.45</v>
      </c>
      <c r="E85" s="7">
        <f t="shared" si="6"/>
        <v>-2.123154081916967E-2</v>
      </c>
      <c r="G85" s="6">
        <v>15521.89</v>
      </c>
      <c r="H85" s="7">
        <f t="shared" si="7"/>
        <v>1.1785342501738683E-2</v>
      </c>
      <c r="I85" s="6">
        <f>MAX($G85:$G$1261)</f>
        <v>16057.44</v>
      </c>
      <c r="J85" s="7">
        <f t="shared" si="8"/>
        <v>-3.3352140814476128E-2</v>
      </c>
      <c r="K85" s="6">
        <f t="shared" si="9"/>
        <v>259.39767573222434</v>
      </c>
    </row>
    <row r="86" spans="1:11" x14ac:dyDescent="0.25">
      <c r="A86" s="2">
        <f>DATE(2021,12,21)</f>
        <v>44551</v>
      </c>
      <c r="B86" s="6">
        <v>172.99</v>
      </c>
      <c r="C86" s="7">
        <f t="shared" si="5"/>
        <v>1.9086892488954454E-2</v>
      </c>
      <c r="D86" s="6">
        <f>MAX($B86:$B$1261)</f>
        <v>179.45</v>
      </c>
      <c r="E86" s="7">
        <f t="shared" si="6"/>
        <v>-3.599888548342145E-2</v>
      </c>
      <c r="G86" s="6">
        <v>15341.09</v>
      </c>
      <c r="H86" s="7">
        <f t="shared" si="7"/>
        <v>2.4040547522385047E-2</v>
      </c>
      <c r="I86" s="6">
        <f>MAX($G86:$G$1261)</f>
        <v>16057.44</v>
      </c>
      <c r="J86" s="7">
        <f t="shared" si="8"/>
        <v>-4.4611718929044697E-2</v>
      </c>
      <c r="K86" s="6">
        <f t="shared" si="9"/>
        <v>256.37619447109017</v>
      </c>
    </row>
    <row r="87" spans="1:11" x14ac:dyDescent="0.25">
      <c r="A87" s="2">
        <f>DATE(2021,12,20)</f>
        <v>44550</v>
      </c>
      <c r="B87" s="6">
        <v>169.75</v>
      </c>
      <c r="C87" s="7">
        <f t="shared" si="5"/>
        <v>-8.122005375715724E-3</v>
      </c>
      <c r="D87" s="6">
        <f>MAX($B87:$B$1261)</f>
        <v>179.45</v>
      </c>
      <c r="E87" s="7">
        <f t="shared" si="6"/>
        <v>-5.4054054054053946E-2</v>
      </c>
      <c r="G87" s="6">
        <v>14980.94</v>
      </c>
      <c r="H87" s="7">
        <f t="shared" si="7"/>
        <v>-1.2441923626602569E-2</v>
      </c>
      <c r="I87" s="6">
        <f>MAX($G87:$G$1261)</f>
        <v>16057.44</v>
      </c>
      <c r="J87" s="7">
        <f t="shared" si="8"/>
        <v>-6.7040574338126158E-2</v>
      </c>
      <c r="K87" s="6">
        <f t="shared" si="9"/>
        <v>250.3574639611484</v>
      </c>
    </row>
    <row r="88" spans="1:11" x14ac:dyDescent="0.25">
      <c r="A88" s="2">
        <f>DATE(2021,12,17)</f>
        <v>44547</v>
      </c>
      <c r="B88" s="6">
        <v>171.14</v>
      </c>
      <c r="C88" s="7">
        <f t="shared" si="5"/>
        <v>-6.5017996052478821E-3</v>
      </c>
      <c r="D88" s="6">
        <f>MAX($B88:$B$1261)</f>
        <v>179.45</v>
      </c>
      <c r="E88" s="7">
        <f t="shared" si="6"/>
        <v>-4.6308163833937099E-2</v>
      </c>
      <c r="G88" s="6">
        <v>15169.68</v>
      </c>
      <c r="H88" s="7">
        <f t="shared" si="7"/>
        <v>-7.081485834063983E-4</v>
      </c>
      <c r="I88" s="6">
        <f>MAX($G88:$G$1261)</f>
        <v>16057.44</v>
      </c>
      <c r="J88" s="7">
        <f t="shared" si="8"/>
        <v>-5.5286521388216325E-2</v>
      </c>
      <c r="K88" s="6">
        <f t="shared" si="9"/>
        <v>253.5116363794364</v>
      </c>
    </row>
    <row r="89" spans="1:11" x14ac:dyDescent="0.25">
      <c r="A89" s="2">
        <f>DATE(2021,12,16)</f>
        <v>44546</v>
      </c>
      <c r="B89" s="6">
        <v>172.26</v>
      </c>
      <c r="C89" s="7">
        <f t="shared" si="5"/>
        <v>-3.9263803680981701E-2</v>
      </c>
      <c r="D89" s="6">
        <f>MAX($B89:$B$1261)</f>
        <v>179.45</v>
      </c>
      <c r="E89" s="7">
        <f t="shared" si="6"/>
        <v>-4.0066870994706072E-2</v>
      </c>
      <c r="G89" s="6">
        <v>15180.43</v>
      </c>
      <c r="H89" s="7">
        <f t="shared" si="7"/>
        <v>-2.4743697311632395E-2</v>
      </c>
      <c r="I89" s="6">
        <f>MAX($G89:$G$1261)</f>
        <v>16057.44</v>
      </c>
      <c r="J89" s="7">
        <f t="shared" si="8"/>
        <v>-5.4617049791249372E-2</v>
      </c>
      <c r="K89" s="6">
        <f t="shared" si="9"/>
        <v>253.69128750530584</v>
      </c>
    </row>
    <row r="90" spans="1:11" x14ac:dyDescent="0.25">
      <c r="A90" s="2">
        <f>DATE(2021,12,15)</f>
        <v>44545</v>
      </c>
      <c r="B90" s="6">
        <v>179.3</v>
      </c>
      <c r="C90" s="7">
        <f t="shared" si="5"/>
        <v>2.8509149314518423E-2</v>
      </c>
      <c r="D90" s="6">
        <f>MAX($B90:$B$1261)</f>
        <v>179.45</v>
      </c>
      <c r="E90" s="7">
        <f t="shared" si="6"/>
        <v>-8.3588743382545516E-4</v>
      </c>
      <c r="G90" s="6">
        <v>15565.58</v>
      </c>
      <c r="H90" s="7">
        <f t="shared" si="7"/>
        <v>2.1521705460950669E-2</v>
      </c>
      <c r="I90" s="6">
        <f>MAX($G90:$G$1261)</f>
        <v>16057.44</v>
      </c>
      <c r="J90" s="7">
        <f t="shared" si="8"/>
        <v>-3.0631283691547329E-2</v>
      </c>
      <c r="K90" s="6">
        <f t="shared" si="9"/>
        <v>260.12781133122303</v>
      </c>
    </row>
    <row r="91" spans="1:11" x14ac:dyDescent="0.25">
      <c r="A91" s="2">
        <f>DATE(2021,12,14)</f>
        <v>44544</v>
      </c>
      <c r="B91" s="6">
        <v>174.33</v>
      </c>
      <c r="C91" s="7">
        <f t="shared" si="5"/>
        <v>-8.0232161147149039E-3</v>
      </c>
      <c r="D91" s="6">
        <f>MAX($B91:$B$1261)</f>
        <v>179.45</v>
      </c>
      <c r="E91" s="7">
        <f t="shared" si="6"/>
        <v>-2.8531624407912903E-2</v>
      </c>
      <c r="G91" s="6">
        <v>15237.64</v>
      </c>
      <c r="H91" s="7">
        <f t="shared" si="7"/>
        <v>-1.1395368150062923E-2</v>
      </c>
      <c r="I91" s="6">
        <f>MAX($G91:$G$1261)</f>
        <v>16057.44</v>
      </c>
      <c r="J91" s="7">
        <f t="shared" si="8"/>
        <v>-5.1054215366833189E-2</v>
      </c>
      <c r="K91" s="6">
        <f t="shared" si="9"/>
        <v>254.64736572958392</v>
      </c>
    </row>
    <row r="92" spans="1:11" x14ac:dyDescent="0.25">
      <c r="A92" s="2">
        <f>DATE(2021,12,13)</f>
        <v>44543</v>
      </c>
      <c r="B92" s="6">
        <v>175.74</v>
      </c>
      <c r="C92" s="7">
        <f t="shared" si="5"/>
        <v>-2.0674282529952515E-2</v>
      </c>
      <c r="D92" s="6">
        <f>MAX($B92:$B$1261)</f>
        <v>179.45</v>
      </c>
      <c r="E92" s="7">
        <f t="shared" si="6"/>
        <v>-2.0674282529952515E-2</v>
      </c>
      <c r="G92" s="6">
        <v>15413.28</v>
      </c>
      <c r="H92" s="7">
        <f t="shared" si="7"/>
        <v>-1.390349698667992E-2</v>
      </c>
      <c r="I92" s="6">
        <f>MAX($G92:$G$1261)</f>
        <v>16057.44</v>
      </c>
      <c r="J92" s="7">
        <f t="shared" si="8"/>
        <v>-4.0115983618808415E-2</v>
      </c>
      <c r="K92" s="6">
        <f t="shared" si="9"/>
        <v>257.58261445030081</v>
      </c>
    </row>
    <row r="93" spans="1:11" x14ac:dyDescent="0.25">
      <c r="A93" s="2">
        <f>DATE(2021,12,10)</f>
        <v>44540</v>
      </c>
      <c r="B93" s="6">
        <v>179.45</v>
      </c>
      <c r="C93" s="7">
        <f t="shared" si="5"/>
        <v>2.8013290559119941E-2</v>
      </c>
      <c r="D93" s="6">
        <f>MAX($B93:$B$1261)</f>
        <v>179.45</v>
      </c>
      <c r="E93" s="7">
        <f t="shared" si="6"/>
        <v>0</v>
      </c>
      <c r="G93" s="6">
        <v>15630.6</v>
      </c>
      <c r="H93" s="7">
        <f t="shared" si="7"/>
        <v>7.2969839605552256E-3</v>
      </c>
      <c r="I93" s="6">
        <f>MAX($G93:$G$1261)</f>
        <v>16057.44</v>
      </c>
      <c r="J93" s="7">
        <f t="shared" si="8"/>
        <v>-2.6582070367381139E-2</v>
      </c>
      <c r="K93" s="6">
        <f t="shared" si="9"/>
        <v>261.21440818741189</v>
      </c>
    </row>
    <row r="94" spans="1:11" x14ac:dyDescent="0.25">
      <c r="A94" s="2">
        <f>DATE(2021,12,9)</f>
        <v>44539</v>
      </c>
      <c r="B94" s="6">
        <v>174.56</v>
      </c>
      <c r="C94" s="7">
        <f t="shared" si="5"/>
        <v>-2.970070824765858E-3</v>
      </c>
      <c r="D94" s="6">
        <f>MAX($B94:$B$1261)</f>
        <v>175.08</v>
      </c>
      <c r="E94" s="7">
        <f t="shared" si="6"/>
        <v>-2.970070824765858E-3</v>
      </c>
      <c r="G94" s="6">
        <v>15517.37</v>
      </c>
      <c r="H94" s="7">
        <f t="shared" si="7"/>
        <v>-1.7078619800227846E-2</v>
      </c>
      <c r="I94" s="6">
        <f>MAX($G94:$G$1261)</f>
        <v>16057.44</v>
      </c>
      <c r="J94" s="7">
        <f t="shared" si="8"/>
        <v>-3.3633630267340231E-2</v>
      </c>
      <c r="K94" s="6">
        <f t="shared" si="9"/>
        <v>259.32213870069603</v>
      </c>
    </row>
    <row r="95" spans="1:11" x14ac:dyDescent="0.25">
      <c r="A95" s="2">
        <f>DATE(2021,12,8)</f>
        <v>44538</v>
      </c>
      <c r="B95" s="6">
        <v>175.08</v>
      </c>
      <c r="C95" s="7">
        <f t="shared" si="5"/>
        <v>2.2783035401331864E-2</v>
      </c>
      <c r="D95" s="6">
        <f>MAX($B95:$B$1261)</f>
        <v>175.08</v>
      </c>
      <c r="E95" s="7">
        <f t="shared" si="6"/>
        <v>0</v>
      </c>
      <c r="G95" s="6">
        <v>15786.99</v>
      </c>
      <c r="H95" s="7">
        <f t="shared" si="7"/>
        <v>6.3791999959201817E-3</v>
      </c>
      <c r="I95" s="6">
        <f>MAX($G95:$G$1261)</f>
        <v>16057.44</v>
      </c>
      <c r="J95" s="7">
        <f t="shared" si="8"/>
        <v>-1.6842659851134423E-2</v>
      </c>
      <c r="K95" s="6">
        <f t="shared" si="9"/>
        <v>263.82795605482767</v>
      </c>
    </row>
    <row r="96" spans="1:11" x14ac:dyDescent="0.25">
      <c r="A96" s="2">
        <f>DATE(2021,12,7)</f>
        <v>44537</v>
      </c>
      <c r="B96" s="6">
        <v>171.18</v>
      </c>
      <c r="C96" s="7">
        <f t="shared" si="5"/>
        <v>3.5446406968304034E-2</v>
      </c>
      <c r="D96" s="6">
        <f>MAX($B96:$B$1261)</f>
        <v>171.18</v>
      </c>
      <c r="E96" s="7">
        <f t="shared" si="6"/>
        <v>0</v>
      </c>
      <c r="G96" s="6">
        <v>15686.92</v>
      </c>
      <c r="H96" s="7">
        <f t="shared" si="7"/>
        <v>3.0329422041819099E-2</v>
      </c>
      <c r="I96" s="6">
        <f>MAX($G96:$G$1261)</f>
        <v>16057.44</v>
      </c>
      <c r="J96" s="7">
        <f t="shared" si="8"/>
        <v>-2.3074661963550902E-2</v>
      </c>
      <c r="K96" s="6">
        <f t="shared" si="9"/>
        <v>262.15561296964125</v>
      </c>
    </row>
    <row r="97" spans="1:11" x14ac:dyDescent="0.25">
      <c r="A97" s="2">
        <f>DATE(2021,12,6)</f>
        <v>44536</v>
      </c>
      <c r="B97" s="6">
        <v>165.32</v>
      </c>
      <c r="C97" s="7">
        <f t="shared" si="5"/>
        <v>2.1502718734552673E-2</v>
      </c>
      <c r="D97" s="6">
        <f>MAX($B97:$B$1261)</f>
        <v>165.32</v>
      </c>
      <c r="E97" s="7">
        <f t="shared" si="6"/>
        <v>0</v>
      </c>
      <c r="G97" s="6">
        <v>15225.15</v>
      </c>
      <c r="H97" s="7">
        <f t="shared" si="7"/>
        <v>9.2592408456615427E-3</v>
      </c>
      <c r="I97" s="6">
        <f>MAX($G97:$G$1261)</f>
        <v>16057.44</v>
      </c>
      <c r="J97" s="7">
        <f t="shared" si="8"/>
        <v>-5.1832047947867221E-2</v>
      </c>
      <c r="K97" s="6">
        <f t="shared" si="9"/>
        <v>254.43863618892257</v>
      </c>
    </row>
    <row r="98" spans="1:11" x14ac:dyDescent="0.25">
      <c r="A98" s="2">
        <f>DATE(2021,12,3)</f>
        <v>44533</v>
      </c>
      <c r="B98" s="6">
        <v>161.84</v>
      </c>
      <c r="C98" s="7">
        <f t="shared" si="5"/>
        <v>-1.1724474841230959E-2</v>
      </c>
      <c r="D98" s="6">
        <f>MAX($B98:$B$1261)</f>
        <v>165.3</v>
      </c>
      <c r="E98" s="7">
        <f t="shared" si="6"/>
        <v>-2.0931639443436234E-2</v>
      </c>
      <c r="G98" s="6">
        <v>15085.47</v>
      </c>
      <c r="H98" s="7">
        <f t="shared" si="7"/>
        <v>-1.9234370002054413E-2</v>
      </c>
      <c r="I98" s="6">
        <f>MAX($G98:$G$1261)</f>
        <v>16057.44</v>
      </c>
      <c r="J98" s="7">
        <f t="shared" si="8"/>
        <v>-6.0530819358503019E-2</v>
      </c>
      <c r="K98" s="6">
        <f t="shared" si="9"/>
        <v>252.1043413739047</v>
      </c>
    </row>
    <row r="99" spans="1:11" x14ac:dyDescent="0.25">
      <c r="A99" s="2">
        <f>DATE(2021,12,2)</f>
        <v>44532</v>
      </c>
      <c r="B99" s="6">
        <v>163.76</v>
      </c>
      <c r="C99" s="7">
        <f t="shared" si="5"/>
        <v>-6.1297566304546747E-3</v>
      </c>
      <c r="D99" s="6">
        <f>MAX($B99:$B$1261)</f>
        <v>165.3</v>
      </c>
      <c r="E99" s="7">
        <f t="shared" si="6"/>
        <v>-9.3163944343619409E-3</v>
      </c>
      <c r="G99" s="6">
        <v>15381.32</v>
      </c>
      <c r="H99" s="7">
        <f t="shared" si="7"/>
        <v>8.3433579934508728E-3</v>
      </c>
      <c r="I99" s="6">
        <f>MAX($G99:$G$1261)</f>
        <v>16057.44</v>
      </c>
      <c r="J99" s="7">
        <f t="shared" si="8"/>
        <v>-4.2106338245697983E-2</v>
      </c>
      <c r="K99" s="6">
        <f t="shared" si="9"/>
        <v>257.04850747515775</v>
      </c>
    </row>
    <row r="100" spans="1:11" x14ac:dyDescent="0.25">
      <c r="A100" s="2">
        <f>DATE(2021,12,1)</f>
        <v>44531</v>
      </c>
      <c r="B100" s="6">
        <v>164.77</v>
      </c>
      <c r="C100" s="7">
        <f t="shared" si="5"/>
        <v>-3.2062915910465728E-3</v>
      </c>
      <c r="D100" s="6">
        <f>MAX($B100:$B$1261)</f>
        <v>165.3</v>
      </c>
      <c r="E100" s="7">
        <f t="shared" si="6"/>
        <v>-3.2062915910465728E-3</v>
      </c>
      <c r="G100" s="6">
        <v>15254.05</v>
      </c>
      <c r="H100" s="7">
        <f t="shared" si="7"/>
        <v>-1.8254965828253811E-2</v>
      </c>
      <c r="I100" s="6">
        <f>MAX($G100:$G$1261)</f>
        <v>16057.44</v>
      </c>
      <c r="J100" s="7">
        <f t="shared" si="8"/>
        <v>-5.0032259189509709E-2</v>
      </c>
      <c r="K100" s="6">
        <f t="shared" si="9"/>
        <v>254.9216052621901</v>
      </c>
    </row>
    <row r="101" spans="1:11" x14ac:dyDescent="0.25">
      <c r="A101" s="2">
        <f>DATE(2021,11,30)</f>
        <v>44530</v>
      </c>
      <c r="B101" s="6">
        <v>165.3</v>
      </c>
      <c r="C101" s="7">
        <f t="shared" si="5"/>
        <v>3.1577633549675577E-2</v>
      </c>
      <c r="D101" s="6">
        <f>MAX($B101:$B$1261)</f>
        <v>165.3</v>
      </c>
      <c r="E101" s="7">
        <f t="shared" si="6"/>
        <v>0</v>
      </c>
      <c r="G101" s="6">
        <v>15537.69</v>
      </c>
      <c r="H101" s="7">
        <f t="shared" si="7"/>
        <v>-1.5532068710110924E-2</v>
      </c>
      <c r="I101" s="6">
        <f>MAX($G101:$G$1261)</f>
        <v>16057.44</v>
      </c>
      <c r="J101" s="7">
        <f t="shared" si="8"/>
        <v>-3.2368173258003785E-2</v>
      </c>
      <c r="K101" s="6">
        <f t="shared" si="9"/>
        <v>259.66172110792076</v>
      </c>
    </row>
    <row r="102" spans="1:11" x14ac:dyDescent="0.25">
      <c r="A102" s="2">
        <f>DATE(2021,11,29)</f>
        <v>44529</v>
      </c>
      <c r="B102" s="6">
        <v>160.24</v>
      </c>
      <c r="C102" s="7">
        <f t="shared" si="5"/>
        <v>2.1873604999681273E-2</v>
      </c>
      <c r="D102" s="6">
        <f>MAX($B102:$B$1261)</f>
        <v>161.94</v>
      </c>
      <c r="E102" s="7">
        <f t="shared" si="6"/>
        <v>-1.0497715203161562E-2</v>
      </c>
      <c r="G102" s="6">
        <v>15782.83</v>
      </c>
      <c r="H102" s="7">
        <f t="shared" si="7"/>
        <v>1.8795274360526859E-2</v>
      </c>
      <c r="I102" s="6">
        <f>MAX($G102:$G$1261)</f>
        <v>16057.44</v>
      </c>
      <c r="J102" s="7">
        <f t="shared" si="8"/>
        <v>-1.7101729790053755E-2</v>
      </c>
      <c r="K102" s="6">
        <f t="shared" si="9"/>
        <v>263.75843524704925</v>
      </c>
    </row>
    <row r="103" spans="1:11" x14ac:dyDescent="0.25">
      <c r="A103" s="2">
        <f>DATE(2021,11,26)</f>
        <v>44526</v>
      </c>
      <c r="B103" s="6">
        <v>156.81</v>
      </c>
      <c r="C103" s="7">
        <f t="shared" si="5"/>
        <v>-3.1678399407187863E-2</v>
      </c>
      <c r="D103" s="6">
        <f>MAX($B103:$B$1261)</f>
        <v>161.94</v>
      </c>
      <c r="E103" s="7">
        <f t="shared" si="6"/>
        <v>-3.1678399407187863E-2</v>
      </c>
      <c r="G103" s="6">
        <v>15491.66</v>
      </c>
      <c r="H103" s="7">
        <f t="shared" si="7"/>
        <v>-2.2313970829075935E-2</v>
      </c>
      <c r="I103" s="6">
        <f>MAX($G103:$G$1261)</f>
        <v>16057.44</v>
      </c>
      <c r="J103" s="7">
        <f t="shared" si="8"/>
        <v>-3.5234757221574542E-2</v>
      </c>
      <c r="K103" s="6">
        <f t="shared" si="9"/>
        <v>258.89248005454681</v>
      </c>
    </row>
    <row r="104" spans="1:11" x14ac:dyDescent="0.25">
      <c r="A104" s="2">
        <f>DATE(2021,11,24)</f>
        <v>44524</v>
      </c>
      <c r="B104" s="6">
        <v>161.94</v>
      </c>
      <c r="C104" s="7">
        <f t="shared" si="5"/>
        <v>3.2835635958119447E-3</v>
      </c>
      <c r="D104" s="6">
        <f>MAX($B104:$B$1261)</f>
        <v>161.94</v>
      </c>
      <c r="E104" s="7">
        <f t="shared" si="6"/>
        <v>0</v>
      </c>
      <c r="G104" s="6">
        <v>15845.23</v>
      </c>
      <c r="H104" s="7">
        <f t="shared" si="7"/>
        <v>4.4430667493284837E-3</v>
      </c>
      <c r="I104" s="6">
        <f>MAX($G104:$G$1261)</f>
        <v>16057.44</v>
      </c>
      <c r="J104" s="7">
        <f t="shared" si="8"/>
        <v>-1.3215680706264554E-2</v>
      </c>
      <c r="K104" s="6">
        <f t="shared" si="9"/>
        <v>264.80124736372386</v>
      </c>
    </row>
    <row r="105" spans="1:11" x14ac:dyDescent="0.25">
      <c r="A105" s="2">
        <f>DATE(2021,11,23)</f>
        <v>44523</v>
      </c>
      <c r="B105" s="6">
        <v>161.41</v>
      </c>
      <c r="C105" s="7">
        <f t="shared" si="5"/>
        <v>2.4220593715065242E-3</v>
      </c>
      <c r="D105" s="6">
        <f>MAX($B105:$B$1261)</f>
        <v>161.41</v>
      </c>
      <c r="E105" s="7">
        <f t="shared" si="6"/>
        <v>0</v>
      </c>
      <c r="G105" s="6">
        <v>15775.14</v>
      </c>
      <c r="H105" s="7">
        <f t="shared" si="7"/>
        <v>-5.0218357136910807E-3</v>
      </c>
      <c r="I105" s="6">
        <f>MAX($G105:$G$1261)</f>
        <v>16057.44</v>
      </c>
      <c r="J105" s="7">
        <f t="shared" si="8"/>
        <v>-1.7580635518488652E-2</v>
      </c>
      <c r="K105" s="6">
        <f t="shared" si="9"/>
        <v>263.62992202305514</v>
      </c>
    </row>
    <row r="106" spans="1:11" x14ac:dyDescent="0.25">
      <c r="A106" s="2">
        <f>DATE(2021,11,22)</f>
        <v>44522</v>
      </c>
      <c r="B106" s="6">
        <v>161.02000000000001</v>
      </c>
      <c r="C106" s="7">
        <f t="shared" si="5"/>
        <v>2.9274369355341001E-3</v>
      </c>
      <c r="D106" s="6">
        <f>MAX($B106:$B$1261)</f>
        <v>161.02000000000001</v>
      </c>
      <c r="E106" s="7">
        <f t="shared" si="6"/>
        <v>0</v>
      </c>
      <c r="G106" s="6">
        <v>15854.76</v>
      </c>
      <c r="H106" s="7">
        <f t="shared" si="7"/>
        <v>-1.2622186350999876E-2</v>
      </c>
      <c r="I106" s="6">
        <f>MAX($G106:$G$1261)</f>
        <v>16057.44</v>
      </c>
      <c r="J106" s="7">
        <f t="shared" si="8"/>
        <v>-1.2622186350999876E-2</v>
      </c>
      <c r="K106" s="6">
        <f t="shared" si="9"/>
        <v>264.96051017577366</v>
      </c>
    </row>
    <row r="107" spans="1:11" x14ac:dyDescent="0.25">
      <c r="A107" s="2">
        <f>DATE(2021,11,19)</f>
        <v>44519</v>
      </c>
      <c r="B107" s="6">
        <v>160.55000000000001</v>
      </c>
      <c r="C107" s="7">
        <f t="shared" si="5"/>
        <v>1.6975992905555293E-2</v>
      </c>
      <c r="D107" s="6">
        <f>MAX($B107:$B$1261)</f>
        <v>160.55000000000001</v>
      </c>
      <c r="E107" s="7">
        <f t="shared" si="6"/>
        <v>0</v>
      </c>
      <c r="G107" s="6">
        <v>16057.44</v>
      </c>
      <c r="H107" s="7">
        <f t="shared" si="7"/>
        <v>3.9846914818388868E-3</v>
      </c>
      <c r="I107" s="6">
        <f>MAX($G107:$G$1261)</f>
        <v>16057.44</v>
      </c>
      <c r="J107" s="7">
        <f t="shared" si="8"/>
        <v>0</v>
      </c>
      <c r="K107" s="6">
        <f t="shared" si="9"/>
        <v>268.34764414704955</v>
      </c>
    </row>
    <row r="108" spans="1:11" x14ac:dyDescent="0.25">
      <c r="A108" s="2">
        <f>DATE(2021,11,18)</f>
        <v>44518</v>
      </c>
      <c r="B108" s="6">
        <v>157.87</v>
      </c>
      <c r="C108" s="7">
        <f t="shared" si="5"/>
        <v>2.8536060981171341E-2</v>
      </c>
      <c r="D108" s="6">
        <f>MAX($B108:$B$1261)</f>
        <v>157.87</v>
      </c>
      <c r="E108" s="7">
        <f t="shared" si="6"/>
        <v>0</v>
      </c>
      <c r="G108" s="6">
        <v>15993.71</v>
      </c>
      <c r="H108" s="7">
        <f t="shared" si="7"/>
        <v>4.5309602005330074E-3</v>
      </c>
      <c r="I108" s="6">
        <f>MAX($G108:$G$1261)</f>
        <v>15993.71</v>
      </c>
      <c r="J108" s="7">
        <f t="shared" si="8"/>
        <v>0</v>
      </c>
      <c r="K108" s="6">
        <f t="shared" si="9"/>
        <v>267.28260542596502</v>
      </c>
    </row>
    <row r="109" spans="1:11" x14ac:dyDescent="0.25">
      <c r="A109" s="2">
        <f>DATE(2021,11,17)</f>
        <v>44517</v>
      </c>
      <c r="B109" s="6">
        <v>153.49</v>
      </c>
      <c r="C109" s="7">
        <f t="shared" si="5"/>
        <v>1.6490066225165689E-2</v>
      </c>
      <c r="D109" s="6">
        <f>MAX($B109:$B$1261)</f>
        <v>156.69</v>
      </c>
      <c r="E109" s="7">
        <f t="shared" si="6"/>
        <v>-2.0422490267406945E-2</v>
      </c>
      <c r="G109" s="6">
        <v>15921.57</v>
      </c>
      <c r="H109" s="7">
        <f t="shared" si="7"/>
        <v>-3.2734730365735487E-3</v>
      </c>
      <c r="I109" s="6">
        <f>MAX($G109:$G$1261)</f>
        <v>15982.36</v>
      </c>
      <c r="J109" s="7">
        <f t="shared" si="8"/>
        <v>-3.8035684341987119E-3</v>
      </c>
      <c r="K109" s="6">
        <f t="shared" si="9"/>
        <v>266.07702103338636</v>
      </c>
    </row>
    <row r="110" spans="1:11" x14ac:dyDescent="0.25">
      <c r="A110" s="2">
        <f>DATE(2021,11,16)</f>
        <v>44516</v>
      </c>
      <c r="B110" s="6">
        <v>151</v>
      </c>
      <c r="C110" s="7">
        <f t="shared" si="5"/>
        <v>6.6666666666665986E-3</v>
      </c>
      <c r="D110" s="6">
        <f>MAX($B110:$B$1261)</f>
        <v>156.69</v>
      </c>
      <c r="E110" s="7">
        <f t="shared" si="6"/>
        <v>-3.6313740506732972E-2</v>
      </c>
      <c r="G110" s="6">
        <v>15973.86</v>
      </c>
      <c r="H110" s="7">
        <f t="shared" si="7"/>
        <v>7.5697701189301192E-3</v>
      </c>
      <c r="I110" s="6">
        <f>MAX($G110:$G$1261)</f>
        <v>15982.36</v>
      </c>
      <c r="J110" s="7">
        <f t="shared" si="8"/>
        <v>-5.3183634957543191E-4</v>
      </c>
      <c r="K110" s="6">
        <f t="shared" si="9"/>
        <v>266.95087753308053</v>
      </c>
    </row>
    <row r="111" spans="1:11" x14ac:dyDescent="0.25">
      <c r="A111" s="2">
        <f>DATE(2021,11,15)</f>
        <v>44515</v>
      </c>
      <c r="B111" s="6">
        <v>150</v>
      </c>
      <c r="C111" s="7">
        <f t="shared" si="5"/>
        <v>6.6671111407456962E-5</v>
      </c>
      <c r="D111" s="6">
        <f>MAX($B111:$B$1261)</f>
        <v>156.69</v>
      </c>
      <c r="E111" s="7">
        <f t="shared" si="6"/>
        <v>-4.2695768715297677E-2</v>
      </c>
      <c r="G111" s="6">
        <v>15853.85</v>
      </c>
      <c r="H111" s="7">
        <f t="shared" si="7"/>
        <v>-4.4827047038764611E-4</v>
      </c>
      <c r="I111" s="6">
        <f>MAX($G111:$G$1261)</f>
        <v>15982.36</v>
      </c>
      <c r="J111" s="7">
        <f t="shared" si="8"/>
        <v>-8.0407399157571557E-3</v>
      </c>
      <c r="K111" s="6">
        <f t="shared" si="9"/>
        <v>264.94530249907217</v>
      </c>
    </row>
    <row r="112" spans="1:11" x14ac:dyDescent="0.25">
      <c r="A112" s="2">
        <f>DATE(2021,11,12)</f>
        <v>44512</v>
      </c>
      <c r="B112" s="6">
        <v>149.99</v>
      </c>
      <c r="C112" s="7">
        <f t="shared" si="5"/>
        <v>1.433691756272415E-2</v>
      </c>
      <c r="D112" s="6">
        <f>MAX($B112:$B$1261)</f>
        <v>156.69</v>
      </c>
      <c r="E112" s="7">
        <f t="shared" si="6"/>
        <v>-4.2759588997383302E-2</v>
      </c>
      <c r="G112" s="6">
        <v>15860.96</v>
      </c>
      <c r="H112" s="7">
        <f t="shared" si="7"/>
        <v>9.9768980176104805E-3</v>
      </c>
      <c r="I112" s="6">
        <f>MAX($G112:$G$1261)</f>
        <v>15982.36</v>
      </c>
      <c r="J112" s="7">
        <f t="shared" si="8"/>
        <v>-7.5958744515829402E-3</v>
      </c>
      <c r="K112" s="6">
        <f t="shared" si="9"/>
        <v>265.06412291813558</v>
      </c>
    </row>
    <row r="113" spans="1:11" x14ac:dyDescent="0.25">
      <c r="A113" s="2">
        <f>DATE(2021,11,11)</f>
        <v>44511</v>
      </c>
      <c r="B113" s="6">
        <v>147.87</v>
      </c>
      <c r="C113" s="7">
        <f t="shared" si="5"/>
        <v>-3.3802055164944278E-4</v>
      </c>
      <c r="D113" s="6">
        <f>MAX($B113:$B$1261)</f>
        <v>156.69</v>
      </c>
      <c r="E113" s="7">
        <f t="shared" si="6"/>
        <v>-5.6289488799540432E-2</v>
      </c>
      <c r="G113" s="6">
        <v>15704.28</v>
      </c>
      <c r="H113" s="7">
        <f t="shared" si="7"/>
        <v>5.2212452257003328E-3</v>
      </c>
      <c r="I113" s="6">
        <f>MAX($G113:$G$1261)</f>
        <v>15982.36</v>
      </c>
      <c r="J113" s="7">
        <f t="shared" si="8"/>
        <v>-1.7399182598815233E-2</v>
      </c>
      <c r="K113" s="6">
        <f t="shared" si="9"/>
        <v>262.44572864825449</v>
      </c>
    </row>
    <row r="114" spans="1:11" x14ac:dyDescent="0.25">
      <c r="A114" s="2">
        <f>DATE(2021,11,10)</f>
        <v>44510</v>
      </c>
      <c r="B114" s="6">
        <v>147.91999999999999</v>
      </c>
      <c r="C114" s="7">
        <f t="shared" si="5"/>
        <v>-1.9163185465154942E-2</v>
      </c>
      <c r="D114" s="6">
        <f>MAX($B114:$B$1261)</f>
        <v>156.69</v>
      </c>
      <c r="E114" s="7">
        <f t="shared" si="6"/>
        <v>-5.5970387389112308E-2</v>
      </c>
      <c r="G114" s="6">
        <v>15622.71</v>
      </c>
      <c r="H114" s="7">
        <f t="shared" si="7"/>
        <v>-1.660714038424993E-2</v>
      </c>
      <c r="I114" s="6">
        <f>MAX($G114:$G$1261)</f>
        <v>15982.36</v>
      </c>
      <c r="J114" s="7">
        <f t="shared" si="8"/>
        <v>-2.2502934485270076E-2</v>
      </c>
      <c r="K114" s="6">
        <f t="shared" si="9"/>
        <v>261.08255261688987</v>
      </c>
    </row>
    <row r="115" spans="1:11" x14ac:dyDescent="0.25">
      <c r="A115" s="2">
        <f>DATE(2021,11,9)</f>
        <v>44509</v>
      </c>
      <c r="B115" s="6">
        <v>150.81</v>
      </c>
      <c r="C115" s="7">
        <f t="shared" si="5"/>
        <v>2.4594522733316637E-3</v>
      </c>
      <c r="D115" s="6">
        <f>MAX($B115:$B$1261)</f>
        <v>156.69</v>
      </c>
      <c r="E115" s="7">
        <f t="shared" si="6"/>
        <v>-3.7526325866360288E-2</v>
      </c>
      <c r="G115" s="6">
        <v>15886.54</v>
      </c>
      <c r="H115" s="7">
        <f t="shared" si="7"/>
        <v>-5.9953598842723554E-3</v>
      </c>
      <c r="I115" s="6">
        <f>MAX($G115:$G$1261)</f>
        <v>15982.36</v>
      </c>
      <c r="J115" s="7">
        <f t="shared" si="8"/>
        <v>-5.9953598842723554E-3</v>
      </c>
      <c r="K115" s="6">
        <f t="shared" si="9"/>
        <v>265.49160903904163</v>
      </c>
    </row>
    <row r="116" spans="1:11" x14ac:dyDescent="0.25">
      <c r="A116" s="2">
        <f>DATE(2021,11,8)</f>
        <v>44508</v>
      </c>
      <c r="B116" s="6">
        <v>150.44</v>
      </c>
      <c r="C116" s="7">
        <f t="shared" si="5"/>
        <v>-5.5526176626123913E-3</v>
      </c>
      <c r="D116" s="6">
        <f>MAX($B116:$B$1261)</f>
        <v>156.69</v>
      </c>
      <c r="E116" s="7">
        <f t="shared" si="6"/>
        <v>-3.9887676303529296E-2</v>
      </c>
      <c r="G116" s="6">
        <v>15982.36</v>
      </c>
      <c r="H116" s="7">
        <f t="shared" si="7"/>
        <v>6.7432234361142207E-4</v>
      </c>
      <c r="I116" s="6">
        <f>MAX($G116:$G$1261)</f>
        <v>15982.36</v>
      </c>
      <c r="J116" s="7">
        <f t="shared" si="8"/>
        <v>0</v>
      </c>
      <c r="K116" s="6">
        <f t="shared" si="9"/>
        <v>267.09292726051217</v>
      </c>
    </row>
    <row r="117" spans="1:11" x14ac:dyDescent="0.25">
      <c r="A117" s="2">
        <f>DATE(2021,11,5)</f>
        <v>44505</v>
      </c>
      <c r="B117" s="6">
        <v>151.28</v>
      </c>
      <c r="C117" s="7">
        <f t="shared" si="5"/>
        <v>2.1197668256491831E-3</v>
      </c>
      <c r="D117" s="6">
        <f>MAX($B117:$B$1261)</f>
        <v>156.69</v>
      </c>
      <c r="E117" s="7">
        <f t="shared" si="6"/>
        <v>-3.4526772608334921E-2</v>
      </c>
      <c r="G117" s="6">
        <v>15971.59</v>
      </c>
      <c r="H117" s="7">
        <f t="shared" si="7"/>
        <v>1.9623206825964967E-3</v>
      </c>
      <c r="I117" s="6">
        <f>MAX($G117:$G$1261)</f>
        <v>15971.59</v>
      </c>
      <c r="J117" s="7">
        <f t="shared" si="8"/>
        <v>0</v>
      </c>
      <c r="K117" s="6">
        <f t="shared" si="9"/>
        <v>266.91294189998996</v>
      </c>
    </row>
    <row r="118" spans="1:11" x14ac:dyDescent="0.25">
      <c r="A118" s="2">
        <f>DATE(2021,11,4)</f>
        <v>44504</v>
      </c>
      <c r="B118" s="6">
        <v>150.96</v>
      </c>
      <c r="C118" s="7">
        <f t="shared" si="5"/>
        <v>-3.4985807644069E-3</v>
      </c>
      <c r="D118" s="6">
        <f>MAX($B118:$B$1261)</f>
        <v>156.69</v>
      </c>
      <c r="E118" s="7">
        <f t="shared" si="6"/>
        <v>-3.6569021635075583E-2</v>
      </c>
      <c r="G118" s="6">
        <v>15940.31</v>
      </c>
      <c r="H118" s="7">
        <f t="shared" si="7"/>
        <v>8.1415013553356452E-3</v>
      </c>
      <c r="I118" s="6">
        <f>MAX($G118:$G$1261)</f>
        <v>15940.31</v>
      </c>
      <c r="J118" s="7">
        <f t="shared" si="8"/>
        <v>0</v>
      </c>
      <c r="K118" s="6">
        <f t="shared" si="9"/>
        <v>266.39019890304155</v>
      </c>
    </row>
    <row r="119" spans="1:11" x14ac:dyDescent="0.25">
      <c r="A119" s="2">
        <f>DATE(2021,11,3)</f>
        <v>44503</v>
      </c>
      <c r="B119" s="6">
        <v>151.49</v>
      </c>
      <c r="C119" s="7">
        <f t="shared" si="5"/>
        <v>9.7986935075322634E-3</v>
      </c>
      <c r="D119" s="6">
        <f>MAX($B119:$B$1261)</f>
        <v>156.69</v>
      </c>
      <c r="E119" s="7">
        <f t="shared" si="6"/>
        <v>-3.3186546684536244E-2</v>
      </c>
      <c r="G119" s="6">
        <v>15811.58</v>
      </c>
      <c r="H119" s="7">
        <f t="shared" si="7"/>
        <v>1.0350424291994731E-2</v>
      </c>
      <c r="I119" s="6">
        <f>MAX($G119:$G$1261)</f>
        <v>15811.58</v>
      </c>
      <c r="J119" s="7">
        <f t="shared" si="8"/>
        <v>0</v>
      </c>
      <c r="K119" s="6">
        <f t="shared" si="9"/>
        <v>264.23889756042098</v>
      </c>
    </row>
    <row r="120" spans="1:11" x14ac:dyDescent="0.25">
      <c r="A120" s="2">
        <f>DATE(2021,11,2)</f>
        <v>44502</v>
      </c>
      <c r="B120" s="6">
        <v>150.02000000000001</v>
      </c>
      <c r="C120" s="7">
        <f t="shared" si="5"/>
        <v>7.1160042964555359E-3</v>
      </c>
      <c r="D120" s="6">
        <f>MAX($B120:$B$1261)</f>
        <v>156.69</v>
      </c>
      <c r="E120" s="7">
        <f t="shared" si="6"/>
        <v>-4.2568128151126317E-2</v>
      </c>
      <c r="G120" s="6">
        <v>15649.6</v>
      </c>
      <c r="H120" s="7">
        <f t="shared" si="7"/>
        <v>3.4419258370137484E-3</v>
      </c>
      <c r="I120" s="6">
        <f>MAX($G120:$G$1261)</f>
        <v>15649.6</v>
      </c>
      <c r="J120" s="7">
        <f t="shared" si="8"/>
        <v>0</v>
      </c>
      <c r="K120" s="6">
        <f t="shared" si="9"/>
        <v>261.53193110755308</v>
      </c>
    </row>
    <row r="121" spans="1:11" x14ac:dyDescent="0.25">
      <c r="A121" s="2">
        <f>DATE(2021,11,1)</f>
        <v>44501</v>
      </c>
      <c r="B121" s="6">
        <v>148.96</v>
      </c>
      <c r="C121" s="7">
        <f t="shared" si="5"/>
        <v>-5.6074766355140859E-3</v>
      </c>
      <c r="D121" s="6">
        <f>MAX($B121:$B$1261)</f>
        <v>156.69</v>
      </c>
      <c r="E121" s="7">
        <f t="shared" si="6"/>
        <v>-4.9333078052204882E-2</v>
      </c>
      <c r="G121" s="6">
        <v>15595.92</v>
      </c>
      <c r="H121" s="7">
        <f t="shared" si="7"/>
        <v>6.2929117153458503E-3</v>
      </c>
      <c r="I121" s="6">
        <f>MAX($G121:$G$1261)</f>
        <v>15595.92</v>
      </c>
      <c r="J121" s="7">
        <f t="shared" si="8"/>
        <v>0</v>
      </c>
      <c r="K121" s="6">
        <f t="shared" si="9"/>
        <v>260.63484529949068</v>
      </c>
    </row>
    <row r="122" spans="1:11" x14ac:dyDescent="0.25">
      <c r="A122" s="2">
        <f>DATE(2021,10,29)</f>
        <v>44498</v>
      </c>
      <c r="B122" s="6">
        <v>149.80000000000001</v>
      </c>
      <c r="C122" s="7">
        <f t="shared" si="5"/>
        <v>-1.81556007078717E-2</v>
      </c>
      <c r="D122" s="6">
        <f>MAX($B122:$B$1261)</f>
        <v>156.69</v>
      </c>
      <c r="E122" s="7">
        <f t="shared" si="6"/>
        <v>-4.3972174357010618E-2</v>
      </c>
      <c r="G122" s="6">
        <v>15498.39</v>
      </c>
      <c r="H122" s="7">
        <f t="shared" si="7"/>
        <v>3.2541176531513116E-3</v>
      </c>
      <c r="I122" s="6">
        <f>MAX($G122:$G$1261)</f>
        <v>15498.39</v>
      </c>
      <c r="J122" s="7">
        <f t="shared" si="8"/>
        <v>0</v>
      </c>
      <c r="K122" s="6">
        <f t="shared" si="9"/>
        <v>259.00495001520738</v>
      </c>
    </row>
    <row r="123" spans="1:11" x14ac:dyDescent="0.25">
      <c r="A123" s="2">
        <f>DATE(2021,10,28)</f>
        <v>44497</v>
      </c>
      <c r="B123" s="6">
        <v>152.57</v>
      </c>
      <c r="C123" s="7">
        <f t="shared" si="5"/>
        <v>2.4991602284178738E-2</v>
      </c>
      <c r="D123" s="6">
        <f>MAX($B123:$B$1261)</f>
        <v>156.69</v>
      </c>
      <c r="E123" s="7">
        <f t="shared" si="6"/>
        <v>-2.6293956219286541E-2</v>
      </c>
      <c r="G123" s="6">
        <v>15448.12</v>
      </c>
      <c r="H123" s="7">
        <f t="shared" si="7"/>
        <v>1.3932937074687013E-2</v>
      </c>
      <c r="I123" s="6">
        <f>MAX($G123:$G$1261)</f>
        <v>15448.12</v>
      </c>
      <c r="J123" s="7">
        <f t="shared" si="8"/>
        <v>0</v>
      </c>
      <c r="K123" s="6">
        <f t="shared" si="9"/>
        <v>258.164851215444</v>
      </c>
    </row>
    <row r="124" spans="1:11" x14ac:dyDescent="0.25">
      <c r="A124" s="2">
        <f>DATE(2021,10,27)</f>
        <v>44496</v>
      </c>
      <c r="B124" s="6">
        <v>148.85</v>
      </c>
      <c r="C124" s="7">
        <f t="shared" si="5"/>
        <v>-3.1476024645057388E-3</v>
      </c>
      <c r="D124" s="6">
        <f>MAX($B124:$B$1261)</f>
        <v>156.69</v>
      </c>
      <c r="E124" s="7">
        <f t="shared" si="6"/>
        <v>-5.0035101155147088E-2</v>
      </c>
      <c r="G124" s="6">
        <v>15235.84</v>
      </c>
      <c r="H124" s="7">
        <f t="shared" si="7"/>
        <v>8.5325856162832281E-6</v>
      </c>
      <c r="I124" s="6">
        <f>MAX($G124:$G$1261)</f>
        <v>15374.33</v>
      </c>
      <c r="J124" s="7">
        <f t="shared" si="8"/>
        <v>-9.0078722129679489E-3</v>
      </c>
      <c r="K124" s="6">
        <f t="shared" si="9"/>
        <v>254.61728461083356</v>
      </c>
    </row>
    <row r="125" spans="1:11" x14ac:dyDescent="0.25">
      <c r="A125" s="2">
        <f>DATE(2021,10,26)</f>
        <v>44495</v>
      </c>
      <c r="B125" s="6">
        <v>149.32</v>
      </c>
      <c r="C125" s="7">
        <f t="shared" si="5"/>
        <v>4.5748116254036297E-3</v>
      </c>
      <c r="D125" s="6">
        <f>MAX($B125:$B$1261)</f>
        <v>156.69</v>
      </c>
      <c r="E125" s="7">
        <f t="shared" si="6"/>
        <v>-4.7035547897121721E-2</v>
      </c>
      <c r="G125" s="6">
        <v>15235.71</v>
      </c>
      <c r="H125" s="7">
        <f t="shared" si="7"/>
        <v>5.910666191186742E-4</v>
      </c>
      <c r="I125" s="6">
        <f>MAX($G125:$G$1261)</f>
        <v>15374.33</v>
      </c>
      <c r="J125" s="7">
        <f t="shared" si="8"/>
        <v>-9.0163278659948221E-3</v>
      </c>
      <c r="K125" s="6">
        <f t="shared" si="9"/>
        <v>254.61511208559048</v>
      </c>
    </row>
    <row r="126" spans="1:11" x14ac:dyDescent="0.25">
      <c r="A126" s="2">
        <f>DATE(2021,10,25)</f>
        <v>44494</v>
      </c>
      <c r="B126" s="6">
        <v>148.63999999999999</v>
      </c>
      <c r="C126" s="7">
        <f t="shared" si="5"/>
        <v>-3.3627009213810233E-4</v>
      </c>
      <c r="D126" s="6">
        <f>MAX($B126:$B$1261)</f>
        <v>156.69</v>
      </c>
      <c r="E126" s="7">
        <f t="shared" si="6"/>
        <v>-5.1375327078945765E-2</v>
      </c>
      <c r="G126" s="6">
        <v>15226.71</v>
      </c>
      <c r="H126" s="7">
        <f t="shared" si="7"/>
        <v>9.0462684391192649E-3</v>
      </c>
      <c r="I126" s="6">
        <f>MAX($G126:$G$1261)</f>
        <v>15374.33</v>
      </c>
      <c r="J126" s="7">
        <f t="shared" si="8"/>
        <v>-9.6017192293909037E-3</v>
      </c>
      <c r="K126" s="6">
        <f t="shared" si="9"/>
        <v>254.46470649183934</v>
      </c>
    </row>
    <row r="127" spans="1:11" x14ac:dyDescent="0.25">
      <c r="A127" s="2">
        <f>DATE(2021,10,22)</f>
        <v>44491</v>
      </c>
      <c r="B127" s="6">
        <v>148.69</v>
      </c>
      <c r="C127" s="7">
        <f t="shared" si="5"/>
        <v>-5.2849879582552717E-3</v>
      </c>
      <c r="D127" s="6">
        <f>MAX($B127:$B$1261)</f>
        <v>156.69</v>
      </c>
      <c r="E127" s="7">
        <f t="shared" si="6"/>
        <v>-5.1056225668517419E-2</v>
      </c>
      <c r="G127" s="6">
        <v>15090.2</v>
      </c>
      <c r="H127" s="7">
        <f t="shared" si="7"/>
        <v>-8.2480595700493708E-3</v>
      </c>
      <c r="I127" s="6">
        <f>MAX($G127:$G$1261)</f>
        <v>15374.33</v>
      </c>
      <c r="J127" s="7">
        <f t="shared" si="8"/>
        <v>-1.8480805342411588E-2</v>
      </c>
      <c r="K127" s="6">
        <f t="shared" si="9"/>
        <v>252.18338786928723</v>
      </c>
    </row>
    <row r="128" spans="1:11" x14ac:dyDescent="0.25">
      <c r="A128" s="2">
        <f>DATE(2021,10,21)</f>
        <v>44490</v>
      </c>
      <c r="B128" s="6">
        <v>149.47999999999999</v>
      </c>
      <c r="C128" s="7">
        <f t="shared" si="5"/>
        <v>1.473938094600058E-3</v>
      </c>
      <c r="D128" s="6">
        <f>MAX($B128:$B$1261)</f>
        <v>156.69</v>
      </c>
      <c r="E128" s="7">
        <f t="shared" si="6"/>
        <v>-4.6014423383751391E-2</v>
      </c>
      <c r="G128" s="6">
        <v>15215.7</v>
      </c>
      <c r="H128" s="7">
        <f t="shared" si="7"/>
        <v>6.2175631279064447E-3</v>
      </c>
      <c r="I128" s="6">
        <f>MAX($G128:$G$1261)</f>
        <v>15374.33</v>
      </c>
      <c r="J128" s="7">
        <f t="shared" si="8"/>
        <v>-1.0317847997278529E-2</v>
      </c>
      <c r="K128" s="6">
        <f t="shared" si="9"/>
        <v>254.28071031548382</v>
      </c>
    </row>
    <row r="129" spans="1:11" x14ac:dyDescent="0.25">
      <c r="A129" s="2">
        <f>DATE(2021,10,20)</f>
        <v>44489</v>
      </c>
      <c r="B129" s="6">
        <v>149.26</v>
      </c>
      <c r="C129" s="7">
        <f t="shared" si="5"/>
        <v>3.3611185802635557E-3</v>
      </c>
      <c r="D129" s="6">
        <f>MAX($B129:$B$1261)</f>
        <v>156.69</v>
      </c>
      <c r="E129" s="7">
        <f t="shared" si="6"/>
        <v>-4.7418469589635581E-2</v>
      </c>
      <c r="G129" s="6">
        <v>15121.68</v>
      </c>
      <c r="H129" s="7">
        <f t="shared" si="7"/>
        <v>-4.8978491105544641E-4</v>
      </c>
      <c r="I129" s="6">
        <f>MAX($G129:$G$1261)</f>
        <v>15374.33</v>
      </c>
      <c r="J129" s="7">
        <f t="shared" si="8"/>
        <v>-1.6433236440222099E-2</v>
      </c>
      <c r="K129" s="6">
        <f t="shared" si="9"/>
        <v>252.70947321276347</v>
      </c>
    </row>
    <row r="130" spans="1:11" x14ac:dyDescent="0.25">
      <c r="A130" s="2">
        <f>DATE(2021,10,19)</f>
        <v>44488</v>
      </c>
      <c r="B130" s="6">
        <v>148.76</v>
      </c>
      <c r="C130" s="7">
        <f t="shared" ref="C130:C193" si="10">IFERROR(B130/B131-1,0)</f>
        <v>1.5080177413851814E-2</v>
      </c>
      <c r="D130" s="6">
        <f>MAX($B130:$B$1261)</f>
        <v>156.69</v>
      </c>
      <c r="E130" s="7">
        <f t="shared" ref="E130:E193" si="11">$B130/$D130-1</f>
        <v>-5.0609483693917934E-2</v>
      </c>
      <c r="G130" s="6">
        <v>15129.09</v>
      </c>
      <c r="H130" s="7">
        <f t="shared" ref="H130:H193" si="12">IFERROR(G130/G131-1,0)</f>
        <v>7.1416160902049164E-3</v>
      </c>
      <c r="I130" s="6">
        <f>MAX($G130:$G$1261)</f>
        <v>15374.33</v>
      </c>
      <c r="J130" s="7">
        <f t="shared" ref="J130:J193" si="13">$G130/$I130-1</f>
        <v>-1.5951264217692773E-2</v>
      </c>
      <c r="K130" s="6">
        <f t="shared" ref="K130:K193" si="14">$K131*(1+H130)</f>
        <v>252.83330715161858</v>
      </c>
    </row>
    <row r="131" spans="1:11" x14ac:dyDescent="0.25">
      <c r="A131" s="2">
        <f>DATE(2021,10,18)</f>
        <v>44487</v>
      </c>
      <c r="B131" s="6">
        <v>146.55000000000001</v>
      </c>
      <c r="C131" s="7">
        <f t="shared" si="10"/>
        <v>1.1806130903065482E-2</v>
      </c>
      <c r="D131" s="6">
        <f>MAX($B131:$B$1261)</f>
        <v>156.69</v>
      </c>
      <c r="E131" s="7">
        <f t="shared" si="11"/>
        <v>-6.4713766034845799E-2</v>
      </c>
      <c r="G131" s="6">
        <v>15021.81</v>
      </c>
      <c r="H131" s="7">
        <f t="shared" si="12"/>
        <v>8.355182871573108E-3</v>
      </c>
      <c r="I131" s="6">
        <f>MAX($G131:$G$1261)</f>
        <v>15374.33</v>
      </c>
      <c r="J131" s="7">
        <f t="shared" si="13"/>
        <v>-2.2929129269373072E-2</v>
      </c>
      <c r="K131" s="6">
        <f t="shared" si="14"/>
        <v>251.04047247410486</v>
      </c>
    </row>
    <row r="132" spans="1:11" x14ac:dyDescent="0.25">
      <c r="A132" s="2">
        <f>DATE(2021,10,15)</f>
        <v>44484</v>
      </c>
      <c r="B132" s="6">
        <v>144.84</v>
      </c>
      <c r="C132" s="7">
        <f t="shared" si="10"/>
        <v>7.5125208681137146E-3</v>
      </c>
      <c r="D132" s="6">
        <f>MAX($B132:$B$1261)</f>
        <v>156.69</v>
      </c>
      <c r="E132" s="7">
        <f t="shared" si="11"/>
        <v>-7.5627034271491422E-2</v>
      </c>
      <c r="G132" s="6">
        <v>14897.34</v>
      </c>
      <c r="H132" s="7">
        <f t="shared" si="12"/>
        <v>4.9860255015201638E-3</v>
      </c>
      <c r="I132" s="6">
        <f>MAX($G132:$G$1261)</f>
        <v>15374.33</v>
      </c>
      <c r="J132" s="7">
        <f t="shared" si="13"/>
        <v>-3.1025091825139683E-2</v>
      </c>
      <c r="K132" s="6">
        <f t="shared" si="14"/>
        <v>248.96036311252647</v>
      </c>
    </row>
    <row r="133" spans="1:11" x14ac:dyDescent="0.25">
      <c r="A133" s="2">
        <f>DATE(2021,10,14)</f>
        <v>44483</v>
      </c>
      <c r="B133" s="6">
        <v>143.76</v>
      </c>
      <c r="C133" s="7">
        <f t="shared" si="10"/>
        <v>2.0225675963380763E-2</v>
      </c>
      <c r="D133" s="6">
        <f>MAX($B133:$B$1261)</f>
        <v>156.69</v>
      </c>
      <c r="E133" s="7">
        <f t="shared" si="11"/>
        <v>-8.2519624736741348E-2</v>
      </c>
      <c r="G133" s="6">
        <v>14823.43</v>
      </c>
      <c r="H133" s="7">
        <f t="shared" si="12"/>
        <v>1.7279455160846835E-2</v>
      </c>
      <c r="I133" s="6">
        <f>MAX($G133:$G$1261)</f>
        <v>15374.33</v>
      </c>
      <c r="J133" s="7">
        <f t="shared" si="13"/>
        <v>-3.5832455788317286E-2</v>
      </c>
      <c r="K133" s="6">
        <f t="shared" si="14"/>
        <v>247.72519895317677</v>
      </c>
    </row>
    <row r="134" spans="1:11" x14ac:dyDescent="0.25">
      <c r="A134" s="2">
        <f>DATE(2021,10,13)</f>
        <v>44482</v>
      </c>
      <c r="B134" s="6">
        <v>140.91</v>
      </c>
      <c r="C134" s="7">
        <f t="shared" si="10"/>
        <v>-4.2399830400677851E-3</v>
      </c>
      <c r="D134" s="6">
        <f>MAX($B134:$B$1261)</f>
        <v>156.69</v>
      </c>
      <c r="E134" s="7">
        <f t="shared" si="11"/>
        <v>-0.10070840513115065</v>
      </c>
      <c r="G134" s="6">
        <v>14571.64</v>
      </c>
      <c r="H134" s="7">
        <f t="shared" si="12"/>
        <v>7.3082112993849702E-3</v>
      </c>
      <c r="I134" s="6">
        <f>MAX($G134:$G$1261)</f>
        <v>15374.33</v>
      </c>
      <c r="J134" s="7">
        <f t="shared" si="13"/>
        <v>-5.2209754831592736E-2</v>
      </c>
      <c r="K134" s="6">
        <f t="shared" si="14"/>
        <v>243.51735179199878</v>
      </c>
    </row>
    <row r="135" spans="1:11" x14ac:dyDescent="0.25">
      <c r="A135" s="2">
        <f>DATE(2021,10,12)</f>
        <v>44481</v>
      </c>
      <c r="B135" s="6">
        <v>141.51</v>
      </c>
      <c r="C135" s="7">
        <f t="shared" si="10"/>
        <v>-9.1030039913172489E-3</v>
      </c>
      <c r="D135" s="6">
        <f>MAX($B135:$B$1261)</f>
        <v>156.69</v>
      </c>
      <c r="E135" s="7">
        <f t="shared" si="11"/>
        <v>-9.6879188206011935E-2</v>
      </c>
      <c r="G135" s="6">
        <v>14465.92</v>
      </c>
      <c r="H135" s="7">
        <f t="shared" si="12"/>
        <v>-1.3999530587732734E-3</v>
      </c>
      <c r="I135" s="6">
        <f>MAX($G135:$G$1261)</f>
        <v>15374.33</v>
      </c>
      <c r="J135" s="7">
        <f t="shared" si="13"/>
        <v>-5.9086152046951002E-2</v>
      </c>
      <c r="K135" s="6">
        <f t="shared" si="14"/>
        <v>241.75058741740196</v>
      </c>
    </row>
    <row r="136" spans="1:11" x14ac:dyDescent="0.25">
      <c r="A136" s="2">
        <f>DATE(2021,10,11)</f>
        <v>44480</v>
      </c>
      <c r="B136" s="6">
        <v>142.81</v>
      </c>
      <c r="C136" s="7">
        <f t="shared" si="10"/>
        <v>-6.2981105668302728E-4</v>
      </c>
      <c r="D136" s="6">
        <f>MAX($B136:$B$1261)</f>
        <v>156.69</v>
      </c>
      <c r="E136" s="7">
        <f t="shared" si="11"/>
        <v>-8.8582551534877707E-2</v>
      </c>
      <c r="G136" s="6">
        <v>14486.2</v>
      </c>
      <c r="H136" s="7">
        <f t="shared" si="12"/>
        <v>-6.4021224263591803E-3</v>
      </c>
      <c r="I136" s="6">
        <f>MAX($G136:$G$1261)</f>
        <v>15374.33</v>
      </c>
      <c r="J136" s="7">
        <f t="shared" si="13"/>
        <v>-5.7767070174765234E-2</v>
      </c>
      <c r="K136" s="6">
        <f t="shared" si="14"/>
        <v>242.08950135532123</v>
      </c>
    </row>
    <row r="137" spans="1:11" x14ac:dyDescent="0.25">
      <c r="A137" s="2">
        <f>DATE(2021,10,8)</f>
        <v>44477</v>
      </c>
      <c r="B137" s="6">
        <v>142.9</v>
      </c>
      <c r="C137" s="7">
        <f t="shared" si="10"/>
        <v>-2.7217530881428198E-3</v>
      </c>
      <c r="D137" s="6">
        <f>MAX($B137:$B$1261)</f>
        <v>156.69</v>
      </c>
      <c r="E137" s="7">
        <f t="shared" si="11"/>
        <v>-8.8008168996106861E-2</v>
      </c>
      <c r="G137" s="6">
        <v>14579.54</v>
      </c>
      <c r="H137" s="7">
        <f t="shared" si="12"/>
        <v>-5.0825643748267924E-3</v>
      </c>
      <c r="I137" s="6">
        <f>MAX($G137:$G$1261)</f>
        <v>15374.33</v>
      </c>
      <c r="J137" s="7">
        <f t="shared" si="13"/>
        <v>-5.169591130150053E-2</v>
      </c>
      <c r="K137" s="6">
        <f t="shared" si="14"/>
        <v>243.64937447984704</v>
      </c>
    </row>
    <row r="138" spans="1:11" x14ac:dyDescent="0.25">
      <c r="A138" s="2">
        <f>DATE(2021,10,7)</f>
        <v>44476</v>
      </c>
      <c r="B138" s="6">
        <v>143.29</v>
      </c>
      <c r="C138" s="7">
        <f t="shared" si="10"/>
        <v>9.0845070422533869E-3</v>
      </c>
      <c r="D138" s="6">
        <f>MAX($B138:$B$1261)</f>
        <v>156.69</v>
      </c>
      <c r="E138" s="7">
        <f t="shared" si="11"/>
        <v>-8.5519177994766826E-2</v>
      </c>
      <c r="G138" s="6">
        <v>14654.02</v>
      </c>
      <c r="H138" s="7">
        <f t="shared" si="12"/>
        <v>1.0488963177953892E-2</v>
      </c>
      <c r="I138" s="6">
        <f>MAX($G138:$G$1261)</f>
        <v>15374.33</v>
      </c>
      <c r="J138" s="7">
        <f t="shared" si="13"/>
        <v>-4.6851472551974638E-2</v>
      </c>
      <c r="K138" s="6">
        <f t="shared" si="14"/>
        <v>244.89406432680099</v>
      </c>
    </row>
    <row r="139" spans="1:11" x14ac:dyDescent="0.25">
      <c r="A139" s="2">
        <f>DATE(2021,10,6)</f>
        <v>44475</v>
      </c>
      <c r="B139" s="6">
        <v>142</v>
      </c>
      <c r="C139" s="7">
        <f t="shared" si="10"/>
        <v>6.3071362766635719E-3</v>
      </c>
      <c r="D139" s="6">
        <f>MAX($B139:$B$1261)</f>
        <v>156.69</v>
      </c>
      <c r="E139" s="7">
        <f t="shared" si="11"/>
        <v>-9.3751994383815207E-2</v>
      </c>
      <c r="G139" s="6">
        <v>14501.91</v>
      </c>
      <c r="H139" s="7">
        <f t="shared" si="12"/>
        <v>4.7166968157446032E-3</v>
      </c>
      <c r="I139" s="6">
        <f>MAX($G139:$G$1261)</f>
        <v>15374.33</v>
      </c>
      <c r="J139" s="7">
        <f t="shared" si="13"/>
        <v>-5.6745237028215212E-2</v>
      </c>
      <c r="K139" s="6">
        <f t="shared" si="14"/>
        <v>242.35204267508016</v>
      </c>
    </row>
    <row r="140" spans="1:11" x14ac:dyDescent="0.25">
      <c r="A140" s="2">
        <f>DATE(2021,10,5)</f>
        <v>44474</v>
      </c>
      <c r="B140" s="6">
        <v>141.11000000000001</v>
      </c>
      <c r="C140" s="7">
        <f t="shared" si="10"/>
        <v>1.4158401609889459E-2</v>
      </c>
      <c r="D140" s="6">
        <f>MAX($B140:$B$1261)</f>
        <v>156.69</v>
      </c>
      <c r="E140" s="7">
        <f t="shared" si="11"/>
        <v>-9.9431999489437595E-2</v>
      </c>
      <c r="G140" s="6">
        <v>14433.83</v>
      </c>
      <c r="H140" s="7">
        <f t="shared" si="12"/>
        <v>1.2510978234335113E-2</v>
      </c>
      <c r="I140" s="6">
        <f>MAX($G140:$G$1261)</f>
        <v>15374.33</v>
      </c>
      <c r="J140" s="7">
        <f t="shared" si="13"/>
        <v>-6.1173397474881819E-2</v>
      </c>
      <c r="K140" s="6">
        <f t="shared" si="14"/>
        <v>241.21430791701593</v>
      </c>
    </row>
    <row r="141" spans="1:11" x14ac:dyDescent="0.25">
      <c r="A141" s="2">
        <f>DATE(2021,10,4)</f>
        <v>44473</v>
      </c>
      <c r="B141" s="6">
        <v>139.13999999999999</v>
      </c>
      <c r="C141" s="7">
        <f t="shared" si="10"/>
        <v>-2.4605678233438621E-2</v>
      </c>
      <c r="D141" s="6">
        <f>MAX($B141:$B$1261)</f>
        <v>156.69</v>
      </c>
      <c r="E141" s="7">
        <f t="shared" si="11"/>
        <v>-0.11200459506031024</v>
      </c>
      <c r="G141" s="6">
        <v>14255.48</v>
      </c>
      <c r="H141" s="7">
        <f t="shared" si="12"/>
        <v>-2.1365168500758647E-2</v>
      </c>
      <c r="I141" s="6">
        <f>MAX($G141:$G$1261)</f>
        <v>15374.33</v>
      </c>
      <c r="J141" s="7">
        <f t="shared" si="13"/>
        <v>-7.2773902992845918E-2</v>
      </c>
      <c r="K141" s="6">
        <f t="shared" si="14"/>
        <v>238.23377040084733</v>
      </c>
    </row>
    <row r="142" spans="1:11" x14ac:dyDescent="0.25">
      <c r="A142" s="2">
        <f>DATE(2021,10,1)</f>
        <v>44470</v>
      </c>
      <c r="B142" s="6">
        <v>142.65</v>
      </c>
      <c r="C142" s="7">
        <f t="shared" si="10"/>
        <v>8.1272084805654732E-3</v>
      </c>
      <c r="D142" s="6">
        <f>MAX($B142:$B$1261)</f>
        <v>156.69</v>
      </c>
      <c r="E142" s="7">
        <f t="shared" si="11"/>
        <v>-8.9603676048248038E-2</v>
      </c>
      <c r="G142" s="6">
        <v>14566.7</v>
      </c>
      <c r="H142" s="7">
        <f t="shared" si="12"/>
        <v>8.1751978395108171E-3</v>
      </c>
      <c r="I142" s="6">
        <f>MAX($G142:$G$1261)</f>
        <v>15374.33</v>
      </c>
      <c r="J142" s="7">
        <f t="shared" si="13"/>
        <v>-5.2531069646612139E-2</v>
      </c>
      <c r="K142" s="6">
        <f t="shared" si="14"/>
        <v>243.43479583276206</v>
      </c>
    </row>
    <row r="143" spans="1:11" x14ac:dyDescent="0.25">
      <c r="A143" s="2">
        <f>DATE(2021,9,30)</f>
        <v>44469</v>
      </c>
      <c r="B143" s="6">
        <v>141.5</v>
      </c>
      <c r="C143" s="7">
        <f t="shared" si="10"/>
        <v>-9.3117692361549542E-3</v>
      </c>
      <c r="D143" s="6">
        <f>MAX($B143:$B$1261)</f>
        <v>156.69</v>
      </c>
      <c r="E143" s="7">
        <f t="shared" si="11"/>
        <v>-9.694300848809756E-2</v>
      </c>
      <c r="G143" s="6">
        <v>14448.58</v>
      </c>
      <c r="H143" s="7">
        <f t="shared" si="12"/>
        <v>-4.4003627232912512E-3</v>
      </c>
      <c r="I143" s="6">
        <f>MAX($G143:$G$1261)</f>
        <v>15374.33</v>
      </c>
      <c r="J143" s="7">
        <f t="shared" si="13"/>
        <v>-6.0214006073760595E-2</v>
      </c>
      <c r="K143" s="6">
        <f t="shared" si="14"/>
        <v>241.46080597344144</v>
      </c>
    </row>
    <row r="144" spans="1:11" x14ac:dyDescent="0.25">
      <c r="A144" s="2">
        <f>DATE(2021,9,29)</f>
        <v>44468</v>
      </c>
      <c r="B144" s="6">
        <v>142.83000000000001</v>
      </c>
      <c r="C144" s="7">
        <f t="shared" si="10"/>
        <v>6.482982171799101E-3</v>
      </c>
      <c r="D144" s="6">
        <f>MAX($B144:$B$1261)</f>
        <v>156.69</v>
      </c>
      <c r="E144" s="7">
        <f t="shared" si="11"/>
        <v>-8.8454910970706346E-2</v>
      </c>
      <c r="G144" s="6">
        <v>14512.44</v>
      </c>
      <c r="H144" s="7">
        <f t="shared" si="12"/>
        <v>-2.3538016922074467E-3</v>
      </c>
      <c r="I144" s="6">
        <f>MAX($G144:$G$1261)</f>
        <v>15374.33</v>
      </c>
      <c r="J144" s="7">
        <f t="shared" si="13"/>
        <v>-5.606032913304182E-2</v>
      </c>
      <c r="K144" s="6">
        <f t="shared" si="14"/>
        <v>242.52801721976905</v>
      </c>
    </row>
    <row r="145" spans="1:11" x14ac:dyDescent="0.25">
      <c r="A145" s="2">
        <f>DATE(2021,9,28)</f>
        <v>44467</v>
      </c>
      <c r="B145" s="6">
        <v>141.91</v>
      </c>
      <c r="C145" s="7">
        <f t="shared" si="10"/>
        <v>-2.3801334525693107E-2</v>
      </c>
      <c r="D145" s="6">
        <f>MAX($B145:$B$1261)</f>
        <v>156.69</v>
      </c>
      <c r="E145" s="7">
        <f t="shared" si="11"/>
        <v>-9.4326376922586053E-2</v>
      </c>
      <c r="G145" s="6">
        <v>14546.68</v>
      </c>
      <c r="H145" s="7">
        <f t="shared" si="12"/>
        <v>-2.8275941768754365E-2</v>
      </c>
      <c r="I145" s="6">
        <f>MAX($G145:$G$1261)</f>
        <v>15374.33</v>
      </c>
      <c r="J145" s="7">
        <f t="shared" si="13"/>
        <v>-5.383324021274416E-2</v>
      </c>
      <c r="K145" s="6">
        <f t="shared" si="14"/>
        <v>243.10022694532898</v>
      </c>
    </row>
    <row r="146" spans="1:11" x14ac:dyDescent="0.25">
      <c r="A146" s="2">
        <f>DATE(2021,9,27)</f>
        <v>44466</v>
      </c>
      <c r="B146" s="6">
        <v>145.37</v>
      </c>
      <c r="C146" s="7">
        <f t="shared" si="10"/>
        <v>-1.0549959161448297E-2</v>
      </c>
      <c r="D146" s="6">
        <f>MAX($B146:$B$1261)</f>
        <v>156.69</v>
      </c>
      <c r="E146" s="7">
        <f t="shared" si="11"/>
        <v>-7.2244559320952195E-2</v>
      </c>
      <c r="G146" s="6">
        <v>14969.97</v>
      </c>
      <c r="H146" s="7">
        <f t="shared" si="12"/>
        <v>-5.1655734763452754E-3</v>
      </c>
      <c r="I146" s="6">
        <f>MAX($G146:$G$1261)</f>
        <v>15374.33</v>
      </c>
      <c r="J146" s="7">
        <f t="shared" si="13"/>
        <v>-2.6300983522534072E-2</v>
      </c>
      <c r="K146" s="6">
        <f t="shared" si="14"/>
        <v>250.1741362540983</v>
      </c>
    </row>
    <row r="147" spans="1:11" x14ac:dyDescent="0.25">
      <c r="A147" s="2">
        <f>DATE(2021,9,24)</f>
        <v>44463</v>
      </c>
      <c r="B147" s="6">
        <v>146.91999999999999</v>
      </c>
      <c r="C147" s="7">
        <f t="shared" si="10"/>
        <v>6.1295375604419888E-4</v>
      </c>
      <c r="D147" s="6">
        <f>MAX($B147:$B$1261)</f>
        <v>156.69</v>
      </c>
      <c r="E147" s="7">
        <f t="shared" si="11"/>
        <v>-6.2352415597677013E-2</v>
      </c>
      <c r="G147" s="6">
        <v>15047.7</v>
      </c>
      <c r="H147" s="7">
        <f t="shared" si="12"/>
        <v>-3.0161623784896729E-4</v>
      </c>
      <c r="I147" s="6">
        <f>MAX($G147:$G$1261)</f>
        <v>15374.33</v>
      </c>
      <c r="J147" s="7">
        <f t="shared" si="13"/>
        <v>-2.1245153447337128E-2</v>
      </c>
      <c r="K147" s="6">
        <f t="shared" si="14"/>
        <v>251.47313923212906</v>
      </c>
    </row>
    <row r="148" spans="1:11" x14ac:dyDescent="0.25">
      <c r="A148" s="2">
        <f>DATE(2021,9,23)</f>
        <v>44462</v>
      </c>
      <c r="B148" s="6">
        <v>146.83000000000001</v>
      </c>
      <c r="C148" s="7">
        <f t="shared" si="10"/>
        <v>6.7192320877615952E-3</v>
      </c>
      <c r="D148" s="6">
        <f>MAX($B148:$B$1261)</f>
        <v>156.69</v>
      </c>
      <c r="E148" s="7">
        <f t="shared" si="11"/>
        <v>-6.2926798136447637E-2</v>
      </c>
      <c r="G148" s="6">
        <v>15052.24</v>
      </c>
      <c r="H148" s="7">
        <f t="shared" si="12"/>
        <v>1.0431064285402636E-2</v>
      </c>
      <c r="I148" s="6">
        <f>MAX($G148:$G$1261)</f>
        <v>15374.33</v>
      </c>
      <c r="J148" s="7">
        <f t="shared" si="13"/>
        <v>-2.0949856026246327E-2</v>
      </c>
      <c r="K148" s="6">
        <f t="shared" si="14"/>
        <v>251.5490104983102</v>
      </c>
    </row>
    <row r="149" spans="1:11" x14ac:dyDescent="0.25">
      <c r="A149" s="2">
        <f>DATE(2021,9,22)</f>
        <v>44461</v>
      </c>
      <c r="B149" s="6">
        <v>145.85</v>
      </c>
      <c r="C149" s="7">
        <f t="shared" si="10"/>
        <v>1.6872341908944932E-2</v>
      </c>
      <c r="D149" s="6">
        <f>MAX($B149:$B$1261)</f>
        <v>156.69</v>
      </c>
      <c r="E149" s="7">
        <f t="shared" si="11"/>
        <v>-6.9181185780841203E-2</v>
      </c>
      <c r="G149" s="6">
        <v>14896.85</v>
      </c>
      <c r="H149" s="7">
        <f t="shared" si="12"/>
        <v>1.0202490099278538E-2</v>
      </c>
      <c r="I149" s="6">
        <f>MAX($G149:$G$1261)</f>
        <v>15374.33</v>
      </c>
      <c r="J149" s="7">
        <f t="shared" si="13"/>
        <v>-3.1056963132702342E-2</v>
      </c>
      <c r="K149" s="6">
        <f t="shared" si="14"/>
        <v>248.9521743635334</v>
      </c>
    </row>
    <row r="150" spans="1:11" x14ac:dyDescent="0.25">
      <c r="A150" s="2">
        <f>DATE(2021,9,21)</f>
        <v>44460</v>
      </c>
      <c r="B150" s="6">
        <v>143.43</v>
      </c>
      <c r="C150" s="7">
        <f t="shared" si="10"/>
        <v>3.4280117531833021E-3</v>
      </c>
      <c r="D150" s="6">
        <f>MAX($B150:$B$1261)</f>
        <v>156.69</v>
      </c>
      <c r="E150" s="7">
        <f t="shared" si="11"/>
        <v>-8.4625694045567634E-2</v>
      </c>
      <c r="G150" s="6">
        <v>14746.4</v>
      </c>
      <c r="H150" s="7">
        <f t="shared" si="12"/>
        <v>2.2087957645491318E-3</v>
      </c>
      <c r="I150" s="6">
        <f>MAX($G150:$G$1261)</f>
        <v>15374.33</v>
      </c>
      <c r="J150" s="7">
        <f t="shared" si="13"/>
        <v>-4.0842755424138844E-2</v>
      </c>
      <c r="K150" s="6">
        <f t="shared" si="14"/>
        <v>246.43789418799335</v>
      </c>
    </row>
    <row r="151" spans="1:11" x14ac:dyDescent="0.25">
      <c r="A151" s="2">
        <f>DATE(2021,9,20)</f>
        <v>44459</v>
      </c>
      <c r="B151" s="6">
        <v>142.94</v>
      </c>
      <c r="C151" s="7">
        <f t="shared" si="10"/>
        <v>-2.1361084485827742E-2</v>
      </c>
      <c r="D151" s="6">
        <f>MAX($B151:$B$1261)</f>
        <v>156.69</v>
      </c>
      <c r="E151" s="7">
        <f t="shared" si="11"/>
        <v>-8.7752887867764362E-2</v>
      </c>
      <c r="G151" s="6">
        <v>14713.9</v>
      </c>
      <c r="H151" s="7">
        <f t="shared" si="12"/>
        <v>-2.1940352180973455E-2</v>
      </c>
      <c r="I151" s="6">
        <f>MAX($G151:$G$1261)</f>
        <v>15374.33</v>
      </c>
      <c r="J151" s="7">
        <f t="shared" si="13"/>
        <v>-4.2956668680846577E-2</v>
      </c>
      <c r="K151" s="6">
        <f t="shared" si="14"/>
        <v>245.89476287722533</v>
      </c>
    </row>
    <row r="152" spans="1:11" x14ac:dyDescent="0.25">
      <c r="A152" s="2">
        <f>DATE(2021,9,17)</f>
        <v>44456</v>
      </c>
      <c r="B152" s="6">
        <v>146.06</v>
      </c>
      <c r="C152" s="7">
        <f t="shared" si="10"/>
        <v>-1.8348007258552235E-2</v>
      </c>
      <c r="D152" s="6">
        <f>MAX($B152:$B$1261)</f>
        <v>156.69</v>
      </c>
      <c r="E152" s="7">
        <f t="shared" si="11"/>
        <v>-6.7840959857042527E-2</v>
      </c>
      <c r="G152" s="6">
        <v>15043.97</v>
      </c>
      <c r="H152" s="7">
        <f t="shared" si="12"/>
        <v>-9.0864660069346348E-3</v>
      </c>
      <c r="I152" s="6">
        <f>MAX($G152:$G$1261)</f>
        <v>15374.33</v>
      </c>
      <c r="J152" s="7">
        <f t="shared" si="13"/>
        <v>-2.1487765645722523E-2</v>
      </c>
      <c r="K152" s="6">
        <f t="shared" si="14"/>
        <v>251.41080446938551</v>
      </c>
    </row>
    <row r="153" spans="1:11" x14ac:dyDescent="0.25">
      <c r="A153" s="2">
        <f>DATE(2021,9,16)</f>
        <v>44455</v>
      </c>
      <c r="B153" s="6">
        <v>148.79</v>
      </c>
      <c r="C153" s="7">
        <f t="shared" si="10"/>
        <v>-1.6104140106019127E-3</v>
      </c>
      <c r="D153" s="6">
        <f>MAX($B153:$B$1261)</f>
        <v>156.69</v>
      </c>
      <c r="E153" s="7">
        <f t="shared" si="11"/>
        <v>-5.0418022847661059E-2</v>
      </c>
      <c r="G153" s="6">
        <v>15181.92</v>
      </c>
      <c r="H153" s="7">
        <f t="shared" si="12"/>
        <v>1.3448510803328872E-3</v>
      </c>
      <c r="I153" s="6">
        <f>MAX($G153:$G$1261)</f>
        <v>15374.33</v>
      </c>
      <c r="J153" s="7">
        <f t="shared" si="13"/>
        <v>-1.2515016914558252E-2</v>
      </c>
      <c r="K153" s="6">
        <f t="shared" si="14"/>
        <v>253.71618798693785</v>
      </c>
    </row>
    <row r="154" spans="1:11" x14ac:dyDescent="0.25">
      <c r="A154" s="2">
        <f>DATE(2021,9,15)</f>
        <v>44454</v>
      </c>
      <c r="B154" s="6">
        <v>149.03</v>
      </c>
      <c r="C154" s="7">
        <f t="shared" si="10"/>
        <v>6.1436672967862815E-3</v>
      </c>
      <c r="D154" s="6">
        <f>MAX($B154:$B$1261)</f>
        <v>156.69</v>
      </c>
      <c r="E154" s="7">
        <f t="shared" si="11"/>
        <v>-4.8886336077605397E-2</v>
      </c>
      <c r="G154" s="6">
        <v>15161.53</v>
      </c>
      <c r="H154" s="7">
        <f t="shared" si="12"/>
        <v>8.2306141340200423E-3</v>
      </c>
      <c r="I154" s="6">
        <f>MAX($G154:$G$1261)</f>
        <v>15374.33</v>
      </c>
      <c r="J154" s="7">
        <f t="shared" si="13"/>
        <v>-1.3841253570074263E-2</v>
      </c>
      <c r="K154" s="6">
        <f t="shared" si="14"/>
        <v>253.37543575842832</v>
      </c>
    </row>
    <row r="155" spans="1:11" x14ac:dyDescent="0.25">
      <c r="A155" s="2">
        <f>DATE(2021,9,14)</f>
        <v>44453</v>
      </c>
      <c r="B155" s="6">
        <v>148.12</v>
      </c>
      <c r="C155" s="7">
        <f t="shared" si="10"/>
        <v>-9.5620193915079144E-3</v>
      </c>
      <c r="D155" s="6">
        <f>MAX($B155:$B$1261)</f>
        <v>156.69</v>
      </c>
      <c r="E155" s="7">
        <f t="shared" si="11"/>
        <v>-5.4693981747399256E-2</v>
      </c>
      <c r="G155" s="6">
        <v>15037.76</v>
      </c>
      <c r="H155" s="7">
        <f t="shared" si="12"/>
        <v>-4.4897316091139228E-3</v>
      </c>
      <c r="I155" s="6">
        <f>MAX($G155:$G$1261)</f>
        <v>15374.33</v>
      </c>
      <c r="J155" s="7">
        <f t="shared" si="13"/>
        <v>-2.1891685686465712E-2</v>
      </c>
      <c r="K155" s="6">
        <f t="shared" si="14"/>
        <v>251.30702460969724</v>
      </c>
    </row>
    <row r="156" spans="1:11" x14ac:dyDescent="0.25">
      <c r="A156" s="2">
        <f>DATE(2021,9,13)</f>
        <v>44452</v>
      </c>
      <c r="B156" s="6">
        <v>149.55000000000001</v>
      </c>
      <c r="C156" s="7">
        <f t="shared" si="10"/>
        <v>3.8934013559777103E-3</v>
      </c>
      <c r="D156" s="6">
        <f>MAX($B156:$B$1261)</f>
        <v>156.69</v>
      </c>
      <c r="E156" s="7">
        <f t="shared" si="11"/>
        <v>-4.5567681409151795E-2</v>
      </c>
      <c r="G156" s="6">
        <v>15105.58</v>
      </c>
      <c r="H156" s="7">
        <f t="shared" si="12"/>
        <v>-6.5561883868803239E-4</v>
      </c>
      <c r="I156" s="6">
        <f>MAX($G156:$G$1261)</f>
        <v>15374.33</v>
      </c>
      <c r="J156" s="7">
        <f t="shared" si="13"/>
        <v>-1.748043654585274E-2</v>
      </c>
      <c r="K156" s="6">
        <f t="shared" si="14"/>
        <v>252.44041431727533</v>
      </c>
    </row>
    <row r="157" spans="1:11" x14ac:dyDescent="0.25">
      <c r="A157" s="2">
        <f>DATE(2021,9,10)</f>
        <v>44449</v>
      </c>
      <c r="B157" s="6">
        <v>148.97</v>
      </c>
      <c r="C157" s="7">
        <f t="shared" si="10"/>
        <v>-3.3101836827416076E-2</v>
      </c>
      <c r="D157" s="6">
        <f>MAX($B157:$B$1261)</f>
        <v>156.69</v>
      </c>
      <c r="E157" s="7">
        <f t="shared" si="11"/>
        <v>-4.9269257770119368E-2</v>
      </c>
      <c r="G157" s="6">
        <v>15115.49</v>
      </c>
      <c r="H157" s="7">
        <f t="shared" si="12"/>
        <v>-8.7065728854130997E-3</v>
      </c>
      <c r="I157" s="6">
        <f>MAX($G157:$G$1261)</f>
        <v>15374.33</v>
      </c>
      <c r="J157" s="7">
        <f t="shared" si="13"/>
        <v>-1.683585561126888E-2</v>
      </c>
      <c r="K157" s="6">
        <f t="shared" si="14"/>
        <v>252.60602758772799</v>
      </c>
    </row>
    <row r="158" spans="1:11" x14ac:dyDescent="0.25">
      <c r="A158" s="2">
        <f>DATE(2021,9,9)</f>
        <v>44448</v>
      </c>
      <c r="B158" s="6">
        <v>154.07</v>
      </c>
      <c r="C158" s="7">
        <f t="shared" si="10"/>
        <v>-6.7049190896784072E-3</v>
      </c>
      <c r="D158" s="6">
        <f>MAX($B158:$B$1261)</f>
        <v>156.69</v>
      </c>
      <c r="E158" s="7">
        <f t="shared" si="11"/>
        <v>-1.6720913906439483E-2</v>
      </c>
      <c r="G158" s="6">
        <v>15248.25</v>
      </c>
      <c r="H158" s="7">
        <f t="shared" si="12"/>
        <v>-2.5113432382786183E-3</v>
      </c>
      <c r="I158" s="6">
        <f>MAX($G158:$G$1261)</f>
        <v>15374.33</v>
      </c>
      <c r="J158" s="7">
        <f t="shared" si="13"/>
        <v>-8.2006825663296645E-3</v>
      </c>
      <c r="K158" s="6">
        <f t="shared" si="14"/>
        <v>254.82467721288384</v>
      </c>
    </row>
    <row r="159" spans="1:11" x14ac:dyDescent="0.25">
      <c r="A159" s="2">
        <f>DATE(2021,9,8)</f>
        <v>44447</v>
      </c>
      <c r="B159" s="6">
        <v>155.11000000000001</v>
      </c>
      <c r="C159" s="7">
        <f t="shared" si="10"/>
        <v>-1.0083604569532056E-2</v>
      </c>
      <c r="D159" s="6">
        <f>MAX($B159:$B$1261)</f>
        <v>156.69</v>
      </c>
      <c r="E159" s="7">
        <f t="shared" si="11"/>
        <v>-1.0083604569532056E-2</v>
      </c>
      <c r="G159" s="6">
        <v>15286.64</v>
      </c>
      <c r="H159" s="7">
        <f t="shared" si="12"/>
        <v>-5.7036631840217122E-3</v>
      </c>
      <c r="I159" s="6">
        <f>MAX($G159:$G$1261)</f>
        <v>15374.33</v>
      </c>
      <c r="J159" s="7">
        <f t="shared" si="13"/>
        <v>-5.7036631840217122E-3</v>
      </c>
      <c r="K159" s="6">
        <f t="shared" si="14"/>
        <v>255.46624062889569</v>
      </c>
    </row>
    <row r="160" spans="1:11" x14ac:dyDescent="0.25">
      <c r="A160" s="2">
        <f>DATE(2021,9,7)</f>
        <v>44446</v>
      </c>
      <c r="B160" s="6">
        <v>156.69</v>
      </c>
      <c r="C160" s="7">
        <f t="shared" si="10"/>
        <v>1.5489306545690029E-2</v>
      </c>
      <c r="D160" s="6">
        <f>MAX($B160:$B$1261)</f>
        <v>156.69</v>
      </c>
      <c r="E160" s="7">
        <f t="shared" si="11"/>
        <v>0</v>
      </c>
      <c r="G160" s="6">
        <v>15374.33</v>
      </c>
      <c r="H160" s="7">
        <f t="shared" si="12"/>
        <v>7.0361479660907555E-4</v>
      </c>
      <c r="I160" s="6">
        <f>MAX($G160:$G$1261)</f>
        <v>15374.33</v>
      </c>
      <c r="J160" s="7">
        <f t="shared" si="13"/>
        <v>0</v>
      </c>
      <c r="K160" s="6">
        <f t="shared" si="14"/>
        <v>256.93169246401106</v>
      </c>
    </row>
    <row r="161" spans="1:11" x14ac:dyDescent="0.25">
      <c r="A161" s="2">
        <f>DATE(2021,9,3)</f>
        <v>44442</v>
      </c>
      <c r="B161" s="6">
        <v>154.30000000000001</v>
      </c>
      <c r="C161" s="7">
        <f t="shared" si="10"/>
        <v>4.2303937520338231E-3</v>
      </c>
      <c r="D161" s="6">
        <f>MAX($B161:$B$1261)</f>
        <v>154.30000000000001</v>
      </c>
      <c r="E161" s="7">
        <f t="shared" si="11"/>
        <v>0</v>
      </c>
      <c r="G161" s="6">
        <v>15363.52</v>
      </c>
      <c r="H161" s="7">
        <f t="shared" si="12"/>
        <v>2.1094266716585874E-3</v>
      </c>
      <c r="I161" s="6">
        <f>MAX($G161:$G$1261)</f>
        <v>15363.52</v>
      </c>
      <c r="J161" s="7">
        <f t="shared" si="13"/>
        <v>0</v>
      </c>
      <c r="K161" s="6">
        <f t="shared" si="14"/>
        <v>256.75103863418332</v>
      </c>
    </row>
    <row r="162" spans="1:11" x14ac:dyDescent="0.25">
      <c r="A162" s="2">
        <f>DATE(2021,9,2)</f>
        <v>44441</v>
      </c>
      <c r="B162" s="6">
        <v>153.65</v>
      </c>
      <c r="C162" s="7">
        <f t="shared" si="10"/>
        <v>7.4749196773982174E-3</v>
      </c>
      <c r="D162" s="6">
        <f>MAX($B162:$B$1261)</f>
        <v>153.65</v>
      </c>
      <c r="E162" s="7">
        <f t="shared" si="11"/>
        <v>0</v>
      </c>
      <c r="G162" s="6">
        <v>15331.18</v>
      </c>
      <c r="H162" s="7">
        <f t="shared" si="12"/>
        <v>1.4239636092383545E-3</v>
      </c>
      <c r="I162" s="6">
        <f>MAX($G162:$G$1261)</f>
        <v>15331.18</v>
      </c>
      <c r="J162" s="7">
        <f t="shared" si="13"/>
        <v>0</v>
      </c>
      <c r="K162" s="6">
        <f t="shared" si="14"/>
        <v>256.21058120063753</v>
      </c>
    </row>
    <row r="163" spans="1:11" x14ac:dyDescent="0.25">
      <c r="A163" s="2">
        <f>DATE(2021,9,1)</f>
        <v>44440</v>
      </c>
      <c r="B163" s="6">
        <v>152.51</v>
      </c>
      <c r="C163" s="7">
        <f t="shared" si="10"/>
        <v>4.4786932753735353E-3</v>
      </c>
      <c r="D163" s="6">
        <f>MAX($B163:$B$1261)</f>
        <v>153.12</v>
      </c>
      <c r="E163" s="7">
        <f t="shared" si="11"/>
        <v>-3.9838035527691718E-3</v>
      </c>
      <c r="G163" s="6">
        <v>15309.38</v>
      </c>
      <c r="H163" s="7">
        <f t="shared" si="12"/>
        <v>3.2858779336322197E-3</v>
      </c>
      <c r="I163" s="6">
        <f>MAX($G163:$G$1261)</f>
        <v>15309.38</v>
      </c>
      <c r="J163" s="7">
        <f t="shared" si="13"/>
        <v>0</v>
      </c>
      <c r="K163" s="6">
        <f t="shared" si="14"/>
        <v>255.84626542910695</v>
      </c>
    </row>
    <row r="164" spans="1:11" x14ac:dyDescent="0.25">
      <c r="A164" s="2">
        <f>DATE(2021,8,31)</f>
        <v>44439</v>
      </c>
      <c r="B164" s="6">
        <v>151.83000000000001</v>
      </c>
      <c r="C164" s="7">
        <f t="shared" si="10"/>
        <v>-8.4247648902820993E-3</v>
      </c>
      <c r="D164" s="6">
        <f>MAX($B164:$B$1261)</f>
        <v>153.12</v>
      </c>
      <c r="E164" s="7">
        <f t="shared" si="11"/>
        <v>-8.4247648902820993E-3</v>
      </c>
      <c r="G164" s="6">
        <v>15259.24</v>
      </c>
      <c r="H164" s="7">
        <f t="shared" si="12"/>
        <v>-4.3561168068151357E-4</v>
      </c>
      <c r="I164" s="6">
        <f>MAX($G164:$G$1261)</f>
        <v>15265.89</v>
      </c>
      <c r="J164" s="7">
        <f t="shared" si="13"/>
        <v>-4.3561168068151357E-4</v>
      </c>
      <c r="K164" s="6">
        <f t="shared" si="14"/>
        <v>255.00833915458668</v>
      </c>
    </row>
    <row r="165" spans="1:11" x14ac:dyDescent="0.25">
      <c r="A165" s="2">
        <f>DATE(2021,8,30)</f>
        <v>44438</v>
      </c>
      <c r="B165" s="6">
        <v>153.12</v>
      </c>
      <c r="C165" s="7">
        <f t="shared" si="10"/>
        <v>3.0417227456258411E-2</v>
      </c>
      <c r="D165" s="6">
        <f>MAX($B165:$B$1261)</f>
        <v>153.12</v>
      </c>
      <c r="E165" s="7">
        <f t="shared" si="11"/>
        <v>0</v>
      </c>
      <c r="G165" s="6">
        <v>15265.89</v>
      </c>
      <c r="H165" s="7">
        <f t="shared" si="12"/>
        <v>9.0148385604282844E-3</v>
      </c>
      <c r="I165" s="6">
        <f>MAX($G165:$G$1261)</f>
        <v>15265.89</v>
      </c>
      <c r="J165" s="7">
        <f t="shared" si="13"/>
        <v>0</v>
      </c>
      <c r="K165" s="6">
        <f t="shared" si="14"/>
        <v>255.11947217663612</v>
      </c>
    </row>
    <row r="166" spans="1:11" x14ac:dyDescent="0.25">
      <c r="A166" s="2">
        <f>DATE(2021,8,27)</f>
        <v>44435</v>
      </c>
      <c r="B166" s="6">
        <v>148.6</v>
      </c>
      <c r="C166" s="7">
        <f t="shared" si="10"/>
        <v>7.1844923410600003E-3</v>
      </c>
      <c r="D166" s="6">
        <f>MAX($B166:$B$1261)</f>
        <v>151.12</v>
      </c>
      <c r="E166" s="7">
        <f t="shared" si="11"/>
        <v>-1.6675489677077882E-2</v>
      </c>
      <c r="G166" s="6">
        <v>15129.5</v>
      </c>
      <c r="H166" s="7">
        <f t="shared" si="12"/>
        <v>1.2290401122455163E-2</v>
      </c>
      <c r="I166" s="6">
        <f>MAX($G166:$G$1261)</f>
        <v>15129.5</v>
      </c>
      <c r="J166" s="7">
        <f t="shared" si="13"/>
        <v>0</v>
      </c>
      <c r="K166" s="6">
        <f t="shared" si="14"/>
        <v>252.84015896200066</v>
      </c>
    </row>
    <row r="167" spans="1:11" x14ac:dyDescent="0.25">
      <c r="A167" s="2">
        <f>DATE(2021,8,26)</f>
        <v>44434</v>
      </c>
      <c r="B167" s="6">
        <v>147.54</v>
      </c>
      <c r="C167" s="7">
        <f t="shared" si="10"/>
        <v>-5.5270962523592537E-3</v>
      </c>
      <c r="D167" s="6">
        <f>MAX($B167:$B$1261)</f>
        <v>151.12</v>
      </c>
      <c r="E167" s="7">
        <f t="shared" si="11"/>
        <v>-2.3689782953943972E-2</v>
      </c>
      <c r="G167" s="6">
        <v>14945.81</v>
      </c>
      <c r="H167" s="7">
        <f t="shared" si="12"/>
        <v>-6.3855134936769975E-3</v>
      </c>
      <c r="I167" s="6">
        <f>MAX($G167:$G$1261)</f>
        <v>15041.86</v>
      </c>
      <c r="J167" s="7">
        <f t="shared" si="13"/>
        <v>-6.3855134936769975E-3</v>
      </c>
      <c r="K167" s="6">
        <f t="shared" si="14"/>
        <v>249.77038079353969</v>
      </c>
    </row>
    <row r="168" spans="1:11" x14ac:dyDescent="0.25">
      <c r="A168" s="2">
        <f>DATE(2021,8,25)</f>
        <v>44433</v>
      </c>
      <c r="B168" s="6">
        <v>148.36000000000001</v>
      </c>
      <c r="C168" s="7">
        <f t="shared" si="10"/>
        <v>-8.4213340462504505E-3</v>
      </c>
      <c r="D168" s="6">
        <f>MAX($B168:$B$1261)</f>
        <v>151.12</v>
      </c>
      <c r="E168" s="7">
        <f t="shared" si="11"/>
        <v>-1.8263631551085124E-2</v>
      </c>
      <c r="G168" s="6">
        <v>15041.86</v>
      </c>
      <c r="H168" s="7">
        <f t="shared" si="12"/>
        <v>1.4687279457783475E-3</v>
      </c>
      <c r="I168" s="6">
        <f>MAX($G168:$G$1261)</f>
        <v>15041.86</v>
      </c>
      <c r="J168" s="7">
        <f t="shared" si="13"/>
        <v>0</v>
      </c>
      <c r="K168" s="6">
        <f t="shared" si="14"/>
        <v>251.37554271351723</v>
      </c>
    </row>
    <row r="169" spans="1:11" x14ac:dyDescent="0.25">
      <c r="A169" s="2">
        <f>DATE(2021,8,24)</f>
        <v>44432</v>
      </c>
      <c r="B169" s="6">
        <v>149.62</v>
      </c>
      <c r="C169" s="7">
        <f t="shared" si="10"/>
        <v>-6.0116224701090015E-4</v>
      </c>
      <c r="D169" s="6">
        <f>MAX($B169:$B$1261)</f>
        <v>151.12</v>
      </c>
      <c r="E169" s="7">
        <f t="shared" si="11"/>
        <v>-9.9258867125463501E-3</v>
      </c>
      <c r="G169" s="6">
        <v>15019.8</v>
      </c>
      <c r="H169" s="7">
        <f t="shared" si="12"/>
        <v>5.1630734842882386E-3</v>
      </c>
      <c r="I169" s="6">
        <f>MAX($G169:$G$1261)</f>
        <v>15019.8</v>
      </c>
      <c r="J169" s="7">
        <f t="shared" si="13"/>
        <v>0</v>
      </c>
      <c r="K169" s="6">
        <f t="shared" si="14"/>
        <v>251.00688189150051</v>
      </c>
    </row>
    <row r="170" spans="1:11" x14ac:dyDescent="0.25">
      <c r="A170" s="2">
        <f>DATE(2021,8,23)</f>
        <v>44431</v>
      </c>
      <c r="B170" s="6">
        <v>149.71</v>
      </c>
      <c r="C170" s="7">
        <f t="shared" si="10"/>
        <v>1.0257102368580906E-2</v>
      </c>
      <c r="D170" s="6">
        <f>MAX($B170:$B$1261)</f>
        <v>151.12</v>
      </c>
      <c r="E170" s="7">
        <f t="shared" si="11"/>
        <v>-9.3303335097935092E-3</v>
      </c>
      <c r="G170" s="6">
        <v>14942.65</v>
      </c>
      <c r="H170" s="7">
        <f t="shared" si="12"/>
        <v>1.549407189836538E-2</v>
      </c>
      <c r="I170" s="6">
        <f>MAX($G170:$G$1261)</f>
        <v>14942.65</v>
      </c>
      <c r="J170" s="7">
        <f t="shared" si="13"/>
        <v>0</v>
      </c>
      <c r="K170" s="6">
        <f t="shared" si="14"/>
        <v>249.71757171840039</v>
      </c>
    </row>
    <row r="171" spans="1:11" x14ac:dyDescent="0.25">
      <c r="A171" s="2">
        <f>DATE(2021,8,20)</f>
        <v>44428</v>
      </c>
      <c r="B171" s="6">
        <v>148.19</v>
      </c>
      <c r="C171" s="7">
        <f t="shared" si="10"/>
        <v>1.0156782549420651E-2</v>
      </c>
      <c r="D171" s="6">
        <f>MAX($B171:$B$1261)</f>
        <v>151.12</v>
      </c>
      <c r="E171" s="7">
        <f t="shared" si="11"/>
        <v>-1.9388565378507194E-2</v>
      </c>
      <c r="G171" s="6">
        <v>14714.66</v>
      </c>
      <c r="H171" s="7">
        <f t="shared" si="12"/>
        <v>1.1887807484498136E-2</v>
      </c>
      <c r="I171" s="6">
        <f>MAX($G171:$G$1261)</f>
        <v>14895.12</v>
      </c>
      <c r="J171" s="7">
        <f t="shared" si="13"/>
        <v>-1.2115377385345072E-2</v>
      </c>
      <c r="K171" s="6">
        <f t="shared" si="14"/>
        <v>245.907463794031</v>
      </c>
    </row>
    <row r="172" spans="1:11" x14ac:dyDescent="0.25">
      <c r="A172" s="2">
        <f>DATE(2021,8,19)</f>
        <v>44427</v>
      </c>
      <c r="B172" s="6">
        <v>146.69999999999999</v>
      </c>
      <c r="C172" s="7">
        <f t="shared" si="10"/>
        <v>2.3230390817161606E-3</v>
      </c>
      <c r="D172" s="6">
        <f>MAX($B172:$B$1261)</f>
        <v>151.12</v>
      </c>
      <c r="E172" s="7">
        <f t="shared" si="11"/>
        <v>-2.9248279512969932E-2</v>
      </c>
      <c r="G172" s="6">
        <v>14541.79</v>
      </c>
      <c r="H172" s="7">
        <f t="shared" si="12"/>
        <v>1.0932189446306584E-3</v>
      </c>
      <c r="I172" s="6">
        <f>MAX($G172:$G$1261)</f>
        <v>14895.12</v>
      </c>
      <c r="J172" s="7">
        <f t="shared" si="13"/>
        <v>-2.3721191907148054E-2</v>
      </c>
      <c r="K172" s="6">
        <f t="shared" si="14"/>
        <v>243.01850657272422</v>
      </c>
    </row>
    <row r="173" spans="1:11" x14ac:dyDescent="0.25">
      <c r="A173" s="2">
        <f>DATE(2021,8,18)</f>
        <v>44426</v>
      </c>
      <c r="B173" s="6">
        <v>146.36000000000001</v>
      </c>
      <c r="C173" s="7">
        <f t="shared" si="10"/>
        <v>-2.5501032026100212E-2</v>
      </c>
      <c r="D173" s="6">
        <f>MAX($B173:$B$1261)</f>
        <v>151.12</v>
      </c>
      <c r="E173" s="7">
        <f t="shared" si="11"/>
        <v>-3.1498147167813628E-2</v>
      </c>
      <c r="G173" s="6">
        <v>14525.91</v>
      </c>
      <c r="H173" s="7">
        <f t="shared" si="12"/>
        <v>-8.8884006610181476E-3</v>
      </c>
      <c r="I173" s="6">
        <f>MAX($G173:$G$1261)</f>
        <v>14895.12</v>
      </c>
      <c r="J173" s="7">
        <f t="shared" si="13"/>
        <v>-2.4787312891739077E-2</v>
      </c>
      <c r="K173" s="6">
        <f t="shared" si="14"/>
        <v>242.75312425841665</v>
      </c>
    </row>
    <row r="174" spans="1:11" x14ac:dyDescent="0.25">
      <c r="A174" s="2">
        <f>DATE(2021,8,17)</f>
        <v>44425</v>
      </c>
      <c r="B174" s="6">
        <v>150.19</v>
      </c>
      <c r="C174" s="7">
        <f t="shared" si="10"/>
        <v>-6.1540497617788015E-3</v>
      </c>
      <c r="D174" s="6">
        <f>MAX($B174:$B$1261)</f>
        <v>151.12</v>
      </c>
      <c r="E174" s="7">
        <f t="shared" si="11"/>
        <v>-6.1540497617788015E-3</v>
      </c>
      <c r="G174" s="6">
        <v>14656.18</v>
      </c>
      <c r="H174" s="7">
        <f t="shared" si="12"/>
        <v>-9.2998669709390969E-3</v>
      </c>
      <c r="I174" s="6">
        <f>MAX($G174:$G$1261)</f>
        <v>14895.12</v>
      </c>
      <c r="J174" s="7">
        <f t="shared" si="13"/>
        <v>-1.6041495469657163E-2</v>
      </c>
      <c r="K174" s="6">
        <f t="shared" si="14"/>
        <v>244.93016166930136</v>
      </c>
    </row>
    <row r="175" spans="1:11" x14ac:dyDescent="0.25">
      <c r="A175" s="2">
        <f>DATE(2021,8,16)</f>
        <v>44424</v>
      </c>
      <c r="B175" s="6">
        <v>151.12</v>
      </c>
      <c r="C175" s="7">
        <f t="shared" si="10"/>
        <v>1.3547954393024808E-2</v>
      </c>
      <c r="D175" s="6">
        <f>MAX($B175:$B$1261)</f>
        <v>151.12</v>
      </c>
      <c r="E175" s="7">
        <f t="shared" si="11"/>
        <v>0</v>
      </c>
      <c r="G175" s="6">
        <v>14793.76</v>
      </c>
      <c r="H175" s="7">
        <f t="shared" si="12"/>
        <v>-1.9658771225603555E-3</v>
      </c>
      <c r="I175" s="6">
        <f>MAX($G175:$G$1261)</f>
        <v>14895.12</v>
      </c>
      <c r="J175" s="7">
        <f t="shared" si="13"/>
        <v>-6.8049132870363627E-3</v>
      </c>
      <c r="K175" s="6">
        <f t="shared" si="14"/>
        <v>247.22936184577725</v>
      </c>
    </row>
    <row r="176" spans="1:11" x14ac:dyDescent="0.25">
      <c r="A176" s="2">
        <f>DATE(2021,8,13)</f>
        <v>44421</v>
      </c>
      <c r="B176" s="6">
        <v>149.1</v>
      </c>
      <c r="C176" s="7">
        <f t="shared" si="10"/>
        <v>1.4104372355430161E-3</v>
      </c>
      <c r="D176" s="6">
        <f>MAX($B176:$B$1261)</f>
        <v>149.15</v>
      </c>
      <c r="E176" s="7">
        <f t="shared" si="11"/>
        <v>-3.352329869259485E-4</v>
      </c>
      <c r="G176" s="6">
        <v>14822.9</v>
      </c>
      <c r="H176" s="7">
        <f t="shared" si="12"/>
        <v>4.4815628235461702E-4</v>
      </c>
      <c r="I176" s="6">
        <f>MAX($G176:$G$1261)</f>
        <v>14895.12</v>
      </c>
      <c r="J176" s="7">
        <f t="shared" si="13"/>
        <v>-4.84856785309562E-3</v>
      </c>
      <c r="K176" s="6">
        <f t="shared" si="14"/>
        <v>247.7163417348782</v>
      </c>
    </row>
    <row r="177" spans="1:11" x14ac:dyDescent="0.25">
      <c r="A177" s="2">
        <f>DATE(2021,8,12)</f>
        <v>44420</v>
      </c>
      <c r="B177" s="6">
        <v>148.88999999999999</v>
      </c>
      <c r="C177" s="7">
        <f t="shared" si="10"/>
        <v>2.0773344302755792E-2</v>
      </c>
      <c r="D177" s="6">
        <f>MAX($B177:$B$1261)</f>
        <v>149.15</v>
      </c>
      <c r="E177" s="7">
        <f t="shared" si="11"/>
        <v>-1.7432115320148434E-3</v>
      </c>
      <c r="G177" s="6">
        <v>14816.26</v>
      </c>
      <c r="H177" s="7">
        <f t="shared" si="12"/>
        <v>3.4622089597524663E-3</v>
      </c>
      <c r="I177" s="6">
        <f>MAX($G177:$G$1261)</f>
        <v>14895.12</v>
      </c>
      <c r="J177" s="7">
        <f t="shared" si="13"/>
        <v>-5.2943514385920265E-3</v>
      </c>
      <c r="K177" s="6">
        <f t="shared" si="14"/>
        <v>247.60537583015514</v>
      </c>
    </row>
    <row r="178" spans="1:11" x14ac:dyDescent="0.25">
      <c r="A178" s="2">
        <f>DATE(2021,8,11)</f>
        <v>44419</v>
      </c>
      <c r="B178" s="6">
        <v>145.86000000000001</v>
      </c>
      <c r="C178" s="7">
        <f t="shared" si="10"/>
        <v>1.7857142857145014E-3</v>
      </c>
      <c r="D178" s="6">
        <f>MAX($B178:$B$1261)</f>
        <v>149.15</v>
      </c>
      <c r="E178" s="7">
        <f t="shared" si="11"/>
        <v>-2.2058330539725057E-2</v>
      </c>
      <c r="G178" s="6">
        <v>14765.14</v>
      </c>
      <c r="H178" s="7">
        <f t="shared" si="12"/>
        <v>-1.5519245555037919E-3</v>
      </c>
      <c r="I178" s="6">
        <f>MAX($G178:$G$1261)</f>
        <v>14895.12</v>
      </c>
      <c r="J178" s="7">
        <f t="shared" si="13"/>
        <v>-8.7263479582575521E-3</v>
      </c>
      <c r="K178" s="6">
        <f t="shared" si="14"/>
        <v>246.75107205764863</v>
      </c>
    </row>
    <row r="179" spans="1:11" x14ac:dyDescent="0.25">
      <c r="A179" s="2">
        <f>DATE(2021,8,10)</f>
        <v>44418</v>
      </c>
      <c r="B179" s="6">
        <v>145.6</v>
      </c>
      <c r="C179" s="7">
        <f t="shared" si="10"/>
        <v>-3.3540967896502627E-3</v>
      </c>
      <c r="D179" s="6">
        <f>MAX($B179:$B$1261)</f>
        <v>149.15</v>
      </c>
      <c r="E179" s="7">
        <f t="shared" si="11"/>
        <v>-2.3801542071739901E-2</v>
      </c>
      <c r="G179" s="6">
        <v>14788.09</v>
      </c>
      <c r="H179" s="7">
        <f t="shared" si="12"/>
        <v>-4.8512198371756243E-3</v>
      </c>
      <c r="I179" s="6">
        <f>MAX($G179:$G$1261)</f>
        <v>14895.12</v>
      </c>
      <c r="J179" s="7">
        <f t="shared" si="13"/>
        <v>-7.1855748728443247E-3</v>
      </c>
      <c r="K179" s="6">
        <f t="shared" si="14"/>
        <v>247.13460632171405</v>
      </c>
    </row>
    <row r="180" spans="1:11" x14ac:dyDescent="0.25">
      <c r="A180" s="2">
        <f>DATE(2021,8,9)</f>
        <v>44417</v>
      </c>
      <c r="B180" s="6">
        <v>146.09</v>
      </c>
      <c r="C180" s="7">
        <f t="shared" si="10"/>
        <v>-3.4213767620083768E-4</v>
      </c>
      <c r="D180" s="6">
        <f>MAX($B180:$B$1261)</f>
        <v>149.15</v>
      </c>
      <c r="E180" s="7">
        <f t="shared" si="11"/>
        <v>-2.0516258799865961E-2</v>
      </c>
      <c r="G180" s="6">
        <v>14860.18</v>
      </c>
      <c r="H180" s="7">
        <f t="shared" si="12"/>
        <v>1.6460228528905052E-3</v>
      </c>
      <c r="I180" s="6">
        <f>MAX($G180:$G$1261)</f>
        <v>14895.12</v>
      </c>
      <c r="J180" s="7">
        <f t="shared" si="13"/>
        <v>-2.3457347104286486E-3</v>
      </c>
      <c r="K180" s="6">
        <f t="shared" si="14"/>
        <v>248.33935512766075</v>
      </c>
    </row>
    <row r="181" spans="1:11" x14ac:dyDescent="0.25">
      <c r="A181" s="2">
        <f>DATE(2021,8,6)</f>
        <v>44414</v>
      </c>
      <c r="B181" s="6">
        <v>146.13999999999999</v>
      </c>
      <c r="C181" s="7">
        <f t="shared" si="10"/>
        <v>-6.2559499524005302E-3</v>
      </c>
      <c r="D181" s="6">
        <f>MAX($B181:$B$1261)</f>
        <v>149.15</v>
      </c>
      <c r="E181" s="7">
        <f t="shared" si="11"/>
        <v>-2.0181025812940123E-2</v>
      </c>
      <c r="G181" s="6">
        <v>14835.76</v>
      </c>
      <c r="H181" s="7">
        <f t="shared" si="12"/>
        <v>-3.9851978366068908E-3</v>
      </c>
      <c r="I181" s="6">
        <f>MAX($G181:$G$1261)</f>
        <v>14895.12</v>
      </c>
      <c r="J181" s="7">
        <f t="shared" si="13"/>
        <v>-3.9851978366068908E-3</v>
      </c>
      <c r="K181" s="6">
        <f t="shared" si="14"/>
        <v>247.931254616616</v>
      </c>
    </row>
    <row r="182" spans="1:11" x14ac:dyDescent="0.25">
      <c r="A182" s="2">
        <f>DATE(2021,8,5)</f>
        <v>44413</v>
      </c>
      <c r="B182" s="6">
        <v>147.06</v>
      </c>
      <c r="C182" s="7">
        <f t="shared" si="10"/>
        <v>7.4855392990813563E-4</v>
      </c>
      <c r="D182" s="6">
        <f>MAX($B182:$B$1261)</f>
        <v>149.15</v>
      </c>
      <c r="E182" s="7">
        <f t="shared" si="11"/>
        <v>-1.4012738853503182E-2</v>
      </c>
      <c r="G182" s="6">
        <v>14895.12</v>
      </c>
      <c r="H182" s="7">
        <f t="shared" si="12"/>
        <v>7.7527666463923506E-3</v>
      </c>
      <c r="I182" s="6">
        <f>MAX($G182:$G$1261)</f>
        <v>14895.12</v>
      </c>
      <c r="J182" s="7">
        <f t="shared" si="13"/>
        <v>0</v>
      </c>
      <c r="K182" s="6">
        <f t="shared" si="14"/>
        <v>248.92326306606802</v>
      </c>
    </row>
    <row r="183" spans="1:11" x14ac:dyDescent="0.25">
      <c r="A183" s="2">
        <f>DATE(2021,8,4)</f>
        <v>44412</v>
      </c>
      <c r="B183" s="6">
        <v>146.94999999999999</v>
      </c>
      <c r="C183" s="7">
        <f t="shared" si="10"/>
        <v>-2.7823018458199567E-3</v>
      </c>
      <c r="D183" s="6">
        <f>MAX($B183:$B$1261)</f>
        <v>149.15</v>
      </c>
      <c r="E183" s="7">
        <f t="shared" si="11"/>
        <v>-1.475025142474029E-2</v>
      </c>
      <c r="G183" s="6">
        <v>14780.53</v>
      </c>
      <c r="H183" s="7">
        <f t="shared" si="12"/>
        <v>1.30340911939264E-3</v>
      </c>
      <c r="I183" s="6">
        <f>MAX($G183:$G$1261)</f>
        <v>14840.71</v>
      </c>
      <c r="J183" s="7">
        <f t="shared" si="13"/>
        <v>-4.0550620556563111E-3</v>
      </c>
      <c r="K183" s="6">
        <f t="shared" si="14"/>
        <v>247.00826562296308</v>
      </c>
    </row>
    <row r="184" spans="1:11" x14ac:dyDescent="0.25">
      <c r="A184" s="2">
        <f>DATE(2021,8,3)</f>
        <v>44411</v>
      </c>
      <c r="B184" s="6">
        <v>147.36000000000001</v>
      </c>
      <c r="C184" s="7">
        <f t="shared" si="10"/>
        <v>1.264431006047273E-2</v>
      </c>
      <c r="D184" s="6">
        <f>MAX($B184:$B$1261)</f>
        <v>149.15</v>
      </c>
      <c r="E184" s="7">
        <f t="shared" si="11"/>
        <v>-1.2001340931947602E-2</v>
      </c>
      <c r="G184" s="6">
        <v>14761.29</v>
      </c>
      <c r="H184" s="7">
        <f t="shared" si="12"/>
        <v>5.4641793820207063E-3</v>
      </c>
      <c r="I184" s="6">
        <f>MAX($G184:$G$1261)</f>
        <v>14840.71</v>
      </c>
      <c r="J184" s="7">
        <f t="shared" si="13"/>
        <v>-5.3514959863778522E-3</v>
      </c>
      <c r="K184" s="6">
        <f t="shared" si="14"/>
        <v>246.68673188698841</v>
      </c>
    </row>
    <row r="185" spans="1:11" x14ac:dyDescent="0.25">
      <c r="A185" s="2">
        <f>DATE(2021,8,2)</f>
        <v>44410</v>
      </c>
      <c r="B185" s="6">
        <v>145.52000000000001</v>
      </c>
      <c r="C185" s="7">
        <f t="shared" si="10"/>
        <v>-2.3310023310023631E-3</v>
      </c>
      <c r="D185" s="6">
        <f>MAX($B185:$B$1261)</f>
        <v>149.15</v>
      </c>
      <c r="E185" s="7">
        <f t="shared" si="11"/>
        <v>-2.4337914850821263E-2</v>
      </c>
      <c r="G185" s="6">
        <v>14681.07</v>
      </c>
      <c r="H185" s="7">
        <f t="shared" si="12"/>
        <v>5.7181101203052087E-4</v>
      </c>
      <c r="I185" s="6">
        <f>MAX($G185:$G$1261)</f>
        <v>14840.71</v>
      </c>
      <c r="J185" s="7">
        <f t="shared" si="13"/>
        <v>-1.0756897749501171E-2</v>
      </c>
      <c r="K185" s="6">
        <f t="shared" si="14"/>
        <v>245.34611669468646</v>
      </c>
    </row>
    <row r="186" spans="1:11" x14ac:dyDescent="0.25">
      <c r="A186" s="2">
        <f>DATE(2021,7,30)</f>
        <v>44407</v>
      </c>
      <c r="B186" s="6">
        <v>145.86000000000001</v>
      </c>
      <c r="C186" s="7">
        <f t="shared" si="10"/>
        <v>1.5105740181271532E-3</v>
      </c>
      <c r="D186" s="6">
        <f>MAX($B186:$B$1261)</f>
        <v>149.15</v>
      </c>
      <c r="E186" s="7">
        <f t="shared" si="11"/>
        <v>-2.2058330539725057E-2</v>
      </c>
      <c r="G186" s="6">
        <v>14672.68</v>
      </c>
      <c r="H186" s="7">
        <f t="shared" si="12"/>
        <v>-7.1442781491189988E-3</v>
      </c>
      <c r="I186" s="6">
        <f>MAX($G186:$G$1261)</f>
        <v>14840.71</v>
      </c>
      <c r="J186" s="7">
        <f t="shared" si="13"/>
        <v>-1.1322234583116209E-2</v>
      </c>
      <c r="K186" s="6">
        <f t="shared" si="14"/>
        <v>245.2059052578451</v>
      </c>
    </row>
    <row r="187" spans="1:11" x14ac:dyDescent="0.25">
      <c r="A187" s="2">
        <f>DATE(2021,7,29)</f>
        <v>44406</v>
      </c>
      <c r="B187" s="6">
        <v>145.63999999999999</v>
      </c>
      <c r="C187" s="7">
        <f t="shared" si="10"/>
        <v>4.5523520485584168E-3</v>
      </c>
      <c r="D187" s="6">
        <f>MAX($B187:$B$1261)</f>
        <v>149.15</v>
      </c>
      <c r="E187" s="7">
        <f t="shared" si="11"/>
        <v>-2.3533355682199275E-2</v>
      </c>
      <c r="G187" s="6">
        <v>14778.26</v>
      </c>
      <c r="H187" s="7">
        <f t="shared" si="12"/>
        <v>1.0621449638206215E-3</v>
      </c>
      <c r="I187" s="6">
        <f>MAX($G187:$G$1261)</f>
        <v>14840.71</v>
      </c>
      <c r="J187" s="7">
        <f t="shared" si="13"/>
        <v>-4.2080196971707728E-3</v>
      </c>
      <c r="K187" s="6">
        <f t="shared" si="14"/>
        <v>246.97032998987245</v>
      </c>
    </row>
    <row r="188" spans="1:11" x14ac:dyDescent="0.25">
      <c r="A188" s="2">
        <f>DATE(2021,7,28)</f>
        <v>44405</v>
      </c>
      <c r="B188" s="6">
        <v>144.97999999999999</v>
      </c>
      <c r="C188" s="7">
        <f t="shared" si="10"/>
        <v>-1.2195952851400294E-2</v>
      </c>
      <c r="D188" s="6">
        <f>MAX($B188:$B$1261)</f>
        <v>149.15</v>
      </c>
      <c r="E188" s="7">
        <f t="shared" si="11"/>
        <v>-2.7958431109621262E-2</v>
      </c>
      <c r="G188" s="6">
        <v>14762.58</v>
      </c>
      <c r="H188" s="7">
        <f t="shared" si="12"/>
        <v>6.9574327891530618E-3</v>
      </c>
      <c r="I188" s="6">
        <f>MAX($G188:$G$1261)</f>
        <v>14840.71</v>
      </c>
      <c r="J188" s="7">
        <f t="shared" si="13"/>
        <v>-5.264572921376387E-3</v>
      </c>
      <c r="K188" s="6">
        <f t="shared" si="14"/>
        <v>246.70829002209268</v>
      </c>
    </row>
    <row r="189" spans="1:11" x14ac:dyDescent="0.25">
      <c r="A189" s="2">
        <f>DATE(2021,7,27)</f>
        <v>44404</v>
      </c>
      <c r="B189" s="6">
        <v>146.77000000000001</v>
      </c>
      <c r="C189" s="7">
        <f t="shared" si="10"/>
        <v>-1.4900328881132907E-2</v>
      </c>
      <c r="D189" s="6">
        <f>MAX($B189:$B$1261)</f>
        <v>149.15</v>
      </c>
      <c r="E189" s="7">
        <f t="shared" si="11"/>
        <v>-1.5957090177673439E-2</v>
      </c>
      <c r="G189" s="6">
        <v>14660.58</v>
      </c>
      <c r="H189" s="7">
        <f t="shared" si="12"/>
        <v>-1.213755945638717E-2</v>
      </c>
      <c r="I189" s="6">
        <f>MAX($G189:$G$1261)</f>
        <v>14840.71</v>
      </c>
      <c r="J189" s="7">
        <f t="shared" si="13"/>
        <v>-1.213755945638717E-2</v>
      </c>
      <c r="K189" s="6">
        <f t="shared" si="14"/>
        <v>245.00369329291297</v>
      </c>
    </row>
    <row r="190" spans="1:11" x14ac:dyDescent="0.25">
      <c r="A190" s="2">
        <f>DATE(2021,7,26)</f>
        <v>44403</v>
      </c>
      <c r="B190" s="6">
        <v>148.99</v>
      </c>
      <c r="C190" s="7">
        <f t="shared" si="10"/>
        <v>2.8944534194939031E-3</v>
      </c>
      <c r="D190" s="6">
        <f>MAX($B190:$B$1261)</f>
        <v>149.15</v>
      </c>
      <c r="E190" s="7">
        <f t="shared" si="11"/>
        <v>-1.0727455581629464E-3</v>
      </c>
      <c r="G190" s="6">
        <v>14840.71</v>
      </c>
      <c r="H190" s="7">
        <f t="shared" si="12"/>
        <v>2.5072470898734878E-4</v>
      </c>
      <c r="I190" s="6">
        <f>MAX($G190:$G$1261)</f>
        <v>14840.71</v>
      </c>
      <c r="J190" s="7">
        <f t="shared" si="13"/>
        <v>0</v>
      </c>
      <c r="K190" s="6">
        <f t="shared" si="14"/>
        <v>248.01397769317902</v>
      </c>
    </row>
    <row r="191" spans="1:11" x14ac:dyDescent="0.25">
      <c r="A191" s="2">
        <f>DATE(2021,7,23)</f>
        <v>44400</v>
      </c>
      <c r="B191" s="6">
        <v>148.56</v>
      </c>
      <c r="C191" s="7">
        <f t="shared" si="10"/>
        <v>1.1989100817438647E-2</v>
      </c>
      <c r="D191" s="6">
        <f>MAX($B191:$B$1261)</f>
        <v>149.15</v>
      </c>
      <c r="E191" s="7">
        <f t="shared" si="11"/>
        <v>-3.955749245725837E-3</v>
      </c>
      <c r="G191" s="6">
        <v>14836.99</v>
      </c>
      <c r="H191" s="7">
        <f t="shared" si="12"/>
        <v>1.0377538373534057E-2</v>
      </c>
      <c r="I191" s="6">
        <f>MAX($G191:$G$1261)</f>
        <v>14836.99</v>
      </c>
      <c r="J191" s="7">
        <f t="shared" si="13"/>
        <v>0</v>
      </c>
      <c r="K191" s="6">
        <f t="shared" si="14"/>
        <v>247.95181004776191</v>
      </c>
    </row>
    <row r="192" spans="1:11" x14ac:dyDescent="0.25">
      <c r="A192" s="2">
        <f>DATE(2021,7,22)</f>
        <v>44399</v>
      </c>
      <c r="B192" s="6">
        <v>146.80000000000001</v>
      </c>
      <c r="C192" s="7">
        <f t="shared" si="10"/>
        <v>9.6286107290233236E-3</v>
      </c>
      <c r="D192" s="6">
        <f>MAX($B192:$B$1261)</f>
        <v>149.15</v>
      </c>
      <c r="E192" s="7">
        <f t="shared" si="11"/>
        <v>-1.5755950385517914E-2</v>
      </c>
      <c r="G192" s="6">
        <v>14684.6</v>
      </c>
      <c r="H192" s="7">
        <f t="shared" si="12"/>
        <v>3.5982900433639831E-3</v>
      </c>
      <c r="I192" s="6">
        <f>MAX($G192:$G$1261)</f>
        <v>14733.24</v>
      </c>
      <c r="J192" s="7">
        <f t="shared" si="13"/>
        <v>-3.3013783797725127E-3</v>
      </c>
      <c r="K192" s="6">
        <f t="shared" si="14"/>
        <v>245.4051091109022</v>
      </c>
    </row>
    <row r="193" spans="1:11" x14ac:dyDescent="0.25">
      <c r="A193" s="2">
        <f>DATE(2021,7,21)</f>
        <v>44398</v>
      </c>
      <c r="B193" s="6">
        <v>145.4</v>
      </c>
      <c r="C193" s="7">
        <f t="shared" si="10"/>
        <v>-5.1317139924734745E-3</v>
      </c>
      <c r="D193" s="6">
        <f>MAX($B193:$B$1261)</f>
        <v>149.15</v>
      </c>
      <c r="E193" s="7">
        <f t="shared" si="11"/>
        <v>-2.5142474019443473E-2</v>
      </c>
      <c r="G193" s="6">
        <v>14631.95</v>
      </c>
      <c r="H193" s="7">
        <f t="shared" si="12"/>
        <v>9.1779502968505344E-3</v>
      </c>
      <c r="I193" s="6">
        <f>MAX($G193:$G$1261)</f>
        <v>14733.24</v>
      </c>
      <c r="J193" s="7">
        <f t="shared" si="13"/>
        <v>-6.8749304294234426E-3</v>
      </c>
      <c r="K193" s="6">
        <f t="shared" si="14"/>
        <v>244.52523638745799</v>
      </c>
    </row>
    <row r="194" spans="1:11" x14ac:dyDescent="0.25">
      <c r="A194" s="2">
        <f>DATE(2021,7,20)</f>
        <v>44397</v>
      </c>
      <c r="B194" s="6">
        <v>146.15</v>
      </c>
      <c r="C194" s="7">
        <f t="shared" ref="C194:C257" si="15">IFERROR(B194/B195-1,0)</f>
        <v>2.5974025974026205E-2</v>
      </c>
      <c r="D194" s="6">
        <f>MAX($B194:$B$1261)</f>
        <v>149.15</v>
      </c>
      <c r="E194" s="7">
        <f t="shared" ref="E194:E257" si="16">$B194/$D194-1</f>
        <v>-2.01139792155548E-2</v>
      </c>
      <c r="G194" s="6">
        <v>14498.88</v>
      </c>
      <c r="H194" s="7">
        <f t="shared" ref="H194:H257" si="17">IFERROR(G194/G195-1,0)</f>
        <v>1.5684785547860569E-2</v>
      </c>
      <c r="I194" s="6">
        <f>MAX($G194:$G$1261)</f>
        <v>14733.24</v>
      </c>
      <c r="J194" s="7">
        <f t="shared" ref="J194:J257" si="18">$G194/$I194-1</f>
        <v>-1.5906888097933725E-2</v>
      </c>
      <c r="K194" s="6">
        <f t="shared" ref="K194:K257" si="19">$K195*(1+H194)</f>
        <v>242.30140612518406</v>
      </c>
    </row>
    <row r="195" spans="1:11" x14ac:dyDescent="0.25">
      <c r="A195" s="2">
        <f>DATE(2021,7,19)</f>
        <v>44396</v>
      </c>
      <c r="B195" s="6">
        <v>142.44999999999999</v>
      </c>
      <c r="C195" s="7">
        <f t="shared" si="15"/>
        <v>-2.691440672177059E-2</v>
      </c>
      <c r="D195" s="6">
        <f>MAX($B195:$B$1261)</f>
        <v>149.15</v>
      </c>
      <c r="E195" s="7">
        <f t="shared" si="16"/>
        <v>-4.4921220248072546E-2</v>
      </c>
      <c r="G195" s="6">
        <v>14274.98</v>
      </c>
      <c r="H195" s="7">
        <f t="shared" si="17"/>
        <v>-1.0553647128626165E-2</v>
      </c>
      <c r="I195" s="6">
        <f>MAX($G195:$G$1261)</f>
        <v>14733.24</v>
      </c>
      <c r="J195" s="7">
        <f t="shared" si="18"/>
        <v>-3.1103816947256724E-2</v>
      </c>
      <c r="K195" s="6">
        <f t="shared" si="19"/>
        <v>238.55964918730828</v>
      </c>
    </row>
    <row r="196" spans="1:11" x14ac:dyDescent="0.25">
      <c r="A196" s="2">
        <f>DATE(2021,7,16)</f>
        <v>44393</v>
      </c>
      <c r="B196" s="6">
        <v>146.38999999999999</v>
      </c>
      <c r="C196" s="7">
        <f t="shared" si="15"/>
        <v>-1.4075969827586188E-2</v>
      </c>
      <c r="D196" s="6">
        <f>MAX($B196:$B$1261)</f>
        <v>149.15</v>
      </c>
      <c r="E196" s="7">
        <f t="shared" si="16"/>
        <v>-1.8504860878310603E-2</v>
      </c>
      <c r="G196" s="6">
        <v>14427.24</v>
      </c>
      <c r="H196" s="7">
        <f t="shared" si="17"/>
        <v>-7.9687109996265937E-3</v>
      </c>
      <c r="I196" s="6">
        <f>MAX($G196:$G$1261)</f>
        <v>14733.24</v>
      </c>
      <c r="J196" s="7">
        <f t="shared" si="18"/>
        <v>-2.0769362339851938E-2</v>
      </c>
      <c r="K196" s="6">
        <f t="shared" si="19"/>
        <v>241.10417759892493</v>
      </c>
    </row>
    <row r="197" spans="1:11" x14ac:dyDescent="0.25">
      <c r="A197" s="2">
        <f>DATE(2021,7,15)</f>
        <v>44392</v>
      </c>
      <c r="B197" s="6">
        <v>148.47999999999999</v>
      </c>
      <c r="C197" s="7">
        <f t="shared" si="15"/>
        <v>-4.4921220248073102E-3</v>
      </c>
      <c r="D197" s="6">
        <f>MAX($B197:$B$1261)</f>
        <v>149.15</v>
      </c>
      <c r="E197" s="7">
        <f t="shared" si="16"/>
        <v>-4.4921220248073102E-3</v>
      </c>
      <c r="G197" s="6">
        <v>14543.13</v>
      </c>
      <c r="H197" s="7">
        <f t="shared" si="17"/>
        <v>-6.9525672672150485E-3</v>
      </c>
      <c r="I197" s="6">
        <f>MAX($G197:$G$1261)</f>
        <v>14733.24</v>
      </c>
      <c r="J197" s="7">
        <f t="shared" si="18"/>
        <v>-1.2903475406631615E-2</v>
      </c>
      <c r="K197" s="6">
        <f t="shared" si="19"/>
        <v>243.04090029446056</v>
      </c>
    </row>
    <row r="198" spans="1:11" x14ac:dyDescent="0.25">
      <c r="A198" s="2">
        <f>DATE(2021,7,14)</f>
        <v>44391</v>
      </c>
      <c r="B198" s="6">
        <v>149.15</v>
      </c>
      <c r="C198" s="7">
        <f t="shared" si="15"/>
        <v>2.4100521834661048E-2</v>
      </c>
      <c r="D198" s="6">
        <f>MAX($B198:$B$1261)</f>
        <v>149.15</v>
      </c>
      <c r="E198" s="7">
        <f t="shared" si="16"/>
        <v>0</v>
      </c>
      <c r="G198" s="6">
        <v>14644.95</v>
      </c>
      <c r="H198" s="7">
        <f t="shared" si="17"/>
        <v>-2.227877078415097E-3</v>
      </c>
      <c r="I198" s="6">
        <f>MAX($G198:$G$1261)</f>
        <v>14733.24</v>
      </c>
      <c r="J198" s="7">
        <f t="shared" si="18"/>
        <v>-5.9925718986454379E-3</v>
      </c>
      <c r="K198" s="6">
        <f t="shared" si="19"/>
        <v>244.74248891176524</v>
      </c>
    </row>
    <row r="199" spans="1:11" x14ac:dyDescent="0.25">
      <c r="A199" s="2">
        <f>DATE(2021,7,13)</f>
        <v>44390</v>
      </c>
      <c r="B199" s="6">
        <v>145.63999999999999</v>
      </c>
      <c r="C199" s="7">
        <f t="shared" si="15"/>
        <v>7.8892733564013273E-3</v>
      </c>
      <c r="D199" s="6">
        <f>MAX($B199:$B$1261)</f>
        <v>145.63999999999999</v>
      </c>
      <c r="E199" s="7">
        <f t="shared" si="16"/>
        <v>0</v>
      </c>
      <c r="G199" s="6">
        <v>14677.65</v>
      </c>
      <c r="H199" s="7">
        <f t="shared" si="17"/>
        <v>-3.7731008250730946E-3</v>
      </c>
      <c r="I199" s="6">
        <f>MAX($G199:$G$1261)</f>
        <v>14733.24</v>
      </c>
      <c r="J199" s="7">
        <f t="shared" si="18"/>
        <v>-3.7731008250730946E-3</v>
      </c>
      <c r="K199" s="6">
        <f t="shared" si="19"/>
        <v>245.28896256906106</v>
      </c>
    </row>
    <row r="200" spans="1:11" x14ac:dyDescent="0.25">
      <c r="A200" s="2">
        <f>DATE(2021,7,12)</f>
        <v>44389</v>
      </c>
      <c r="B200" s="6">
        <v>144.5</v>
      </c>
      <c r="C200" s="7">
        <f t="shared" si="15"/>
        <v>-4.2037075322169937E-3</v>
      </c>
      <c r="D200" s="6">
        <f>MAX($B200:$B$1261)</f>
        <v>145.11000000000001</v>
      </c>
      <c r="E200" s="7">
        <f t="shared" si="16"/>
        <v>-4.2037075322169937E-3</v>
      </c>
      <c r="G200" s="6">
        <v>14733.24</v>
      </c>
      <c r="H200" s="7">
        <f t="shared" si="17"/>
        <v>2.1303339971920909E-3</v>
      </c>
      <c r="I200" s="6">
        <f>MAX($G200:$G$1261)</f>
        <v>14733.24</v>
      </c>
      <c r="J200" s="7">
        <f t="shared" si="18"/>
        <v>0</v>
      </c>
      <c r="K200" s="6">
        <f t="shared" si="19"/>
        <v>246.21796778646399</v>
      </c>
    </row>
    <row r="201" spans="1:11" x14ac:dyDescent="0.25">
      <c r="A201" s="2">
        <f>DATE(2021,7,9)</f>
        <v>44386</v>
      </c>
      <c r="B201" s="6">
        <v>145.11000000000001</v>
      </c>
      <c r="C201" s="7">
        <f t="shared" si="15"/>
        <v>1.3055012566322244E-2</v>
      </c>
      <c r="D201" s="6">
        <f>MAX($B201:$B$1261)</f>
        <v>145.11000000000001</v>
      </c>
      <c r="E201" s="7">
        <f t="shared" si="16"/>
        <v>0</v>
      </c>
      <c r="G201" s="6">
        <v>14701.92</v>
      </c>
      <c r="H201" s="7">
        <f t="shared" si="17"/>
        <v>9.7625101478180376E-3</v>
      </c>
      <c r="I201" s="6">
        <f>MAX($G201:$G$1261)</f>
        <v>14701.92</v>
      </c>
      <c r="J201" s="7">
        <f t="shared" si="18"/>
        <v>0</v>
      </c>
      <c r="K201" s="6">
        <f t="shared" si="19"/>
        <v>245.69455632021001</v>
      </c>
    </row>
    <row r="202" spans="1:11" x14ac:dyDescent="0.25">
      <c r="A202" s="2">
        <f>DATE(2021,7,8)</f>
        <v>44385</v>
      </c>
      <c r="B202" s="6">
        <v>143.24</v>
      </c>
      <c r="C202" s="7">
        <f t="shared" si="15"/>
        <v>-9.1996956491663395E-3</v>
      </c>
      <c r="D202" s="6">
        <f>MAX($B202:$B$1261)</f>
        <v>144.57</v>
      </c>
      <c r="E202" s="7">
        <f t="shared" si="16"/>
        <v>-9.1996956491663395E-3</v>
      </c>
      <c r="G202" s="6">
        <v>14559.78</v>
      </c>
      <c r="H202" s="7">
        <f t="shared" si="17"/>
        <v>-7.1789682415209777E-3</v>
      </c>
      <c r="I202" s="6">
        <f>MAX($G202:$G$1261)</f>
        <v>14665.06</v>
      </c>
      <c r="J202" s="7">
        <f t="shared" si="18"/>
        <v>-7.1789682415209777E-3</v>
      </c>
      <c r="K202" s="6">
        <f t="shared" si="19"/>
        <v>243.31915064290024</v>
      </c>
    </row>
    <row r="203" spans="1:11" x14ac:dyDescent="0.25">
      <c r="A203" s="2">
        <f>DATE(2021,7,7)</f>
        <v>44384</v>
      </c>
      <c r="B203" s="6">
        <v>144.57</v>
      </c>
      <c r="C203" s="7">
        <f t="shared" si="15"/>
        <v>1.7955217574989302E-2</v>
      </c>
      <c r="D203" s="6">
        <f>MAX($B203:$B$1261)</f>
        <v>144.57</v>
      </c>
      <c r="E203" s="7">
        <f t="shared" si="16"/>
        <v>0</v>
      </c>
      <c r="G203" s="6">
        <v>14665.06</v>
      </c>
      <c r="H203" s="7">
        <f t="shared" si="17"/>
        <v>9.683816569427961E-5</v>
      </c>
      <c r="I203" s="6">
        <f>MAX($G203:$G$1261)</f>
        <v>14665.06</v>
      </c>
      <c r="J203" s="7">
        <f t="shared" si="18"/>
        <v>0</v>
      </c>
      <c r="K203" s="6">
        <f t="shared" si="19"/>
        <v>245.07856185513589</v>
      </c>
    </row>
    <row r="204" spans="1:11" x14ac:dyDescent="0.25">
      <c r="A204" s="2">
        <f>DATE(2021,7,6)</f>
        <v>44383</v>
      </c>
      <c r="B204" s="6">
        <v>142.02000000000001</v>
      </c>
      <c r="C204" s="7">
        <f t="shared" si="15"/>
        <v>1.4718490997427836E-2</v>
      </c>
      <c r="D204" s="6">
        <f>MAX($B204:$B$1261)</f>
        <v>143.16</v>
      </c>
      <c r="E204" s="7">
        <f t="shared" si="16"/>
        <v>-7.9631181894382896E-3</v>
      </c>
      <c r="G204" s="6">
        <v>14663.64</v>
      </c>
      <c r="H204" s="7">
        <f t="shared" si="17"/>
        <v>1.6605951228640947E-3</v>
      </c>
      <c r="I204" s="6">
        <f>MAX($G204:$G$1261)</f>
        <v>14663.64</v>
      </c>
      <c r="J204" s="7">
        <f t="shared" si="18"/>
        <v>0</v>
      </c>
      <c r="K204" s="6">
        <f t="shared" si="19"/>
        <v>245.05483119478848</v>
      </c>
    </row>
    <row r="205" spans="1:11" x14ac:dyDescent="0.25">
      <c r="A205" s="2">
        <f>DATE(2021,7,2)</f>
        <v>44379</v>
      </c>
      <c r="B205" s="6">
        <v>139.96</v>
      </c>
      <c r="C205" s="7">
        <f t="shared" si="15"/>
        <v>1.9596415822831004E-2</v>
      </c>
      <c r="D205" s="6">
        <f>MAX($B205:$B$1261)</f>
        <v>143.16</v>
      </c>
      <c r="E205" s="7">
        <f t="shared" si="16"/>
        <v>-2.2352612461581378E-2</v>
      </c>
      <c r="G205" s="6">
        <v>14639.33</v>
      </c>
      <c r="H205" s="7">
        <f t="shared" si="17"/>
        <v>8.0530877170270632E-3</v>
      </c>
      <c r="I205" s="6">
        <f>MAX($G205:$G$1261)</f>
        <v>14639.33</v>
      </c>
      <c r="J205" s="7">
        <f t="shared" si="18"/>
        <v>0</v>
      </c>
      <c r="K205" s="6">
        <f t="shared" si="19"/>
        <v>244.64856897433401</v>
      </c>
    </row>
    <row r="206" spans="1:11" x14ac:dyDescent="0.25">
      <c r="A206" s="2">
        <f>DATE(2021,7,1)</f>
        <v>44378</v>
      </c>
      <c r="B206" s="6">
        <v>137.27000000000001</v>
      </c>
      <c r="C206" s="7">
        <f t="shared" si="15"/>
        <v>2.2634345794392274E-3</v>
      </c>
      <c r="D206" s="6">
        <f>MAX($B206:$B$1261)</f>
        <v>143.16</v>
      </c>
      <c r="E206" s="7">
        <f t="shared" si="16"/>
        <v>-4.1142777312098255E-2</v>
      </c>
      <c r="G206" s="6">
        <v>14522.38</v>
      </c>
      <c r="H206" s="7">
        <f t="shared" si="17"/>
        <v>1.2706883297306515E-3</v>
      </c>
      <c r="I206" s="6">
        <f>MAX($G206:$G$1261)</f>
        <v>14528.33</v>
      </c>
      <c r="J206" s="7">
        <f t="shared" si="18"/>
        <v>-4.0954466205000983E-4</v>
      </c>
      <c r="K206" s="6">
        <f t="shared" si="19"/>
        <v>242.69413184220105</v>
      </c>
    </row>
    <row r="207" spans="1:11" x14ac:dyDescent="0.25">
      <c r="A207" s="2">
        <f>DATE(2021,6,30)</f>
        <v>44377</v>
      </c>
      <c r="B207" s="6">
        <v>136.96</v>
      </c>
      <c r="C207" s="7">
        <f t="shared" si="15"/>
        <v>4.6211398811706328E-3</v>
      </c>
      <c r="D207" s="6">
        <f>MAX($B207:$B$1261)</f>
        <v>143.16</v>
      </c>
      <c r="E207" s="7">
        <f t="shared" si="16"/>
        <v>-4.3308186644314017E-2</v>
      </c>
      <c r="G207" s="6">
        <v>14503.95</v>
      </c>
      <c r="H207" s="7">
        <f t="shared" si="17"/>
        <v>-1.6781006488700845E-3</v>
      </c>
      <c r="I207" s="6">
        <f>MAX($G207:$G$1261)</f>
        <v>14528.33</v>
      </c>
      <c r="J207" s="7">
        <f t="shared" si="18"/>
        <v>-1.6781006488700845E-3</v>
      </c>
      <c r="K207" s="6">
        <f t="shared" si="19"/>
        <v>242.38613460966403</v>
      </c>
    </row>
    <row r="208" spans="1:11" x14ac:dyDescent="0.25">
      <c r="A208" s="2">
        <f>DATE(2021,6,29)</f>
        <v>44376</v>
      </c>
      <c r="B208" s="6">
        <v>136.33000000000001</v>
      </c>
      <c r="C208" s="7">
        <f t="shared" si="15"/>
        <v>1.1500222584953423E-2</v>
      </c>
      <c r="D208" s="6">
        <f>MAX($B208:$B$1261)</f>
        <v>143.16</v>
      </c>
      <c r="E208" s="7">
        <f t="shared" si="16"/>
        <v>-4.7708857222687806E-2</v>
      </c>
      <c r="G208" s="6">
        <v>14528.33</v>
      </c>
      <c r="H208" s="7">
        <f t="shared" si="17"/>
        <v>1.918553209507845E-3</v>
      </c>
      <c r="I208" s="6">
        <f>MAX($G208:$G$1261)</f>
        <v>14528.33</v>
      </c>
      <c r="J208" s="7">
        <f t="shared" si="18"/>
        <v>0</v>
      </c>
      <c r="K208" s="6">
        <f t="shared" si="19"/>
        <v>242.79356665140324</v>
      </c>
    </row>
    <row r="209" spans="1:11" x14ac:dyDescent="0.25">
      <c r="A209" s="2">
        <f>DATE(2021,6,28)</f>
        <v>44375</v>
      </c>
      <c r="B209" s="6">
        <v>134.78</v>
      </c>
      <c r="C209" s="7">
        <f t="shared" si="15"/>
        <v>1.2546014574412068E-2</v>
      </c>
      <c r="D209" s="6">
        <f>MAX($B209:$B$1261)</f>
        <v>143.16</v>
      </c>
      <c r="E209" s="7">
        <f t="shared" si="16"/>
        <v>-5.8535903883766394E-2</v>
      </c>
      <c r="G209" s="6">
        <v>14500.51</v>
      </c>
      <c r="H209" s="7">
        <f t="shared" si="17"/>
        <v>9.7573951682370375E-3</v>
      </c>
      <c r="I209" s="6">
        <f>MAX($G209:$G$1261)</f>
        <v>14500.51</v>
      </c>
      <c r="J209" s="7">
        <f t="shared" si="18"/>
        <v>0</v>
      </c>
      <c r="K209" s="6">
        <f t="shared" si="19"/>
        <v>242.3286462493858</v>
      </c>
    </row>
    <row r="210" spans="1:11" x14ac:dyDescent="0.25">
      <c r="A210" s="2">
        <f>DATE(2021,6,25)</f>
        <v>44372</v>
      </c>
      <c r="B210" s="6">
        <v>133.11000000000001</v>
      </c>
      <c r="C210" s="7">
        <f t="shared" si="15"/>
        <v>-2.2487069934786774E-3</v>
      </c>
      <c r="D210" s="6">
        <f>MAX($B210:$B$1261)</f>
        <v>143.16</v>
      </c>
      <c r="E210" s="7">
        <f t="shared" si="16"/>
        <v>-7.0201173512154158E-2</v>
      </c>
      <c r="G210" s="6">
        <v>14360.39</v>
      </c>
      <c r="H210" s="7">
        <f t="shared" si="17"/>
        <v>-6.4858650592114486E-4</v>
      </c>
      <c r="I210" s="6">
        <f>MAX($G210:$G$1261)</f>
        <v>14369.71</v>
      </c>
      <c r="J210" s="7">
        <f t="shared" si="18"/>
        <v>-6.4858650592114486E-4</v>
      </c>
      <c r="K210" s="6">
        <f t="shared" si="19"/>
        <v>239.98699827200682</v>
      </c>
    </row>
    <row r="211" spans="1:11" x14ac:dyDescent="0.25">
      <c r="A211" s="2">
        <f>DATE(2021,6,24)</f>
        <v>44371</v>
      </c>
      <c r="B211" s="6">
        <v>133.41</v>
      </c>
      <c r="C211" s="7">
        <f t="shared" si="15"/>
        <v>-2.1690351533283359E-3</v>
      </c>
      <c r="D211" s="6">
        <f>MAX($B211:$B$1261)</f>
        <v>143.16</v>
      </c>
      <c r="E211" s="7">
        <f t="shared" si="16"/>
        <v>-6.8105616093880994E-2</v>
      </c>
      <c r="G211" s="6">
        <v>14369.71</v>
      </c>
      <c r="H211" s="7">
        <f t="shared" si="17"/>
        <v>6.8653204622004527E-3</v>
      </c>
      <c r="I211" s="6">
        <f>MAX($G211:$G$1261)</f>
        <v>14369.71</v>
      </c>
      <c r="J211" s="7">
        <f t="shared" si="18"/>
        <v>0</v>
      </c>
      <c r="K211" s="6">
        <f t="shared" si="19"/>
        <v>240.14275162020246</v>
      </c>
    </row>
    <row r="212" spans="1:11" x14ac:dyDescent="0.25">
      <c r="A212" s="2">
        <f>DATE(2021,6,23)</f>
        <v>44370</v>
      </c>
      <c r="B212" s="6">
        <v>133.69999999999999</v>
      </c>
      <c r="C212" s="7">
        <f t="shared" si="15"/>
        <v>-2.089864158829724E-3</v>
      </c>
      <c r="D212" s="6">
        <f>MAX($B212:$B$1261)</f>
        <v>143.16</v>
      </c>
      <c r="E212" s="7">
        <f t="shared" si="16"/>
        <v>-6.6079910589550206E-2</v>
      </c>
      <c r="G212" s="6">
        <v>14271.73</v>
      </c>
      <c r="H212" s="7">
        <f t="shared" si="17"/>
        <v>1.2951413956234781E-3</v>
      </c>
      <c r="I212" s="6">
        <f>MAX($G212:$G$1261)</f>
        <v>14271.73</v>
      </c>
      <c r="J212" s="7">
        <f t="shared" si="18"/>
        <v>0</v>
      </c>
      <c r="K212" s="6">
        <f t="shared" si="19"/>
        <v>238.50533605623161</v>
      </c>
    </row>
    <row r="213" spans="1:11" x14ac:dyDescent="0.25">
      <c r="A213" s="2">
        <f>DATE(2021,6,22)</f>
        <v>44369</v>
      </c>
      <c r="B213" s="6">
        <v>133.97999999999999</v>
      </c>
      <c r="C213" s="7">
        <f t="shared" si="15"/>
        <v>1.2698412698412431E-2</v>
      </c>
      <c r="D213" s="6">
        <f>MAX($B213:$B$1261)</f>
        <v>143.16</v>
      </c>
      <c r="E213" s="7">
        <f t="shared" si="16"/>
        <v>-6.4124056999161794E-2</v>
      </c>
      <c r="G213" s="6">
        <v>14253.27</v>
      </c>
      <c r="H213" s="7">
        <f t="shared" si="17"/>
        <v>7.9051131847587275E-3</v>
      </c>
      <c r="I213" s="6">
        <f>MAX($G213:$G$1261)</f>
        <v>14253.27</v>
      </c>
      <c r="J213" s="7">
        <f t="shared" si="18"/>
        <v>0</v>
      </c>
      <c r="K213" s="6">
        <f t="shared" si="19"/>
        <v>238.19683747171538</v>
      </c>
    </row>
    <row r="214" spans="1:11" x14ac:dyDescent="0.25">
      <c r="A214" s="2">
        <f>DATE(2021,6,21)</f>
        <v>44368</v>
      </c>
      <c r="B214" s="6">
        <v>132.30000000000001</v>
      </c>
      <c r="C214" s="7">
        <f t="shared" si="15"/>
        <v>1.4103939904951845E-2</v>
      </c>
      <c r="D214" s="6">
        <f>MAX($B214:$B$1261)</f>
        <v>143.16</v>
      </c>
      <c r="E214" s="7">
        <f t="shared" si="16"/>
        <v>-7.5859178541491934E-2</v>
      </c>
      <c r="G214" s="6">
        <v>14141.48</v>
      </c>
      <c r="H214" s="7">
        <f t="shared" si="17"/>
        <v>7.9185310732852177E-3</v>
      </c>
      <c r="I214" s="6">
        <f>MAX($G214:$G$1261)</f>
        <v>14174.14</v>
      </c>
      <c r="J214" s="7">
        <f t="shared" si="18"/>
        <v>-2.3041962334222621E-3</v>
      </c>
      <c r="K214" s="6">
        <f t="shared" si="19"/>
        <v>236.3286328799997</v>
      </c>
    </row>
    <row r="215" spans="1:11" x14ac:dyDescent="0.25">
      <c r="A215" s="2">
        <f>DATE(2021,6,18)</f>
        <v>44365</v>
      </c>
      <c r="B215" s="6">
        <v>130.46</v>
      </c>
      <c r="C215" s="7">
        <f t="shared" si="15"/>
        <v>-1.0091812732377137E-2</v>
      </c>
      <c r="D215" s="6">
        <f>MAX($B215:$B$1261)</f>
        <v>143.16</v>
      </c>
      <c r="E215" s="7">
        <f t="shared" si="16"/>
        <v>-8.871193070690131E-2</v>
      </c>
      <c r="G215" s="6">
        <v>14030.38</v>
      </c>
      <c r="H215" s="7">
        <f t="shared" si="17"/>
        <v>-9.2484120511110435E-3</v>
      </c>
      <c r="I215" s="6">
        <f>MAX($G215:$G$1261)</f>
        <v>14174.14</v>
      </c>
      <c r="J215" s="7">
        <f t="shared" si="18"/>
        <v>-1.0142414284041279E-2</v>
      </c>
      <c r="K215" s="6">
        <f t="shared" si="19"/>
        <v>234.47195938380497</v>
      </c>
    </row>
    <row r="216" spans="1:11" x14ac:dyDescent="0.25">
      <c r="A216" s="2">
        <f>DATE(2021,6,17)</f>
        <v>44364</v>
      </c>
      <c r="B216" s="6">
        <v>131.79</v>
      </c>
      <c r="C216" s="7">
        <f t="shared" si="15"/>
        <v>1.2600845178639908E-2</v>
      </c>
      <c r="D216" s="6">
        <f>MAX($B216:$B$1261)</f>
        <v>143.16</v>
      </c>
      <c r="E216" s="7">
        <f t="shared" si="16"/>
        <v>-7.9421626152556657E-2</v>
      </c>
      <c r="G216" s="6">
        <v>14161.35</v>
      </c>
      <c r="H216" s="7">
        <f t="shared" si="17"/>
        <v>8.6661519350867966E-3</v>
      </c>
      <c r="I216" s="6">
        <f>MAX($G216:$G$1261)</f>
        <v>14174.14</v>
      </c>
      <c r="J216" s="7">
        <f t="shared" si="18"/>
        <v>-9.0234751455808837E-4</v>
      </c>
      <c r="K216" s="6">
        <f t="shared" si="19"/>
        <v>236.66069500753699</v>
      </c>
    </row>
    <row r="217" spans="1:11" x14ac:dyDescent="0.25">
      <c r="A217" s="2">
        <f>DATE(2021,6,16)</f>
        <v>44363</v>
      </c>
      <c r="B217" s="6">
        <v>130.15</v>
      </c>
      <c r="C217" s="7">
        <f t="shared" si="15"/>
        <v>3.9339709966061953E-3</v>
      </c>
      <c r="D217" s="6">
        <f>MAX($B217:$B$1261)</f>
        <v>143.16</v>
      </c>
      <c r="E217" s="7">
        <f t="shared" si="16"/>
        <v>-9.0877340039116961E-2</v>
      </c>
      <c r="G217" s="6">
        <v>14039.68</v>
      </c>
      <c r="H217" s="7">
        <f t="shared" si="17"/>
        <v>-2.3577297009990117E-3</v>
      </c>
      <c r="I217" s="6">
        <f>MAX($G217:$G$1261)</f>
        <v>14174.14</v>
      </c>
      <c r="J217" s="7">
        <f t="shared" si="18"/>
        <v>-9.4862898207580537E-3</v>
      </c>
      <c r="K217" s="6">
        <f t="shared" si="19"/>
        <v>234.62737849734785</v>
      </c>
    </row>
    <row r="218" spans="1:11" x14ac:dyDescent="0.25">
      <c r="A218" s="2">
        <f>DATE(2021,6,15)</f>
        <v>44362</v>
      </c>
      <c r="B218" s="6">
        <v>129.63999999999999</v>
      </c>
      <c r="C218" s="7">
        <f t="shared" si="15"/>
        <v>-6.4377682403433667E-3</v>
      </c>
      <c r="D218" s="6">
        <f>MAX($B218:$B$1261)</f>
        <v>143.16</v>
      </c>
      <c r="E218" s="7">
        <f t="shared" si="16"/>
        <v>-9.4439787650181684E-2</v>
      </c>
      <c r="G218" s="6">
        <v>14072.86</v>
      </c>
      <c r="H218" s="7">
        <f t="shared" si="17"/>
        <v>-7.1454070582058771E-3</v>
      </c>
      <c r="I218" s="6">
        <f>MAX($G218:$G$1261)</f>
        <v>14174.14</v>
      </c>
      <c r="J218" s="7">
        <f t="shared" si="18"/>
        <v>-7.1454070582058771E-3</v>
      </c>
      <c r="K218" s="6">
        <f t="shared" si="19"/>
        <v>235.18187378631043</v>
      </c>
    </row>
    <row r="219" spans="1:11" x14ac:dyDescent="0.25">
      <c r="A219" s="2">
        <f>DATE(2021,6,14)</f>
        <v>44361</v>
      </c>
      <c r="B219" s="6">
        <v>130.47999999999999</v>
      </c>
      <c r="C219" s="7">
        <f t="shared" si="15"/>
        <v>2.4577934825284586E-2</v>
      </c>
      <c r="D219" s="6">
        <f>MAX($B219:$B$1261)</f>
        <v>143.16</v>
      </c>
      <c r="E219" s="7">
        <f t="shared" si="16"/>
        <v>-8.8572226879016558E-2</v>
      </c>
      <c r="G219" s="6">
        <v>14174.14</v>
      </c>
      <c r="H219" s="7">
        <f t="shared" si="17"/>
        <v>7.4430928922442074E-3</v>
      </c>
      <c r="I219" s="6">
        <f>MAX($G219:$G$1261)</f>
        <v>14174.14</v>
      </c>
      <c r="J219" s="7">
        <f t="shared" si="18"/>
        <v>0</v>
      </c>
      <c r="K219" s="6">
        <f t="shared" si="19"/>
        <v>236.87443806799001</v>
      </c>
    </row>
    <row r="220" spans="1:11" x14ac:dyDescent="0.25">
      <c r="A220" s="2">
        <f>DATE(2021,6,11)</f>
        <v>44358</v>
      </c>
      <c r="B220" s="6">
        <v>127.35</v>
      </c>
      <c r="C220" s="7">
        <f t="shared" si="15"/>
        <v>9.8326857505353082E-3</v>
      </c>
      <c r="D220" s="6">
        <f>MAX($B220:$B$1261)</f>
        <v>143.16</v>
      </c>
      <c r="E220" s="7">
        <f t="shared" si="16"/>
        <v>-0.11043587594300086</v>
      </c>
      <c r="G220" s="6">
        <v>14069.42</v>
      </c>
      <c r="H220" s="7">
        <f t="shared" si="17"/>
        <v>3.5013441195750339E-3</v>
      </c>
      <c r="I220" s="6">
        <f>MAX($G220:$G$1261)</f>
        <v>14138.78</v>
      </c>
      <c r="J220" s="7">
        <f t="shared" si="18"/>
        <v>-4.9056566408134383E-3</v>
      </c>
      <c r="K220" s="6">
        <f t="shared" si="19"/>
        <v>235.12438542603223</v>
      </c>
    </row>
    <row r="221" spans="1:11" x14ac:dyDescent="0.25">
      <c r="A221" s="2">
        <f>DATE(2021,6,10)</f>
        <v>44357</v>
      </c>
      <c r="B221" s="6">
        <v>126.11</v>
      </c>
      <c r="C221" s="7">
        <f t="shared" si="15"/>
        <v>-8.0232832533626564E-3</v>
      </c>
      <c r="D221" s="6">
        <f>MAX($B221:$B$1261)</f>
        <v>143.16</v>
      </c>
      <c r="E221" s="7">
        <f t="shared" si="16"/>
        <v>-0.11909751327186369</v>
      </c>
      <c r="G221" s="6">
        <v>14020.33</v>
      </c>
      <c r="H221" s="7">
        <f t="shared" si="17"/>
        <v>7.8049131130160099E-3</v>
      </c>
      <c r="I221" s="6">
        <f>MAX($G221:$G$1261)</f>
        <v>14138.78</v>
      </c>
      <c r="J221" s="7">
        <f t="shared" si="18"/>
        <v>-8.37766766298087E-3</v>
      </c>
      <c r="K221" s="6">
        <f t="shared" si="19"/>
        <v>234.30400647078289</v>
      </c>
    </row>
    <row r="222" spans="1:11" x14ac:dyDescent="0.25">
      <c r="A222" s="2">
        <f>DATE(2021,6,9)</f>
        <v>44356</v>
      </c>
      <c r="B222" s="6">
        <v>127.13</v>
      </c>
      <c r="C222" s="7">
        <f t="shared" si="15"/>
        <v>3.0771658513493172E-3</v>
      </c>
      <c r="D222" s="6">
        <f>MAX($B222:$B$1261)</f>
        <v>143.16</v>
      </c>
      <c r="E222" s="7">
        <f t="shared" si="16"/>
        <v>-0.11197261804973457</v>
      </c>
      <c r="G222" s="6">
        <v>13911.75</v>
      </c>
      <c r="H222" s="7">
        <f t="shared" si="17"/>
        <v>-9.4506894479029491E-4</v>
      </c>
      <c r="I222" s="6">
        <f>MAX($G222:$G$1261)</f>
        <v>14138.78</v>
      </c>
      <c r="J222" s="7">
        <f t="shared" si="18"/>
        <v>-1.6057255293596806E-2</v>
      </c>
      <c r="K222" s="6">
        <f t="shared" si="19"/>
        <v>232.48944654083846</v>
      </c>
    </row>
    <row r="223" spans="1:11" x14ac:dyDescent="0.25">
      <c r="A223" s="2">
        <f>DATE(2021,6,8)</f>
        <v>44355</v>
      </c>
      <c r="B223" s="6">
        <v>126.74</v>
      </c>
      <c r="C223" s="7">
        <f t="shared" si="15"/>
        <v>6.6719618745034737E-3</v>
      </c>
      <c r="D223" s="6">
        <f>MAX($B223:$B$1261)</f>
        <v>143.16</v>
      </c>
      <c r="E223" s="7">
        <f t="shared" si="16"/>
        <v>-0.11469684269348979</v>
      </c>
      <c r="G223" s="6">
        <v>13924.91</v>
      </c>
      <c r="H223" s="7">
        <f t="shared" si="17"/>
        <v>3.1112859213411337E-3</v>
      </c>
      <c r="I223" s="6">
        <f>MAX($G223:$G$1261)</f>
        <v>14138.78</v>
      </c>
      <c r="J223" s="7">
        <f t="shared" si="18"/>
        <v>-1.5126481917110302E-2</v>
      </c>
      <c r="K223" s="6">
        <f t="shared" si="19"/>
        <v>232.70937294236791</v>
      </c>
    </row>
    <row r="224" spans="1:11" x14ac:dyDescent="0.25">
      <c r="A224" s="2">
        <f>DATE(2021,6,7)</f>
        <v>44354</v>
      </c>
      <c r="B224" s="6">
        <v>125.9</v>
      </c>
      <c r="C224" s="7">
        <f t="shared" si="15"/>
        <v>7.9434426880631293E-5</v>
      </c>
      <c r="D224" s="6">
        <f>MAX($B224:$B$1261)</f>
        <v>143.16</v>
      </c>
      <c r="E224" s="7">
        <f t="shared" si="16"/>
        <v>-0.12056440346465491</v>
      </c>
      <c r="G224" s="6">
        <v>13881.72</v>
      </c>
      <c r="H224" s="7">
        <f t="shared" si="17"/>
        <v>4.8666291698065134E-3</v>
      </c>
      <c r="I224" s="6">
        <f>MAX($G224:$G$1261)</f>
        <v>14138.78</v>
      </c>
      <c r="J224" s="7">
        <f t="shared" si="18"/>
        <v>-1.8181200923983676E-2</v>
      </c>
      <c r="K224" s="6">
        <f t="shared" si="19"/>
        <v>231.98759320968878</v>
      </c>
    </row>
    <row r="225" spans="1:11" x14ac:dyDescent="0.25">
      <c r="A225" s="2">
        <f>DATE(2021,6,4)</f>
        <v>44351</v>
      </c>
      <c r="B225" s="6">
        <v>125.89</v>
      </c>
      <c r="C225" s="7">
        <f t="shared" si="15"/>
        <v>1.9022179051319421E-2</v>
      </c>
      <c r="D225" s="6">
        <f>MAX($B225:$B$1261)</f>
        <v>143.16</v>
      </c>
      <c r="E225" s="7">
        <f t="shared" si="16"/>
        <v>-0.1206342553785974</v>
      </c>
      <c r="G225" s="6">
        <v>13814.49</v>
      </c>
      <c r="H225" s="7">
        <f t="shared" si="17"/>
        <v>1.4688740175004433E-2</v>
      </c>
      <c r="I225" s="6">
        <f>MAX($G225:$G$1261)</f>
        <v>14138.78</v>
      </c>
      <c r="J225" s="7">
        <f t="shared" si="18"/>
        <v>-2.2936208074529785E-2</v>
      </c>
      <c r="K225" s="6">
        <f t="shared" si="19"/>
        <v>230.86406342436769</v>
      </c>
    </row>
    <row r="226" spans="1:11" x14ac:dyDescent="0.25">
      <c r="A226" s="2">
        <f>DATE(2021,6,3)</f>
        <v>44350</v>
      </c>
      <c r="B226" s="6">
        <v>123.54</v>
      </c>
      <c r="C226" s="7">
        <f t="shared" si="15"/>
        <v>-1.2154166000319822E-2</v>
      </c>
      <c r="D226" s="6">
        <f>MAX($B226:$B$1261)</f>
        <v>143.16</v>
      </c>
      <c r="E226" s="7">
        <f t="shared" si="16"/>
        <v>-0.13704945515507116</v>
      </c>
      <c r="G226" s="6">
        <v>13614.51</v>
      </c>
      <c r="H226" s="7">
        <f t="shared" si="17"/>
        <v>-1.0309435728860783E-2</v>
      </c>
      <c r="I226" s="6">
        <f>MAX($G226:$G$1261)</f>
        <v>14138.78</v>
      </c>
      <c r="J226" s="7">
        <f t="shared" si="18"/>
        <v>-3.7080285569193405E-2</v>
      </c>
      <c r="K226" s="6">
        <f t="shared" si="19"/>
        <v>227.52205113121715</v>
      </c>
    </row>
    <row r="227" spans="1:11" x14ac:dyDescent="0.25">
      <c r="A227" s="2">
        <f>DATE(2021,6,2)</f>
        <v>44349</v>
      </c>
      <c r="B227" s="6">
        <v>125.06</v>
      </c>
      <c r="C227" s="7">
        <f t="shared" si="15"/>
        <v>6.2761506276149959E-3</v>
      </c>
      <c r="D227" s="6">
        <f>MAX($B227:$B$1261)</f>
        <v>143.16</v>
      </c>
      <c r="E227" s="7">
        <f t="shared" si="16"/>
        <v>-0.12643196423582004</v>
      </c>
      <c r="G227" s="6">
        <v>13756.33</v>
      </c>
      <c r="H227" s="7">
        <f t="shared" si="17"/>
        <v>1.4450572490187774E-3</v>
      </c>
      <c r="I227" s="6">
        <f>MAX($G227:$G$1261)</f>
        <v>14138.78</v>
      </c>
      <c r="J227" s="7">
        <f t="shared" si="18"/>
        <v>-2.7049717160886666E-2</v>
      </c>
      <c r="K227" s="6">
        <f t="shared" si="19"/>
        <v>229.89210905408248</v>
      </c>
    </row>
    <row r="228" spans="1:11" x14ac:dyDescent="0.25">
      <c r="A228" s="2">
        <f>DATE(2021,6,1)</f>
        <v>44348</v>
      </c>
      <c r="B228" s="6">
        <v>124.28</v>
      </c>
      <c r="C228" s="7">
        <f t="shared" si="15"/>
        <v>-2.6482625792472181E-3</v>
      </c>
      <c r="D228" s="6">
        <f>MAX($B228:$B$1261)</f>
        <v>143.16</v>
      </c>
      <c r="E228" s="7">
        <f t="shared" si="16"/>
        <v>-0.13188041352333046</v>
      </c>
      <c r="G228" s="6">
        <v>13736.48</v>
      </c>
      <c r="H228" s="7">
        <f t="shared" si="17"/>
        <v>-8.9171807743837483E-4</v>
      </c>
      <c r="I228" s="6">
        <f>MAX($G228:$G$1261)</f>
        <v>14138.78</v>
      </c>
      <c r="J228" s="7">
        <f t="shared" si="18"/>
        <v>-2.8453657246240605E-2</v>
      </c>
      <c r="K228" s="6">
        <f t="shared" si="19"/>
        <v>229.56038116119797</v>
      </c>
    </row>
    <row r="229" spans="1:11" x14ac:dyDescent="0.25">
      <c r="A229" s="2">
        <f>DATE(2021,5,28)</f>
        <v>44344</v>
      </c>
      <c r="B229" s="6">
        <v>124.61</v>
      </c>
      <c r="C229" s="7">
        <f t="shared" si="15"/>
        <v>-5.3480204342273296E-3</v>
      </c>
      <c r="D229" s="6">
        <f>MAX($B229:$B$1261)</f>
        <v>143.16</v>
      </c>
      <c r="E229" s="7">
        <f t="shared" si="16"/>
        <v>-0.12957530036322995</v>
      </c>
      <c r="G229" s="6">
        <v>13748.74</v>
      </c>
      <c r="H229" s="7">
        <f t="shared" si="17"/>
        <v>9.0708692600904861E-4</v>
      </c>
      <c r="I229" s="6">
        <f>MAX($G229:$G$1261)</f>
        <v>14138.78</v>
      </c>
      <c r="J229" s="7">
        <f t="shared" si="18"/>
        <v>-2.7586538583951437E-2</v>
      </c>
      <c r="K229" s="6">
        <f t="shared" si="19"/>
        <v>229.76526700335231</v>
      </c>
    </row>
    <row r="230" spans="1:11" x14ac:dyDescent="0.25">
      <c r="A230" s="2">
        <f>DATE(2021,5,27)</f>
        <v>44343</v>
      </c>
      <c r="B230" s="6">
        <v>125.28</v>
      </c>
      <c r="C230" s="7">
        <f t="shared" si="15"/>
        <v>-1.2376823019314087E-2</v>
      </c>
      <c r="D230" s="6">
        <f>MAX($B230:$B$1261)</f>
        <v>143.16</v>
      </c>
      <c r="E230" s="7">
        <f t="shared" si="16"/>
        <v>-0.12489522212908633</v>
      </c>
      <c r="G230" s="6">
        <v>13736.28</v>
      </c>
      <c r="H230" s="7">
        <f t="shared" si="17"/>
        <v>-1.2520017469785927E-4</v>
      </c>
      <c r="I230" s="6">
        <f>MAX($G230:$G$1261)</f>
        <v>14138.78</v>
      </c>
      <c r="J230" s="7">
        <f t="shared" si="18"/>
        <v>-2.8467802738284309E-2</v>
      </c>
      <c r="K230" s="6">
        <f t="shared" si="19"/>
        <v>229.55703881467016</v>
      </c>
    </row>
    <row r="231" spans="1:11" x14ac:dyDescent="0.25">
      <c r="A231" s="2">
        <f>DATE(2021,5,26)</f>
        <v>44342</v>
      </c>
      <c r="B231" s="6">
        <v>126.85</v>
      </c>
      <c r="C231" s="7">
        <f t="shared" si="15"/>
        <v>-3.9401103230896073E-4</v>
      </c>
      <c r="D231" s="6">
        <f>MAX($B231:$B$1261)</f>
        <v>143.16</v>
      </c>
      <c r="E231" s="7">
        <f t="shared" si="16"/>
        <v>-0.11392847164012299</v>
      </c>
      <c r="G231" s="6">
        <v>13738</v>
      </c>
      <c r="H231" s="7">
        <f t="shared" si="17"/>
        <v>5.9185028816364227E-3</v>
      </c>
      <c r="I231" s="6">
        <f>MAX($G231:$G$1261)</f>
        <v>14138.78</v>
      </c>
      <c r="J231" s="7">
        <f t="shared" si="18"/>
        <v>-2.8346151506707162E-2</v>
      </c>
      <c r="K231" s="6">
        <f t="shared" si="19"/>
        <v>229.58578299480925</v>
      </c>
    </row>
    <row r="232" spans="1:11" x14ac:dyDescent="0.25">
      <c r="A232" s="2">
        <f>DATE(2021,5,25)</f>
        <v>44341</v>
      </c>
      <c r="B232" s="6">
        <v>126.9</v>
      </c>
      <c r="C232" s="7">
        <f t="shared" si="15"/>
        <v>-1.5735641227379027E-3</v>
      </c>
      <c r="D232" s="6">
        <f>MAX($B232:$B$1261)</f>
        <v>143.16</v>
      </c>
      <c r="E232" s="7">
        <f t="shared" si="16"/>
        <v>-0.11357921207041066</v>
      </c>
      <c r="G232" s="6">
        <v>13657.17</v>
      </c>
      <c r="H232" s="7">
        <f t="shared" si="17"/>
        <v>-2.9280068983839058E-4</v>
      </c>
      <c r="I232" s="6">
        <f>MAX($G232:$G$1261)</f>
        <v>14138.78</v>
      </c>
      <c r="J232" s="7">
        <f t="shared" si="18"/>
        <v>-3.4063052116236392E-2</v>
      </c>
      <c r="K232" s="6">
        <f t="shared" si="19"/>
        <v>228.23497364559756</v>
      </c>
    </row>
    <row r="233" spans="1:11" x14ac:dyDescent="0.25">
      <c r="A233" s="2">
        <f>DATE(2021,5,24)</f>
        <v>44340</v>
      </c>
      <c r="B233" s="6">
        <v>127.1</v>
      </c>
      <c r="C233" s="7">
        <f t="shared" si="15"/>
        <v>1.3314199154907058E-2</v>
      </c>
      <c r="D233" s="6">
        <f>MAX($B233:$B$1261)</f>
        <v>143.16</v>
      </c>
      <c r="E233" s="7">
        <f t="shared" si="16"/>
        <v>-0.11218217379156192</v>
      </c>
      <c r="G233" s="6">
        <v>13661.17</v>
      </c>
      <c r="H233" s="7">
        <f t="shared" si="17"/>
        <v>1.411774487250006E-2</v>
      </c>
      <c r="I233" s="6">
        <f>MAX($G233:$G$1261)</f>
        <v>14138.78</v>
      </c>
      <c r="J233" s="7">
        <f t="shared" si="18"/>
        <v>-3.3780142275358971E-2</v>
      </c>
      <c r="K233" s="6">
        <f t="shared" si="19"/>
        <v>228.30182057615363</v>
      </c>
    </row>
    <row r="234" spans="1:11" x14ac:dyDescent="0.25">
      <c r="A234" s="2">
        <f>DATE(2021,5,21)</f>
        <v>44337</v>
      </c>
      <c r="B234" s="6">
        <v>125.43</v>
      </c>
      <c r="C234" s="7">
        <f t="shared" si="15"/>
        <v>-1.4767103919566371E-2</v>
      </c>
      <c r="D234" s="6">
        <f>MAX($B234:$B$1261)</f>
        <v>143.16</v>
      </c>
      <c r="E234" s="7">
        <f t="shared" si="16"/>
        <v>-0.12384744341994969</v>
      </c>
      <c r="G234" s="6">
        <v>13470.99</v>
      </c>
      <c r="H234" s="7">
        <f t="shared" si="17"/>
        <v>-4.7836320733111171E-3</v>
      </c>
      <c r="I234" s="6">
        <f>MAX($G234:$G$1261)</f>
        <v>14138.78</v>
      </c>
      <c r="J234" s="7">
        <f t="shared" si="18"/>
        <v>-4.7231090659873076E-2</v>
      </c>
      <c r="K234" s="6">
        <f t="shared" si="19"/>
        <v>225.12358326286548</v>
      </c>
    </row>
    <row r="235" spans="1:11" x14ac:dyDescent="0.25">
      <c r="A235" s="2">
        <f>DATE(2021,5,20)</f>
        <v>44336</v>
      </c>
      <c r="B235" s="6">
        <v>127.31</v>
      </c>
      <c r="C235" s="7">
        <f t="shared" si="15"/>
        <v>2.1012110032881504E-2</v>
      </c>
      <c r="D235" s="6">
        <f>MAX($B235:$B$1261)</f>
        <v>143.16</v>
      </c>
      <c r="E235" s="7">
        <f t="shared" si="16"/>
        <v>-0.11071528359877059</v>
      </c>
      <c r="G235" s="6">
        <v>13535.74</v>
      </c>
      <c r="H235" s="7">
        <f t="shared" si="17"/>
        <v>1.7744707791280234E-2</v>
      </c>
      <c r="I235" s="6">
        <f>MAX($G235:$G$1261)</f>
        <v>14138.78</v>
      </c>
      <c r="J235" s="7">
        <f t="shared" si="18"/>
        <v>-4.2651487610670835E-2</v>
      </c>
      <c r="K235" s="6">
        <f t="shared" si="19"/>
        <v>226.20566795124179</v>
      </c>
    </row>
    <row r="236" spans="1:11" x14ac:dyDescent="0.25">
      <c r="A236" s="2">
        <f>DATE(2021,5,19)</f>
        <v>44335</v>
      </c>
      <c r="B236" s="6">
        <v>124.69</v>
      </c>
      <c r="C236" s="7">
        <f t="shared" si="15"/>
        <v>-1.2815378454145154E-3</v>
      </c>
      <c r="D236" s="6">
        <f>MAX($B236:$B$1261)</f>
        <v>143.16</v>
      </c>
      <c r="E236" s="7">
        <f t="shared" si="16"/>
        <v>-0.12901648505169039</v>
      </c>
      <c r="G236" s="6">
        <v>13299.74</v>
      </c>
      <c r="H236" s="7">
        <f t="shared" si="17"/>
        <v>-2.9315285140008029E-4</v>
      </c>
      <c r="I236" s="6">
        <f>MAX($G236:$G$1261)</f>
        <v>14138.78</v>
      </c>
      <c r="J236" s="7">
        <f t="shared" si="18"/>
        <v>-5.9343168222435128E-2</v>
      </c>
      <c r="K236" s="6">
        <f t="shared" si="19"/>
        <v>222.26169904843385</v>
      </c>
    </row>
    <row r="237" spans="1:11" x14ac:dyDescent="0.25">
      <c r="A237" s="2">
        <f>DATE(2021,5,18)</f>
        <v>44334</v>
      </c>
      <c r="B237" s="6">
        <v>124.85</v>
      </c>
      <c r="C237" s="7">
        <f t="shared" si="15"/>
        <v>-1.1245743248594287E-2</v>
      </c>
      <c r="D237" s="6">
        <f>MAX($B237:$B$1261)</f>
        <v>143.16</v>
      </c>
      <c r="E237" s="7">
        <f t="shared" si="16"/>
        <v>-0.12789885442861137</v>
      </c>
      <c r="G237" s="6">
        <v>13303.64</v>
      </c>
      <c r="H237" s="7">
        <f t="shared" si="17"/>
        <v>-5.6364241108299851E-3</v>
      </c>
      <c r="I237" s="6">
        <f>MAX($G237:$G$1261)</f>
        <v>14138.78</v>
      </c>
      <c r="J237" s="7">
        <f t="shared" si="18"/>
        <v>-5.906733112757967E-2</v>
      </c>
      <c r="K237" s="6">
        <f t="shared" si="19"/>
        <v>222.32687480572602</v>
      </c>
    </row>
    <row r="238" spans="1:11" x14ac:dyDescent="0.25">
      <c r="A238" s="2">
        <f>DATE(2021,5,17)</f>
        <v>44333</v>
      </c>
      <c r="B238" s="6">
        <v>126.27</v>
      </c>
      <c r="C238" s="7">
        <f t="shared" si="15"/>
        <v>-9.2585327579443044E-3</v>
      </c>
      <c r="D238" s="6">
        <f>MAX($B238:$B$1261)</f>
        <v>143.16</v>
      </c>
      <c r="E238" s="7">
        <f t="shared" si="16"/>
        <v>-0.11797988264878456</v>
      </c>
      <c r="G238" s="6">
        <v>13379.05</v>
      </c>
      <c r="H238" s="7">
        <f t="shared" si="17"/>
        <v>-3.7922617904122546E-3</v>
      </c>
      <c r="I238" s="6">
        <f>MAX($G238:$G$1261)</f>
        <v>14138.78</v>
      </c>
      <c r="J238" s="7">
        <f t="shared" si="18"/>
        <v>-5.3733773352439229E-2</v>
      </c>
      <c r="K238" s="6">
        <f t="shared" si="19"/>
        <v>223.58710656403426</v>
      </c>
    </row>
    <row r="239" spans="1:11" x14ac:dyDescent="0.25">
      <c r="A239" s="2">
        <f>DATE(2021,5,14)</f>
        <v>44330</v>
      </c>
      <c r="B239" s="6">
        <v>127.45</v>
      </c>
      <c r="C239" s="7">
        <f t="shared" si="15"/>
        <v>1.9844762743058464E-2</v>
      </c>
      <c r="D239" s="6">
        <f>MAX($B239:$B$1261)</f>
        <v>143.16</v>
      </c>
      <c r="E239" s="7">
        <f t="shared" si="16"/>
        <v>-0.10973735680357632</v>
      </c>
      <c r="G239" s="6">
        <v>13429.98</v>
      </c>
      <c r="H239" s="7">
        <f t="shared" si="17"/>
        <v>2.3237351037981746E-2</v>
      </c>
      <c r="I239" s="6">
        <f>MAX($G239:$G$1261)</f>
        <v>14138.78</v>
      </c>
      <c r="J239" s="7">
        <f t="shared" si="18"/>
        <v>-5.013162380346825E-2</v>
      </c>
      <c r="K239" s="6">
        <f t="shared" si="19"/>
        <v>224.43823510733938</v>
      </c>
    </row>
    <row r="240" spans="1:11" x14ac:dyDescent="0.25">
      <c r="A240" s="2">
        <f>DATE(2021,5,13)</f>
        <v>44329</v>
      </c>
      <c r="B240" s="6">
        <v>124.97</v>
      </c>
      <c r="C240" s="7">
        <f t="shared" si="15"/>
        <v>1.7919687220004921E-2</v>
      </c>
      <c r="D240" s="6">
        <f>MAX($B240:$B$1261)</f>
        <v>143.16</v>
      </c>
      <c r="E240" s="7">
        <f t="shared" si="16"/>
        <v>-0.12706063146130198</v>
      </c>
      <c r="G240" s="6">
        <v>13124.99</v>
      </c>
      <c r="H240" s="7">
        <f t="shared" si="17"/>
        <v>7.1602433454474035E-3</v>
      </c>
      <c r="I240" s="6">
        <f>MAX($G240:$G$1261)</f>
        <v>14138.78</v>
      </c>
      <c r="J240" s="7">
        <f t="shared" si="18"/>
        <v>-7.1702791895764784E-2</v>
      </c>
      <c r="K240" s="6">
        <f t="shared" si="19"/>
        <v>219.34132376976572</v>
      </c>
    </row>
    <row r="241" spans="1:11" x14ac:dyDescent="0.25">
      <c r="A241" s="2">
        <f>DATE(2021,5,12)</f>
        <v>44328</v>
      </c>
      <c r="B241" s="6">
        <v>122.77</v>
      </c>
      <c r="C241" s="7">
        <f t="shared" si="15"/>
        <v>-2.4938448097847621E-2</v>
      </c>
      <c r="D241" s="6">
        <f>MAX($B241:$B$1261)</f>
        <v>143.16</v>
      </c>
      <c r="E241" s="7">
        <f t="shared" si="16"/>
        <v>-0.14242805252863933</v>
      </c>
      <c r="G241" s="6">
        <v>13031.68</v>
      </c>
      <c r="H241" s="7">
        <f t="shared" si="17"/>
        <v>-2.6718837172306831E-2</v>
      </c>
      <c r="I241" s="6">
        <f>MAX($G241:$G$1261)</f>
        <v>14138.78</v>
      </c>
      <c r="J241" s="7">
        <f t="shared" si="18"/>
        <v>-7.8302371208831323E-2</v>
      </c>
      <c r="K241" s="6">
        <f t="shared" si="19"/>
        <v>217.7819519972191</v>
      </c>
    </row>
    <row r="242" spans="1:11" x14ac:dyDescent="0.25">
      <c r="A242" s="2">
        <f>DATE(2021,5,11)</f>
        <v>44327</v>
      </c>
      <c r="B242" s="6">
        <v>125.91</v>
      </c>
      <c r="C242" s="7">
        <f t="shared" si="15"/>
        <v>-7.41032715806067E-3</v>
      </c>
      <c r="D242" s="6">
        <f>MAX($B242:$B$1261)</f>
        <v>143.16</v>
      </c>
      <c r="E242" s="7">
        <f t="shared" si="16"/>
        <v>-0.12049455155071254</v>
      </c>
      <c r="G242" s="6">
        <v>13389.43</v>
      </c>
      <c r="H242" s="7">
        <f t="shared" si="17"/>
        <v>-9.2748320009317098E-4</v>
      </c>
      <c r="I242" s="6">
        <f>MAX($G242:$G$1261)</f>
        <v>14138.78</v>
      </c>
      <c r="J242" s="7">
        <f t="shared" si="18"/>
        <v>-5.2999622315362482E-2</v>
      </c>
      <c r="K242" s="6">
        <f t="shared" si="19"/>
        <v>223.76057434882728</v>
      </c>
    </row>
    <row r="243" spans="1:11" x14ac:dyDescent="0.25">
      <c r="A243" s="2">
        <f>DATE(2021,5,10)</f>
        <v>44326</v>
      </c>
      <c r="B243" s="6">
        <v>126.85</v>
      </c>
      <c r="C243" s="7">
        <f t="shared" si="15"/>
        <v>-2.5804469702787936E-2</v>
      </c>
      <c r="D243" s="6">
        <f>MAX($B243:$B$1261)</f>
        <v>143.16</v>
      </c>
      <c r="E243" s="7">
        <f t="shared" si="16"/>
        <v>-0.11392847164012299</v>
      </c>
      <c r="G243" s="6">
        <v>13401.86</v>
      </c>
      <c r="H243" s="7">
        <f t="shared" si="17"/>
        <v>-2.5478031215278363E-2</v>
      </c>
      <c r="I243" s="6">
        <f>MAX($G243:$G$1261)</f>
        <v>14138.78</v>
      </c>
      <c r="J243" s="7">
        <f t="shared" si="18"/>
        <v>-5.2120479984836043E-2</v>
      </c>
      <c r="K243" s="6">
        <f t="shared" si="19"/>
        <v>223.96830118553027</v>
      </c>
    </row>
    <row r="244" spans="1:11" x14ac:dyDescent="0.25">
      <c r="A244" s="2">
        <f>DATE(2021,5,7)</f>
        <v>44323</v>
      </c>
      <c r="B244" s="6">
        <v>130.21</v>
      </c>
      <c r="C244" s="7">
        <f t="shared" si="15"/>
        <v>3.6226298751349528E-3</v>
      </c>
      <c r="D244" s="6">
        <f>MAX($B244:$B$1261)</f>
        <v>143.16</v>
      </c>
      <c r="E244" s="7">
        <f t="shared" si="16"/>
        <v>-9.0458228555462372E-2</v>
      </c>
      <c r="G244" s="6">
        <v>13752.24</v>
      </c>
      <c r="H244" s="7">
        <f t="shared" si="17"/>
        <v>8.758263135194122E-3</v>
      </c>
      <c r="I244" s="6">
        <f>MAX($G244:$G$1261)</f>
        <v>14138.78</v>
      </c>
      <c r="J244" s="7">
        <f t="shared" si="18"/>
        <v>-2.7338992473183721E-2</v>
      </c>
      <c r="K244" s="6">
        <f t="shared" si="19"/>
        <v>229.82375806758887</v>
      </c>
    </row>
    <row r="245" spans="1:11" x14ac:dyDescent="0.25">
      <c r="A245" s="2">
        <f>DATE(2021,5,6)</f>
        <v>44322</v>
      </c>
      <c r="B245" s="6">
        <v>129.74</v>
      </c>
      <c r="C245" s="7">
        <f t="shared" si="15"/>
        <v>1.2802498048399835E-2</v>
      </c>
      <c r="D245" s="6">
        <f>MAX($B245:$B$1261)</f>
        <v>143.16</v>
      </c>
      <c r="E245" s="7">
        <f t="shared" si="16"/>
        <v>-9.3741268510757148E-2</v>
      </c>
      <c r="G245" s="6">
        <v>13632.84</v>
      </c>
      <c r="H245" s="7">
        <f t="shared" si="17"/>
        <v>3.7121514428208879E-3</v>
      </c>
      <c r="I245" s="6">
        <f>MAX($G245:$G$1261)</f>
        <v>14138.78</v>
      </c>
      <c r="J245" s="7">
        <f t="shared" si="18"/>
        <v>-3.5783851223372909E-2</v>
      </c>
      <c r="K245" s="6">
        <f t="shared" si="19"/>
        <v>227.8283771904903</v>
      </c>
    </row>
    <row r="246" spans="1:11" x14ac:dyDescent="0.25">
      <c r="A246" s="2">
        <f>DATE(2021,5,5)</f>
        <v>44321</v>
      </c>
      <c r="B246" s="6">
        <v>128.1</v>
      </c>
      <c r="C246" s="7">
        <f t="shared" si="15"/>
        <v>1.9554165037152238E-3</v>
      </c>
      <c r="D246" s="6">
        <f>MAX($B246:$B$1261)</f>
        <v>143.16</v>
      </c>
      <c r="E246" s="7">
        <f t="shared" si="16"/>
        <v>-0.10519698239731767</v>
      </c>
      <c r="G246" s="6">
        <v>13582.42</v>
      </c>
      <c r="H246" s="7">
        <f t="shared" si="17"/>
        <v>-3.746653463894134E-3</v>
      </c>
      <c r="I246" s="6">
        <f>MAX($G246:$G$1261)</f>
        <v>14138.78</v>
      </c>
      <c r="J246" s="7">
        <f t="shared" si="18"/>
        <v>-3.9349929767632075E-2</v>
      </c>
      <c r="K246" s="6">
        <f t="shared" si="19"/>
        <v>226.9857716308311</v>
      </c>
    </row>
    <row r="247" spans="1:11" x14ac:dyDescent="0.25">
      <c r="A247" s="2">
        <f>DATE(2021,5,4)</f>
        <v>44320</v>
      </c>
      <c r="B247" s="6">
        <v>127.85</v>
      </c>
      <c r="C247" s="7">
        <f t="shared" si="15"/>
        <v>-3.5385543986721002E-2</v>
      </c>
      <c r="D247" s="6">
        <f>MAX($B247:$B$1261)</f>
        <v>143.16</v>
      </c>
      <c r="E247" s="7">
        <f t="shared" si="16"/>
        <v>-0.10694328024587874</v>
      </c>
      <c r="G247" s="6">
        <v>13633.5</v>
      </c>
      <c r="H247" s="7">
        <f t="shared" si="17"/>
        <v>-1.8828192919528641E-2</v>
      </c>
      <c r="I247" s="6">
        <f>MAX($G247:$G$1261)</f>
        <v>14138.78</v>
      </c>
      <c r="J247" s="7">
        <f t="shared" si="18"/>
        <v>-3.5737171099628151E-2</v>
      </c>
      <c r="K247" s="6">
        <f t="shared" si="19"/>
        <v>227.83940693403207</v>
      </c>
    </row>
    <row r="248" spans="1:11" x14ac:dyDescent="0.25">
      <c r="A248" s="2">
        <f>DATE(2021,5,3)</f>
        <v>44319</v>
      </c>
      <c r="B248" s="6">
        <v>132.54</v>
      </c>
      <c r="C248" s="7">
        <f t="shared" si="15"/>
        <v>8.2154267457781316E-3</v>
      </c>
      <c r="D248" s="6">
        <f>MAX($B248:$B$1261)</f>
        <v>143.16</v>
      </c>
      <c r="E248" s="7">
        <f t="shared" si="16"/>
        <v>-7.4182732606873469E-2</v>
      </c>
      <c r="G248" s="6">
        <v>13895.12</v>
      </c>
      <c r="H248" s="7">
        <f t="shared" si="17"/>
        <v>-4.8386126445638666E-3</v>
      </c>
      <c r="I248" s="6">
        <f>MAX($G248:$G$1261)</f>
        <v>14138.78</v>
      </c>
      <c r="J248" s="7">
        <f t="shared" si="18"/>
        <v>-1.7233452957044371E-2</v>
      </c>
      <c r="K248" s="6">
        <f t="shared" si="19"/>
        <v>232.2115304270516</v>
      </c>
    </row>
    <row r="249" spans="1:11" x14ac:dyDescent="0.25">
      <c r="A249" s="2">
        <f>DATE(2021,4,30)</f>
        <v>44316</v>
      </c>
      <c r="B249" s="6">
        <v>131.46</v>
      </c>
      <c r="C249" s="7">
        <f t="shared" si="15"/>
        <v>-1.5133353311357345E-2</v>
      </c>
      <c r="D249" s="6">
        <f>MAX($B249:$B$1261)</f>
        <v>143.16</v>
      </c>
      <c r="E249" s="7">
        <f t="shared" si="16"/>
        <v>-8.172673931265706E-2</v>
      </c>
      <c r="G249" s="6">
        <v>13962.68</v>
      </c>
      <c r="H249" s="7">
        <f t="shared" si="17"/>
        <v>-8.5119527358326064E-3</v>
      </c>
      <c r="I249" s="6">
        <f>MAX($G249:$G$1261)</f>
        <v>14138.78</v>
      </c>
      <c r="J249" s="7">
        <f t="shared" si="18"/>
        <v>-1.2455105744625827E-2</v>
      </c>
      <c r="K249" s="6">
        <f t="shared" si="19"/>
        <v>233.34057508414355</v>
      </c>
    </row>
    <row r="250" spans="1:11" x14ac:dyDescent="0.25">
      <c r="A250" s="2">
        <f>DATE(2021,4,29)</f>
        <v>44315</v>
      </c>
      <c r="B250" s="6">
        <v>133.47999999999999</v>
      </c>
      <c r="C250" s="7">
        <f t="shared" si="15"/>
        <v>-7.4861506213519391E-4</v>
      </c>
      <c r="D250" s="6">
        <f>MAX($B250:$B$1261)</f>
        <v>143.16</v>
      </c>
      <c r="E250" s="7">
        <f t="shared" si="16"/>
        <v>-6.7616652696283919E-2</v>
      </c>
      <c r="G250" s="6">
        <v>14082.55</v>
      </c>
      <c r="H250" s="7">
        <f t="shared" si="17"/>
        <v>2.2432519181867505E-3</v>
      </c>
      <c r="I250" s="6">
        <f>MAX($G250:$G$1261)</f>
        <v>14138.78</v>
      </c>
      <c r="J250" s="7">
        <f t="shared" si="18"/>
        <v>-3.9770050881335894E-3</v>
      </c>
      <c r="K250" s="6">
        <f t="shared" si="19"/>
        <v>235.34381047558244</v>
      </c>
    </row>
    <row r="251" spans="1:11" x14ac:dyDescent="0.25">
      <c r="A251" s="2">
        <f>DATE(2021,4,28)</f>
        <v>44314</v>
      </c>
      <c r="B251" s="6">
        <v>133.58000000000001</v>
      </c>
      <c r="C251" s="7">
        <f t="shared" si="15"/>
        <v>-6.0272341692088061E-3</v>
      </c>
      <c r="D251" s="6">
        <f>MAX($B251:$B$1261)</f>
        <v>143.16</v>
      </c>
      <c r="E251" s="7">
        <f t="shared" si="16"/>
        <v>-6.6918133556859383E-2</v>
      </c>
      <c r="G251" s="6">
        <v>14051.03</v>
      </c>
      <c r="H251" s="7">
        <f t="shared" si="17"/>
        <v>-2.7813618240168925E-3</v>
      </c>
      <c r="I251" s="6">
        <f>MAX($G251:$G$1261)</f>
        <v>14138.78</v>
      </c>
      <c r="J251" s="7">
        <f t="shared" si="18"/>
        <v>-6.2063346342471348E-3</v>
      </c>
      <c r="K251" s="6">
        <f t="shared" si="19"/>
        <v>234.81705666280064</v>
      </c>
    </row>
    <row r="252" spans="1:11" x14ac:dyDescent="0.25">
      <c r="A252" s="2">
        <f>DATE(2021,4,27)</f>
        <v>44313</v>
      </c>
      <c r="B252" s="6">
        <v>134.38999999999999</v>
      </c>
      <c r="C252" s="7">
        <f t="shared" si="15"/>
        <v>-2.4495249406176756E-3</v>
      </c>
      <c r="D252" s="6">
        <f>MAX($B252:$B$1261)</f>
        <v>143.16</v>
      </c>
      <c r="E252" s="7">
        <f t="shared" si="16"/>
        <v>-6.1260128527521718E-2</v>
      </c>
      <c r="G252" s="6">
        <v>14090.22</v>
      </c>
      <c r="H252" s="7">
        <f t="shared" si="17"/>
        <v>-3.4345254682512927E-3</v>
      </c>
      <c r="I252" s="6">
        <f>MAX($G252:$G$1261)</f>
        <v>14138.78</v>
      </c>
      <c r="J252" s="7">
        <f t="shared" si="18"/>
        <v>-3.4345254682512927E-3</v>
      </c>
      <c r="K252" s="6">
        <f t="shared" si="19"/>
        <v>235.47198946492369</v>
      </c>
    </row>
    <row r="253" spans="1:11" x14ac:dyDescent="0.25">
      <c r="A253" s="2">
        <f>DATE(2021,4,26)</f>
        <v>44312</v>
      </c>
      <c r="B253" s="6">
        <v>134.72</v>
      </c>
      <c r="C253" s="7">
        <f t="shared" si="15"/>
        <v>2.9779630732580387E-3</v>
      </c>
      <c r="D253" s="6">
        <f>MAX($B253:$B$1261)</f>
        <v>143.16</v>
      </c>
      <c r="E253" s="7">
        <f t="shared" si="16"/>
        <v>-5.8955015367421093E-2</v>
      </c>
      <c r="G253" s="6">
        <v>14138.78</v>
      </c>
      <c r="H253" s="7">
        <f t="shared" si="17"/>
        <v>8.7016946081170943E-3</v>
      </c>
      <c r="I253" s="6">
        <f>MAX($G253:$G$1261)</f>
        <v>14138.78</v>
      </c>
      <c r="J253" s="7">
        <f t="shared" si="18"/>
        <v>0</v>
      </c>
      <c r="K253" s="6">
        <f t="shared" si="19"/>
        <v>236.28351120187438</v>
      </c>
    </row>
    <row r="254" spans="1:11" x14ac:dyDescent="0.25">
      <c r="A254" s="2">
        <f>DATE(2021,4,23)</f>
        <v>44309</v>
      </c>
      <c r="B254" s="6">
        <v>134.32</v>
      </c>
      <c r="C254" s="7">
        <f t="shared" si="15"/>
        <v>1.8038502349552843E-2</v>
      </c>
      <c r="D254" s="6">
        <f>MAX($B254:$B$1261)</f>
        <v>143.16</v>
      </c>
      <c r="E254" s="7">
        <f t="shared" si="16"/>
        <v>-6.1749091925118793E-2</v>
      </c>
      <c r="G254" s="6">
        <v>14016.81</v>
      </c>
      <c r="H254" s="7">
        <f t="shared" si="17"/>
        <v>1.4357657646574262E-2</v>
      </c>
      <c r="I254" s="6">
        <f>MAX($G254:$G$1261)</f>
        <v>14095.47</v>
      </c>
      <c r="J254" s="7">
        <f t="shared" si="18"/>
        <v>-5.5805162935326225E-3</v>
      </c>
      <c r="K254" s="6">
        <f t="shared" si="19"/>
        <v>234.24518117189351</v>
      </c>
    </row>
    <row r="255" spans="1:11" x14ac:dyDescent="0.25">
      <c r="A255" s="2">
        <f>DATE(2021,4,22)</f>
        <v>44308</v>
      </c>
      <c r="B255" s="6">
        <v>131.94</v>
      </c>
      <c r="C255" s="7">
        <f t="shared" si="15"/>
        <v>-1.168539325842699E-2</v>
      </c>
      <c r="D255" s="6">
        <f>MAX($B255:$B$1261)</f>
        <v>143.16</v>
      </c>
      <c r="E255" s="7">
        <f t="shared" si="16"/>
        <v>-7.8373847443419908E-2</v>
      </c>
      <c r="G255" s="6">
        <v>13818.41</v>
      </c>
      <c r="H255" s="7">
        <f t="shared" si="17"/>
        <v>-9.4485965095890689E-3</v>
      </c>
      <c r="I255" s="6">
        <f>MAX($G255:$G$1261)</f>
        <v>14095.47</v>
      </c>
      <c r="J255" s="7">
        <f t="shared" si="18"/>
        <v>-1.9655960390111082E-2</v>
      </c>
      <c r="K255" s="6">
        <f t="shared" si="19"/>
        <v>230.92957341631265</v>
      </c>
    </row>
    <row r="256" spans="1:11" x14ac:dyDescent="0.25">
      <c r="A256" s="2">
        <f>DATE(2021,4,21)</f>
        <v>44307</v>
      </c>
      <c r="B256" s="6">
        <v>133.5</v>
      </c>
      <c r="C256" s="7">
        <f t="shared" si="15"/>
        <v>2.9299075952218256E-3</v>
      </c>
      <c r="D256" s="6">
        <f>MAX($B256:$B$1261)</f>
        <v>143.16</v>
      </c>
      <c r="E256" s="7">
        <f t="shared" si="16"/>
        <v>-6.7476948868398945E-2</v>
      </c>
      <c r="G256" s="6">
        <v>13950.22</v>
      </c>
      <c r="H256" s="7">
        <f t="shared" si="17"/>
        <v>1.1892266726242662E-2</v>
      </c>
      <c r="I256" s="6">
        <f>MAX($G256:$G$1261)</f>
        <v>14095.47</v>
      </c>
      <c r="J256" s="7">
        <f t="shared" si="18"/>
        <v>-1.0304729108004174E-2</v>
      </c>
      <c r="K256" s="6">
        <f t="shared" si="19"/>
        <v>233.13234689546141</v>
      </c>
    </row>
    <row r="257" spans="1:11" x14ac:dyDescent="0.25">
      <c r="A257" s="2">
        <f>DATE(2021,4,20)</f>
        <v>44306</v>
      </c>
      <c r="B257" s="6">
        <v>133.11000000000001</v>
      </c>
      <c r="C257" s="7">
        <f t="shared" si="15"/>
        <v>-1.2830020765351446E-2</v>
      </c>
      <c r="D257" s="6">
        <f>MAX($B257:$B$1261)</f>
        <v>143.16</v>
      </c>
      <c r="E257" s="7">
        <f t="shared" si="16"/>
        <v>-7.0201173512154158E-2</v>
      </c>
      <c r="G257" s="6">
        <v>13786.27</v>
      </c>
      <c r="H257" s="7">
        <f t="shared" si="17"/>
        <v>-9.234791520089769E-3</v>
      </c>
      <c r="I257" s="6">
        <f>MAX($G257:$G$1261)</f>
        <v>14095.47</v>
      </c>
      <c r="J257" s="7">
        <f t="shared" si="18"/>
        <v>-2.1936125577933785E-2</v>
      </c>
      <c r="K257" s="6">
        <f t="shared" si="19"/>
        <v>230.3924583292947</v>
      </c>
    </row>
    <row r="258" spans="1:11" x14ac:dyDescent="0.25">
      <c r="A258" s="2">
        <f>DATE(2021,4,19)</f>
        <v>44305</v>
      </c>
      <c r="B258" s="6">
        <v>134.84</v>
      </c>
      <c r="C258" s="7">
        <f t="shared" ref="C258:C321" si="20">IFERROR(B258/B259-1,0)</f>
        <v>5.0685748360166372E-3</v>
      </c>
      <c r="D258" s="6">
        <f>MAX($B258:$B$1261)</f>
        <v>143.16</v>
      </c>
      <c r="E258" s="7">
        <f t="shared" ref="E258:E321" si="21">$B258/$D258-1</f>
        <v>-5.8116792400111694E-2</v>
      </c>
      <c r="G258" s="6">
        <v>13914.77</v>
      </c>
      <c r="H258" s="7">
        <f t="shared" ref="H258:H321" si="22">IFERROR(G258/G259-1,0)</f>
        <v>-9.7898285979416411E-3</v>
      </c>
      <c r="I258" s="6">
        <f>MAX($G258:$G$1261)</f>
        <v>14095.47</v>
      </c>
      <c r="J258" s="7">
        <f t="shared" ref="J258:J321" si="23">$G258/$I258-1</f>
        <v>-1.2819721513365523E-2</v>
      </c>
      <c r="K258" s="6">
        <f t="shared" ref="K258:K321" si="24">$K259*(1+H258)</f>
        <v>232.53991597340831</v>
      </c>
    </row>
    <row r="259" spans="1:11" x14ac:dyDescent="0.25">
      <c r="A259" s="2">
        <f>DATE(2021,4,16)</f>
        <v>44302</v>
      </c>
      <c r="B259" s="6">
        <v>134.16</v>
      </c>
      <c r="C259" s="7">
        <f t="shared" si="20"/>
        <v>-2.5278810408921881E-3</v>
      </c>
      <c r="D259" s="6">
        <f>MAX($B259:$B$1261)</f>
        <v>143.16</v>
      </c>
      <c r="E259" s="7">
        <f t="shared" si="21"/>
        <v>-6.2866722548197806E-2</v>
      </c>
      <c r="G259" s="6">
        <v>14052.34</v>
      </c>
      <c r="H259" s="7">
        <f t="shared" si="22"/>
        <v>9.6732190022486009E-4</v>
      </c>
      <c r="I259" s="6">
        <f>MAX($G259:$G$1261)</f>
        <v>14095.47</v>
      </c>
      <c r="J259" s="7">
        <f t="shared" si="23"/>
        <v>-3.0598483058741355E-3</v>
      </c>
      <c r="K259" s="6">
        <f t="shared" si="24"/>
        <v>234.83894903255782</v>
      </c>
    </row>
    <row r="260" spans="1:11" x14ac:dyDescent="0.25">
      <c r="A260" s="2">
        <f>DATE(2021,4,15)</f>
        <v>44301</v>
      </c>
      <c r="B260" s="6">
        <v>134.5</v>
      </c>
      <c r="C260" s="7">
        <f t="shared" si="20"/>
        <v>1.8707869423615797E-2</v>
      </c>
      <c r="D260" s="6">
        <f>MAX($B260:$B$1261)</f>
        <v>143.16</v>
      </c>
      <c r="E260" s="7">
        <f t="shared" si="21"/>
        <v>-6.0491757474154806E-2</v>
      </c>
      <c r="G260" s="6">
        <v>14038.76</v>
      </c>
      <c r="H260" s="7">
        <f t="shared" si="22"/>
        <v>1.305542566518314E-2</v>
      </c>
      <c r="I260" s="6">
        <f>MAX($G260:$G$1261)</f>
        <v>14095.47</v>
      </c>
      <c r="J260" s="7">
        <f t="shared" si="23"/>
        <v>-4.023278400791086E-3</v>
      </c>
      <c r="K260" s="6">
        <f t="shared" si="24"/>
        <v>234.61200370331997</v>
      </c>
    </row>
    <row r="261" spans="1:11" x14ac:dyDescent="0.25">
      <c r="A261" s="2">
        <f>DATE(2021,4,14)</f>
        <v>44300</v>
      </c>
      <c r="B261" s="6">
        <v>132.03</v>
      </c>
      <c r="C261" s="7">
        <f t="shared" si="20"/>
        <v>-1.7853157777281914E-2</v>
      </c>
      <c r="D261" s="6">
        <f>MAX($B261:$B$1261)</f>
        <v>143.16</v>
      </c>
      <c r="E261" s="7">
        <f t="shared" si="21"/>
        <v>-7.774518021793797E-2</v>
      </c>
      <c r="G261" s="6">
        <v>13857.84</v>
      </c>
      <c r="H261" s="7">
        <f t="shared" si="22"/>
        <v>-9.8784661441401189E-3</v>
      </c>
      <c r="I261" s="6">
        <f>MAX($G261:$G$1261)</f>
        <v>14095.47</v>
      </c>
      <c r="J261" s="7">
        <f t="shared" si="23"/>
        <v>-1.6858607765473543E-2</v>
      </c>
      <c r="K261" s="6">
        <f t="shared" si="24"/>
        <v>231.58851703426907</v>
      </c>
    </row>
    <row r="262" spans="1:11" x14ac:dyDescent="0.25">
      <c r="A262" s="2">
        <f>DATE(2021,4,13)</f>
        <v>44299</v>
      </c>
      <c r="B262" s="6">
        <v>134.43</v>
      </c>
      <c r="C262" s="7">
        <f t="shared" si="20"/>
        <v>2.430661383724475E-2</v>
      </c>
      <c r="D262" s="6">
        <f>MAX($B262:$B$1261)</f>
        <v>143.16</v>
      </c>
      <c r="E262" s="7">
        <f t="shared" si="21"/>
        <v>-6.098072087175177E-2</v>
      </c>
      <c r="G262" s="6">
        <v>13996.1</v>
      </c>
      <c r="H262" s="7">
        <f t="shared" si="22"/>
        <v>1.0548736462093977E-2</v>
      </c>
      <c r="I262" s="6">
        <f>MAX($G262:$G$1261)</f>
        <v>14095.47</v>
      </c>
      <c r="J262" s="7">
        <f t="shared" si="23"/>
        <v>-7.0497826606703562E-3</v>
      </c>
      <c r="K262" s="6">
        <f t="shared" si="24"/>
        <v>233.8990811889395</v>
      </c>
    </row>
    <row r="263" spans="1:11" x14ac:dyDescent="0.25">
      <c r="A263" s="2">
        <f>DATE(2021,4,12)</f>
        <v>44298</v>
      </c>
      <c r="B263" s="6">
        <v>131.24</v>
      </c>
      <c r="C263" s="7">
        <f t="shared" si="20"/>
        <v>-1.3233082706766819E-2</v>
      </c>
      <c r="D263" s="6">
        <f>MAX($B263:$B$1261)</f>
        <v>143.16</v>
      </c>
      <c r="E263" s="7">
        <f t="shared" si="21"/>
        <v>-8.3263481419390772E-2</v>
      </c>
      <c r="G263" s="6">
        <v>13850</v>
      </c>
      <c r="H263" s="7">
        <f t="shared" si="22"/>
        <v>-3.6107420114401823E-3</v>
      </c>
      <c r="I263" s="6">
        <f>MAX($G263:$G$1261)</f>
        <v>14095.47</v>
      </c>
      <c r="J263" s="7">
        <f t="shared" si="23"/>
        <v>-1.7414814830580272E-2</v>
      </c>
      <c r="K263" s="6">
        <f t="shared" si="24"/>
        <v>231.45749705037917</v>
      </c>
    </row>
    <row r="264" spans="1:11" x14ac:dyDescent="0.25">
      <c r="A264" s="2">
        <f>DATE(2021,4,9)</f>
        <v>44295</v>
      </c>
      <c r="B264" s="6">
        <v>133</v>
      </c>
      <c r="C264" s="7">
        <f t="shared" si="20"/>
        <v>2.0251610923596175E-2</v>
      </c>
      <c r="D264" s="6">
        <f>MAX($B264:$B$1261)</f>
        <v>143.16</v>
      </c>
      <c r="E264" s="7">
        <f t="shared" si="21"/>
        <v>-7.096954456552107E-2</v>
      </c>
      <c r="G264" s="6">
        <v>13900.19</v>
      </c>
      <c r="H264" s="7">
        <f t="shared" si="22"/>
        <v>5.1253460946352192E-3</v>
      </c>
      <c r="I264" s="6">
        <f>MAX($G264:$G$1261)</f>
        <v>14095.47</v>
      </c>
      <c r="J264" s="7">
        <f t="shared" si="23"/>
        <v>-1.3854096386995196E-2</v>
      </c>
      <c r="K264" s="6">
        <f t="shared" si="24"/>
        <v>232.29625891153142</v>
      </c>
    </row>
    <row r="265" spans="1:11" x14ac:dyDescent="0.25">
      <c r="A265" s="2">
        <f>DATE(2021,4,8)</f>
        <v>44294</v>
      </c>
      <c r="B265" s="6">
        <v>130.36000000000001</v>
      </c>
      <c r="C265" s="7">
        <f t="shared" si="20"/>
        <v>1.9233776387802992E-2</v>
      </c>
      <c r="D265" s="6">
        <f>MAX($B265:$B$1261)</f>
        <v>143.16</v>
      </c>
      <c r="E265" s="7">
        <f t="shared" si="21"/>
        <v>-8.9410449846325624E-2</v>
      </c>
      <c r="G265" s="6">
        <v>13829.31</v>
      </c>
      <c r="H265" s="7">
        <f t="shared" si="22"/>
        <v>1.0261643791585007E-2</v>
      </c>
      <c r="I265" s="6">
        <f>MAX($G265:$G$1261)</f>
        <v>14095.47</v>
      </c>
      <c r="J265" s="7">
        <f t="shared" si="23"/>
        <v>-1.888266230214386E-2</v>
      </c>
      <c r="K265" s="6">
        <f t="shared" si="24"/>
        <v>231.11173130207794</v>
      </c>
    </row>
    <row r="266" spans="1:11" x14ac:dyDescent="0.25">
      <c r="A266" s="2">
        <f>DATE(2021,4,7)</f>
        <v>44293</v>
      </c>
      <c r="B266" s="6">
        <v>127.9</v>
      </c>
      <c r="C266" s="7">
        <f t="shared" si="20"/>
        <v>1.3390381110847116E-2</v>
      </c>
      <c r="D266" s="6">
        <f>MAX($B266:$B$1261)</f>
        <v>143.16</v>
      </c>
      <c r="E266" s="7">
        <f t="shared" si="21"/>
        <v>-0.10659402067616641</v>
      </c>
      <c r="G266" s="6">
        <v>13688.84</v>
      </c>
      <c r="H266" s="7">
        <f t="shared" si="22"/>
        <v>-6.9643271686137265E-4</v>
      </c>
      <c r="I266" s="6">
        <f>MAX($G266:$G$1261)</f>
        <v>14095.47</v>
      </c>
      <c r="J266" s="7">
        <f t="shared" si="23"/>
        <v>-2.8848275367901799E-2</v>
      </c>
      <c r="K266" s="6">
        <f t="shared" si="24"/>
        <v>228.76423421827528</v>
      </c>
    </row>
    <row r="267" spans="1:11" x14ac:dyDescent="0.25">
      <c r="A267" s="2">
        <f>DATE(2021,4,6)</f>
        <v>44292</v>
      </c>
      <c r="B267" s="6">
        <v>126.21</v>
      </c>
      <c r="C267" s="7">
        <f t="shared" si="20"/>
        <v>2.4622716441620174E-3</v>
      </c>
      <c r="D267" s="6">
        <f>MAX($B267:$B$1261)</f>
        <v>143.16</v>
      </c>
      <c r="E267" s="7">
        <f t="shared" si="21"/>
        <v>-0.11839899413243926</v>
      </c>
      <c r="G267" s="6">
        <v>13698.38</v>
      </c>
      <c r="H267" s="7">
        <f t="shared" si="22"/>
        <v>-5.2606272331223725E-4</v>
      </c>
      <c r="I267" s="6">
        <f>MAX($G267:$G$1261)</f>
        <v>14095.47</v>
      </c>
      <c r="J267" s="7">
        <f t="shared" si="23"/>
        <v>-2.8171462178983808E-2</v>
      </c>
      <c r="K267" s="6">
        <f t="shared" si="24"/>
        <v>228.92366414765149</v>
      </c>
    </row>
    <row r="268" spans="1:11" x14ac:dyDescent="0.25">
      <c r="A268" s="2">
        <f>DATE(2021,4,5)</f>
        <v>44291</v>
      </c>
      <c r="B268" s="6">
        <v>125.9</v>
      </c>
      <c r="C268" s="7">
        <f t="shared" si="20"/>
        <v>2.3577235772357819E-2</v>
      </c>
      <c r="D268" s="6">
        <f>MAX($B268:$B$1261)</f>
        <v>143.16</v>
      </c>
      <c r="E268" s="7">
        <f t="shared" si="21"/>
        <v>-0.12056440346465491</v>
      </c>
      <c r="G268" s="6">
        <v>13705.59</v>
      </c>
      <c r="H268" s="7">
        <f t="shared" si="22"/>
        <v>1.672686647215782E-2</v>
      </c>
      <c r="I268" s="6">
        <f>MAX($G268:$G$1261)</f>
        <v>14095.47</v>
      </c>
      <c r="J268" s="7">
        <f t="shared" si="23"/>
        <v>-2.7659950324465887E-2</v>
      </c>
      <c r="K268" s="6">
        <f t="shared" si="24"/>
        <v>229.04415573997881</v>
      </c>
    </row>
    <row r="269" spans="1:11" x14ac:dyDescent="0.25">
      <c r="A269" s="2">
        <f>DATE(2021,4,1)</f>
        <v>44287</v>
      </c>
      <c r="B269" s="6">
        <v>123</v>
      </c>
      <c r="C269" s="7">
        <f t="shared" si="20"/>
        <v>6.9586573884568015E-3</v>
      </c>
      <c r="D269" s="6">
        <f>MAX($B269:$B$1261)</f>
        <v>143.16</v>
      </c>
      <c r="E269" s="7">
        <f t="shared" si="21"/>
        <v>-0.14082145850796313</v>
      </c>
      <c r="G269" s="6">
        <v>13480.11</v>
      </c>
      <c r="H269" s="7">
        <f t="shared" si="22"/>
        <v>1.7607178148498548E-2</v>
      </c>
      <c r="I269" s="6">
        <f>MAX($G269:$G$1261)</f>
        <v>14095.47</v>
      </c>
      <c r="J269" s="7">
        <f t="shared" si="23"/>
        <v>-4.3656579028581444E-2</v>
      </c>
      <c r="K269" s="6">
        <f t="shared" si="24"/>
        <v>225.27599426453335</v>
      </c>
    </row>
    <row r="270" spans="1:11" x14ac:dyDescent="0.25">
      <c r="A270" s="2">
        <f>DATE(2021,3,31)</f>
        <v>44286</v>
      </c>
      <c r="B270" s="6">
        <v>122.15</v>
      </c>
      <c r="C270" s="7">
        <f t="shared" si="20"/>
        <v>1.8765638031693177E-2</v>
      </c>
      <c r="D270" s="6">
        <f>MAX($B270:$B$1261)</f>
        <v>143.16</v>
      </c>
      <c r="E270" s="7">
        <f t="shared" si="21"/>
        <v>-0.14675887119307063</v>
      </c>
      <c r="G270" s="6">
        <v>13246.87</v>
      </c>
      <c r="H270" s="7">
        <f t="shared" si="22"/>
        <v>1.5444536345789794E-2</v>
      </c>
      <c r="I270" s="6">
        <f>MAX($G270:$G$1261)</f>
        <v>14095.47</v>
      </c>
      <c r="J270" s="7">
        <f t="shared" si="23"/>
        <v>-6.0203739215506702E-2</v>
      </c>
      <c r="K270" s="6">
        <f t="shared" si="24"/>
        <v>221.3781497438091</v>
      </c>
    </row>
    <row r="271" spans="1:11" x14ac:dyDescent="0.25">
      <c r="A271" s="2">
        <f>DATE(2021,3,30)</f>
        <v>44285</v>
      </c>
      <c r="B271" s="6">
        <v>119.9</v>
      </c>
      <c r="C271" s="7">
        <f t="shared" si="20"/>
        <v>-1.2274487190048533E-2</v>
      </c>
      <c r="D271" s="6">
        <f>MAX($B271:$B$1261)</f>
        <v>143.16</v>
      </c>
      <c r="E271" s="7">
        <f t="shared" si="21"/>
        <v>-0.16247555183012008</v>
      </c>
      <c r="G271" s="6">
        <v>13045.39</v>
      </c>
      <c r="H271" s="7">
        <f t="shared" si="22"/>
        <v>-1.0919128766850861E-3</v>
      </c>
      <c r="I271" s="6">
        <f>MAX($G271:$G$1261)</f>
        <v>14095.47</v>
      </c>
      <c r="J271" s="7">
        <f t="shared" si="23"/>
        <v>-7.4497693230520134E-2</v>
      </c>
      <c r="K271" s="6">
        <f t="shared" si="24"/>
        <v>218.0110698517</v>
      </c>
    </row>
    <row r="272" spans="1:11" x14ac:dyDescent="0.25">
      <c r="A272" s="2">
        <f>DATE(2021,3,29)</f>
        <v>44284</v>
      </c>
      <c r="B272" s="6">
        <v>121.39</v>
      </c>
      <c r="C272" s="7">
        <f t="shared" si="20"/>
        <v>1.4850259879548577E-3</v>
      </c>
      <c r="D272" s="6">
        <f>MAX($B272:$B$1261)</f>
        <v>143.16</v>
      </c>
      <c r="E272" s="7">
        <f t="shared" si="21"/>
        <v>-0.1520676166526963</v>
      </c>
      <c r="G272" s="6">
        <v>13059.65</v>
      </c>
      <c r="H272" s="7">
        <f t="shared" si="22"/>
        <v>-6.018846570406744E-3</v>
      </c>
      <c r="I272" s="6">
        <f>MAX($G272:$G$1261)</f>
        <v>14095.47</v>
      </c>
      <c r="J272" s="7">
        <f t="shared" si="23"/>
        <v>-7.3486020686078568E-2</v>
      </c>
      <c r="K272" s="6">
        <f t="shared" si="24"/>
        <v>218.24937915913239</v>
      </c>
    </row>
    <row r="273" spans="1:11" x14ac:dyDescent="0.25">
      <c r="A273" s="2">
        <f>DATE(2021,3,26)</f>
        <v>44281</v>
      </c>
      <c r="B273" s="6">
        <v>121.21</v>
      </c>
      <c r="C273" s="7">
        <f t="shared" si="20"/>
        <v>5.1413881748070267E-3</v>
      </c>
      <c r="D273" s="6">
        <f>MAX($B273:$B$1261)</f>
        <v>143.16</v>
      </c>
      <c r="E273" s="7">
        <f t="shared" si="21"/>
        <v>-0.15332495110366029</v>
      </c>
      <c r="G273" s="6">
        <v>13138.73</v>
      </c>
      <c r="H273" s="7">
        <f t="shared" si="22"/>
        <v>1.2409768155787315E-2</v>
      </c>
      <c r="I273" s="6">
        <f>MAX($G273:$G$1261)</f>
        <v>14095.47</v>
      </c>
      <c r="J273" s="7">
        <f t="shared" si="23"/>
        <v>-6.7875707585486666E-2</v>
      </c>
      <c r="K273" s="6">
        <f t="shared" si="24"/>
        <v>219.57094297622581</v>
      </c>
    </row>
    <row r="274" spans="1:11" x14ac:dyDescent="0.25">
      <c r="A274" s="2">
        <f>DATE(2021,3,25)</f>
        <v>44280</v>
      </c>
      <c r="B274" s="6">
        <v>120.59</v>
      </c>
      <c r="C274" s="7">
        <f t="shared" si="20"/>
        <v>4.1635440086602582E-3</v>
      </c>
      <c r="D274" s="6">
        <f>MAX($B274:$B$1261)</f>
        <v>143.16</v>
      </c>
      <c r="E274" s="7">
        <f t="shared" si="21"/>
        <v>-0.15765576976809159</v>
      </c>
      <c r="G274" s="6">
        <v>12977.68</v>
      </c>
      <c r="H274" s="7">
        <f t="shared" si="22"/>
        <v>1.2181865453264606E-3</v>
      </c>
      <c r="I274" s="6">
        <f>MAX($G274:$G$1261)</f>
        <v>14095.47</v>
      </c>
      <c r="J274" s="7">
        <f t="shared" si="23"/>
        <v>-7.9301364197149837E-2</v>
      </c>
      <c r="K274" s="6">
        <f t="shared" si="24"/>
        <v>216.87951843471222</v>
      </c>
    </row>
    <row r="275" spans="1:11" x14ac:dyDescent="0.25">
      <c r="A275" s="2">
        <f>DATE(2021,3,24)</f>
        <v>44279</v>
      </c>
      <c r="B275" s="6">
        <v>120.09</v>
      </c>
      <c r="C275" s="7">
        <f t="shared" si="20"/>
        <v>-1.9993471519503814E-2</v>
      </c>
      <c r="D275" s="6">
        <f>MAX($B275:$B$1261)</f>
        <v>143.16</v>
      </c>
      <c r="E275" s="7">
        <f t="shared" si="21"/>
        <v>-0.16114836546521372</v>
      </c>
      <c r="G275" s="6">
        <v>12961.89</v>
      </c>
      <c r="H275" s="7">
        <f t="shared" si="22"/>
        <v>-2.0094952259274157E-2</v>
      </c>
      <c r="I275" s="6">
        <f>MAX($G275:$G$1261)</f>
        <v>14095.47</v>
      </c>
      <c r="J275" s="7">
        <f t="shared" si="23"/>
        <v>-8.0421582253021762E-2</v>
      </c>
      <c r="K275" s="6">
        <f t="shared" si="24"/>
        <v>216.61564017634214</v>
      </c>
    </row>
    <row r="276" spans="1:11" x14ac:dyDescent="0.25">
      <c r="A276" s="2">
        <f>DATE(2021,3,23)</f>
        <v>44278</v>
      </c>
      <c r="B276" s="6">
        <v>122.54</v>
      </c>
      <c r="C276" s="7">
        <f t="shared" si="20"/>
        <v>-6.8887268011994518E-3</v>
      </c>
      <c r="D276" s="6">
        <f>MAX($B276:$B$1261)</f>
        <v>143.16</v>
      </c>
      <c r="E276" s="7">
        <f t="shared" si="21"/>
        <v>-0.14403464654931541</v>
      </c>
      <c r="G276" s="6">
        <v>13227.7</v>
      </c>
      <c r="H276" s="7">
        <f t="shared" si="22"/>
        <v>-1.1200863536943273E-2</v>
      </c>
      <c r="I276" s="6">
        <f>MAX($G276:$G$1261)</f>
        <v>14095.47</v>
      </c>
      <c r="J276" s="7">
        <f t="shared" si="23"/>
        <v>-6.1563750623427116E-2</v>
      </c>
      <c r="K276" s="6">
        <f t="shared" si="24"/>
        <v>221.05778582911913</v>
      </c>
    </row>
    <row r="277" spans="1:11" x14ac:dyDescent="0.25">
      <c r="A277" s="2">
        <f>DATE(2021,3,22)</f>
        <v>44277</v>
      </c>
      <c r="B277" s="6">
        <v>123.39</v>
      </c>
      <c r="C277" s="7">
        <f t="shared" si="20"/>
        <v>2.8335694641220099E-2</v>
      </c>
      <c r="D277" s="6">
        <f>MAX($B277:$B$1261)</f>
        <v>143.16</v>
      </c>
      <c r="E277" s="7">
        <f t="shared" si="21"/>
        <v>-0.1380972338642078</v>
      </c>
      <c r="G277" s="6">
        <v>13377.54</v>
      </c>
      <c r="H277" s="7">
        <f t="shared" si="22"/>
        <v>1.2281275254933055E-2</v>
      </c>
      <c r="I277" s="6">
        <f>MAX($G277:$G$1261)</f>
        <v>14095.47</v>
      </c>
      <c r="J277" s="7">
        <f t="shared" si="23"/>
        <v>-5.093338498113209E-2</v>
      </c>
      <c r="K277" s="6">
        <f t="shared" si="24"/>
        <v>223.56187184774936</v>
      </c>
    </row>
    <row r="278" spans="1:11" x14ac:dyDescent="0.25">
      <c r="A278" s="2">
        <f>DATE(2021,3,19)</f>
        <v>44274</v>
      </c>
      <c r="B278" s="6">
        <v>119.99</v>
      </c>
      <c r="C278" s="7">
        <f t="shared" si="20"/>
        <v>-4.4802123952543127E-3</v>
      </c>
      <c r="D278" s="6">
        <f>MAX($B278:$B$1261)</f>
        <v>143.16</v>
      </c>
      <c r="E278" s="7">
        <f t="shared" si="21"/>
        <v>-0.16184688460463814</v>
      </c>
      <c r="G278" s="6">
        <v>13215.24</v>
      </c>
      <c r="H278" s="7">
        <f t="shared" si="22"/>
        <v>7.5532720298685518E-3</v>
      </c>
      <c r="I278" s="6">
        <f>MAX($G278:$G$1261)</f>
        <v>14095.47</v>
      </c>
      <c r="J278" s="7">
        <f t="shared" si="23"/>
        <v>-6.2447722566186137E-2</v>
      </c>
      <c r="K278" s="6">
        <f t="shared" si="24"/>
        <v>220.84955764043696</v>
      </c>
    </row>
    <row r="279" spans="1:11" x14ac:dyDescent="0.25">
      <c r="A279" s="2">
        <f>DATE(2021,3,18)</f>
        <v>44273</v>
      </c>
      <c r="B279" s="6">
        <v>120.53</v>
      </c>
      <c r="C279" s="7">
        <f t="shared" si="20"/>
        <v>-3.3905097787752525E-2</v>
      </c>
      <c r="D279" s="6">
        <f>MAX($B279:$B$1261)</f>
        <v>143.16</v>
      </c>
      <c r="E279" s="7">
        <f t="shared" si="21"/>
        <v>-0.15807488125174629</v>
      </c>
      <c r="G279" s="6">
        <v>13116.17</v>
      </c>
      <c r="H279" s="7">
        <f t="shared" si="22"/>
        <v>-3.0242066660751799E-2</v>
      </c>
      <c r="I279" s="6">
        <f>MAX($G279:$G$1261)</f>
        <v>14095.47</v>
      </c>
      <c r="J279" s="7">
        <f t="shared" si="23"/>
        <v>-6.9476221793242754E-2</v>
      </c>
      <c r="K279" s="6">
        <f t="shared" si="24"/>
        <v>219.19392628788958</v>
      </c>
    </row>
    <row r="280" spans="1:11" x14ac:dyDescent="0.25">
      <c r="A280" s="2">
        <f>DATE(2021,3,17)</f>
        <v>44272</v>
      </c>
      <c r="B280" s="6">
        <v>124.76</v>
      </c>
      <c r="C280" s="7">
        <f t="shared" si="20"/>
        <v>-6.4505853308910455E-3</v>
      </c>
      <c r="D280" s="6">
        <f>MAX($B280:$B$1261)</f>
        <v>143.16</v>
      </c>
      <c r="E280" s="7">
        <f t="shared" si="21"/>
        <v>-0.12852752165409331</v>
      </c>
      <c r="G280" s="6">
        <v>13525.2</v>
      </c>
      <c r="H280" s="7">
        <f t="shared" si="22"/>
        <v>3.9809762336535659E-3</v>
      </c>
      <c r="I280" s="6">
        <f>MAX($G280:$G$1261)</f>
        <v>14095.47</v>
      </c>
      <c r="J280" s="7">
        <f t="shared" si="23"/>
        <v>-4.0457678956430598E-2</v>
      </c>
      <c r="K280" s="6">
        <f t="shared" si="24"/>
        <v>226.02952628922651</v>
      </c>
    </row>
    <row r="281" spans="1:11" x14ac:dyDescent="0.25">
      <c r="A281" s="2">
        <f>DATE(2021,3,16)</f>
        <v>44271</v>
      </c>
      <c r="B281" s="6">
        <v>125.57</v>
      </c>
      <c r="C281" s="7">
        <f t="shared" si="20"/>
        <v>1.2742963142188923E-2</v>
      </c>
      <c r="D281" s="6">
        <f>MAX($B281:$B$1261)</f>
        <v>143.16</v>
      </c>
      <c r="E281" s="7">
        <f t="shared" si="21"/>
        <v>-0.12286951662475554</v>
      </c>
      <c r="G281" s="6">
        <v>13471.57</v>
      </c>
      <c r="H281" s="7">
        <f t="shared" si="22"/>
        <v>8.8114825653762274E-4</v>
      </c>
      <c r="I281" s="6">
        <f>MAX($G281:$G$1261)</f>
        <v>14095.47</v>
      </c>
      <c r="J281" s="7">
        <f t="shared" si="23"/>
        <v>-4.4262447438787045E-2</v>
      </c>
      <c r="K281" s="6">
        <f t="shared" si="24"/>
        <v>225.13327606779606</v>
      </c>
    </row>
    <row r="282" spans="1:11" x14ac:dyDescent="0.25">
      <c r="A282" s="2">
        <f>DATE(2021,3,15)</f>
        <v>44270</v>
      </c>
      <c r="B282" s="6">
        <v>123.99</v>
      </c>
      <c r="C282" s="7">
        <f t="shared" si="20"/>
        <v>2.4456746261257489E-2</v>
      </c>
      <c r="D282" s="6">
        <f>MAX($B282:$B$1261)</f>
        <v>143.16</v>
      </c>
      <c r="E282" s="7">
        <f t="shared" si="21"/>
        <v>-0.13390611902766136</v>
      </c>
      <c r="G282" s="6">
        <v>13459.71</v>
      </c>
      <c r="H282" s="7">
        <f t="shared" si="22"/>
        <v>1.0499359602878622E-2</v>
      </c>
      <c r="I282" s="6">
        <f>MAX($G282:$G$1261)</f>
        <v>14095.47</v>
      </c>
      <c r="J282" s="7">
        <f t="shared" si="23"/>
        <v>-4.5103852514318477E-2</v>
      </c>
      <c r="K282" s="6">
        <f t="shared" si="24"/>
        <v>224.9350749186973</v>
      </c>
    </row>
    <row r="283" spans="1:11" x14ac:dyDescent="0.25">
      <c r="A283" s="2">
        <f>DATE(2021,3,12)</f>
        <v>44267</v>
      </c>
      <c r="B283" s="6">
        <v>121.03</v>
      </c>
      <c r="C283" s="7">
        <f t="shared" si="20"/>
        <v>-7.6254509675303117E-3</v>
      </c>
      <c r="D283" s="6">
        <f>MAX($B283:$B$1261)</f>
        <v>143.16</v>
      </c>
      <c r="E283" s="7">
        <f t="shared" si="21"/>
        <v>-0.15458228555462417</v>
      </c>
      <c r="G283" s="6">
        <v>13319.86</v>
      </c>
      <c r="H283" s="7">
        <f t="shared" si="22"/>
        <v>-5.8819270867929152E-3</v>
      </c>
      <c r="I283" s="6">
        <f>MAX($G283:$G$1261)</f>
        <v>14095.47</v>
      </c>
      <c r="J283" s="7">
        <f t="shared" si="23"/>
        <v>-5.502547981727457E-2</v>
      </c>
      <c r="K283" s="6">
        <f t="shared" si="24"/>
        <v>222.59793910913086</v>
      </c>
    </row>
    <row r="284" spans="1:11" x14ac:dyDescent="0.25">
      <c r="A284" s="2">
        <f>DATE(2021,3,11)</f>
        <v>44266</v>
      </c>
      <c r="B284" s="6">
        <v>121.96</v>
      </c>
      <c r="C284" s="7">
        <f t="shared" si="20"/>
        <v>1.6502750458409654E-2</v>
      </c>
      <c r="D284" s="6">
        <f>MAX($B284:$B$1261)</f>
        <v>143.16</v>
      </c>
      <c r="E284" s="7">
        <f t="shared" si="21"/>
        <v>-0.1480860575579771</v>
      </c>
      <c r="G284" s="6">
        <v>13398.67</v>
      </c>
      <c r="H284" s="7">
        <f t="shared" si="22"/>
        <v>2.5238678596324338E-2</v>
      </c>
      <c r="I284" s="6">
        <f>MAX($G284:$G$1261)</f>
        <v>14095.47</v>
      </c>
      <c r="J284" s="7">
        <f t="shared" si="23"/>
        <v>-4.9434321806935078E-2</v>
      </c>
      <c r="K284" s="6">
        <f t="shared" si="24"/>
        <v>223.91499075841176</v>
      </c>
    </row>
    <row r="285" spans="1:11" x14ac:dyDescent="0.25">
      <c r="A285" s="2">
        <f>DATE(2021,3,10)</f>
        <v>44265</v>
      </c>
      <c r="B285" s="6">
        <v>119.98</v>
      </c>
      <c r="C285" s="7">
        <f t="shared" si="20"/>
        <v>-9.1667354860021089E-3</v>
      </c>
      <c r="D285" s="6">
        <f>MAX($B285:$B$1261)</f>
        <v>143.16</v>
      </c>
      <c r="E285" s="7">
        <f t="shared" si="21"/>
        <v>-0.16191673651858052</v>
      </c>
      <c r="G285" s="6">
        <v>13068.83</v>
      </c>
      <c r="H285" s="7">
        <f t="shared" si="22"/>
        <v>-3.8167880542949728E-4</v>
      </c>
      <c r="I285" s="6">
        <f>MAX($G285:$G$1261)</f>
        <v>14095.47</v>
      </c>
      <c r="J285" s="7">
        <f t="shared" si="23"/>
        <v>-7.2834747617496975E-2</v>
      </c>
      <c r="K285" s="6">
        <f t="shared" si="24"/>
        <v>218.40279286475851</v>
      </c>
    </row>
    <row r="286" spans="1:11" x14ac:dyDescent="0.25">
      <c r="A286" s="2">
        <f>DATE(2021,3,9)</f>
        <v>44264</v>
      </c>
      <c r="B286" s="6">
        <v>121.09</v>
      </c>
      <c r="C286" s="7">
        <f t="shared" si="20"/>
        <v>4.0649707803368962E-2</v>
      </c>
      <c r="D286" s="6">
        <f>MAX($B286:$B$1261)</f>
        <v>143.16</v>
      </c>
      <c r="E286" s="7">
        <f t="shared" si="21"/>
        <v>-0.15416317407096947</v>
      </c>
      <c r="G286" s="6">
        <v>13073.82</v>
      </c>
      <c r="H286" s="7">
        <f t="shared" si="22"/>
        <v>3.6850987694660109E-2</v>
      </c>
      <c r="I286" s="6">
        <f>MAX($G286:$G$1261)</f>
        <v>14095.47</v>
      </c>
      <c r="J286" s="7">
        <f t="shared" si="23"/>
        <v>-7.2480733171721101E-2</v>
      </c>
      <c r="K286" s="6">
        <f t="shared" si="24"/>
        <v>218.4861844106272</v>
      </c>
    </row>
    <row r="287" spans="1:11" x14ac:dyDescent="0.25">
      <c r="A287" s="2">
        <f>DATE(2021,3,8)</f>
        <v>44263</v>
      </c>
      <c r="B287" s="6">
        <v>116.36</v>
      </c>
      <c r="C287" s="7">
        <f t="shared" si="20"/>
        <v>-4.1673529896227968E-2</v>
      </c>
      <c r="D287" s="6">
        <f>MAX($B287:$B$1261)</f>
        <v>143.16</v>
      </c>
      <c r="E287" s="7">
        <f t="shared" si="21"/>
        <v>-0.18720312936574457</v>
      </c>
      <c r="G287" s="6">
        <v>12609.16</v>
      </c>
      <c r="H287" s="7">
        <f t="shared" si="22"/>
        <v>-2.4070153984280362E-2</v>
      </c>
      <c r="I287" s="6">
        <f>MAX($G287:$G$1261)</f>
        <v>14095.47</v>
      </c>
      <c r="J287" s="7">
        <f t="shared" si="23"/>
        <v>-0.10544593404831482</v>
      </c>
      <c r="K287" s="6">
        <f t="shared" si="24"/>
        <v>210.72091072258178</v>
      </c>
    </row>
    <row r="288" spans="1:11" x14ac:dyDescent="0.25">
      <c r="A288" s="2">
        <f>DATE(2021,3,5)</f>
        <v>44260</v>
      </c>
      <c r="B288" s="6">
        <v>121.42</v>
      </c>
      <c r="C288" s="7">
        <f t="shared" si="20"/>
        <v>1.0738366769333263E-2</v>
      </c>
      <c r="D288" s="6">
        <f>MAX($B288:$B$1261)</f>
        <v>143.16</v>
      </c>
      <c r="E288" s="7">
        <f t="shared" si="21"/>
        <v>-0.15185806091086895</v>
      </c>
      <c r="G288" s="6">
        <v>12920.15</v>
      </c>
      <c r="H288" s="7">
        <f t="shared" si="22"/>
        <v>1.5458047215107129E-2</v>
      </c>
      <c r="I288" s="6">
        <f>MAX($G288:$G$1261)</f>
        <v>14095.47</v>
      </c>
      <c r="J288" s="7">
        <f t="shared" si="23"/>
        <v>-8.3382817316485336E-2</v>
      </c>
      <c r="K288" s="6">
        <f t="shared" si="24"/>
        <v>215.91809245598952</v>
      </c>
    </row>
    <row r="289" spans="1:11" x14ac:dyDescent="0.25">
      <c r="A289" s="2">
        <f>DATE(2021,3,4)</f>
        <v>44259</v>
      </c>
      <c r="B289" s="6">
        <v>120.13</v>
      </c>
      <c r="C289" s="7">
        <f t="shared" si="20"/>
        <v>-1.5811895788956254E-2</v>
      </c>
      <c r="D289" s="6">
        <f>MAX($B289:$B$1261)</f>
        <v>143.16</v>
      </c>
      <c r="E289" s="7">
        <f t="shared" si="21"/>
        <v>-0.16086895780944399</v>
      </c>
      <c r="G289" s="6">
        <v>12723.47</v>
      </c>
      <c r="H289" s="7">
        <f t="shared" si="22"/>
        <v>-2.1102113827393243E-2</v>
      </c>
      <c r="I289" s="6">
        <f>MAX($G289:$G$1261)</f>
        <v>14095.47</v>
      </c>
      <c r="J289" s="7">
        <f t="shared" si="23"/>
        <v>-9.7336236393678277E-2</v>
      </c>
      <c r="K289" s="6">
        <f t="shared" si="24"/>
        <v>212.63122888054775</v>
      </c>
    </row>
    <row r="290" spans="1:11" x14ac:dyDescent="0.25">
      <c r="A290" s="2">
        <f>DATE(2021,3,3)</f>
        <v>44258</v>
      </c>
      <c r="B290" s="6">
        <v>122.06</v>
      </c>
      <c r="C290" s="7">
        <f t="shared" si="20"/>
        <v>-2.4456521739130488E-2</v>
      </c>
      <c r="D290" s="6">
        <f>MAX($B290:$B$1261)</f>
        <v>143.16</v>
      </c>
      <c r="E290" s="7">
        <f t="shared" si="21"/>
        <v>-0.14738753841855268</v>
      </c>
      <c r="G290" s="6">
        <v>12997.75</v>
      </c>
      <c r="H290" s="7">
        <f t="shared" si="22"/>
        <v>-2.7026399846093896E-2</v>
      </c>
      <c r="I290" s="6">
        <f>MAX($G290:$G$1261)</f>
        <v>14095.47</v>
      </c>
      <c r="J290" s="7">
        <f t="shared" si="23"/>
        <v>-7.7877502488388095E-2</v>
      </c>
      <c r="K290" s="6">
        <f t="shared" si="24"/>
        <v>217.21492290877723</v>
      </c>
    </row>
    <row r="291" spans="1:11" x14ac:dyDescent="0.25">
      <c r="A291" s="2">
        <f>DATE(2021,3,2)</f>
        <v>44257</v>
      </c>
      <c r="B291" s="6">
        <v>125.12</v>
      </c>
      <c r="C291" s="7">
        <f t="shared" si="20"/>
        <v>-2.0893653650520427E-2</v>
      </c>
      <c r="D291" s="6">
        <f>MAX($B291:$B$1261)</f>
        <v>143.16</v>
      </c>
      <c r="E291" s="7">
        <f t="shared" si="21"/>
        <v>-0.12601285275216534</v>
      </c>
      <c r="G291" s="6">
        <v>13358.79</v>
      </c>
      <c r="H291" s="7">
        <f t="shared" si="22"/>
        <v>-1.6928609747859036E-2</v>
      </c>
      <c r="I291" s="6">
        <f>MAX($G291:$G$1261)</f>
        <v>14095.47</v>
      </c>
      <c r="J291" s="7">
        <f t="shared" si="23"/>
        <v>-5.2263599581993225E-2</v>
      </c>
      <c r="K291" s="6">
        <f t="shared" si="24"/>
        <v>223.24852686076775</v>
      </c>
    </row>
    <row r="292" spans="1:11" x14ac:dyDescent="0.25">
      <c r="A292" s="2">
        <f>DATE(2021,3,1)</f>
        <v>44256</v>
      </c>
      <c r="B292" s="6">
        <v>127.79</v>
      </c>
      <c r="C292" s="7">
        <f t="shared" si="20"/>
        <v>5.3851228764637993E-2</v>
      </c>
      <c r="D292" s="6">
        <f>MAX($B292:$B$1261)</f>
        <v>143.16</v>
      </c>
      <c r="E292" s="7">
        <f t="shared" si="21"/>
        <v>-0.10736239172953332</v>
      </c>
      <c r="G292" s="6">
        <v>13588.83</v>
      </c>
      <c r="H292" s="7">
        <f t="shared" si="22"/>
        <v>3.0053781168631888E-2</v>
      </c>
      <c r="I292" s="6">
        <f>MAX($G292:$G$1261)</f>
        <v>14095.47</v>
      </c>
      <c r="J292" s="7">
        <f t="shared" si="23"/>
        <v>-3.5943462686948369E-2</v>
      </c>
      <c r="K292" s="6">
        <f t="shared" si="24"/>
        <v>227.09289383704711</v>
      </c>
    </row>
    <row r="293" spans="1:11" x14ac:dyDescent="0.25">
      <c r="A293" s="2">
        <f>DATE(2021,2,26)</f>
        <v>44253</v>
      </c>
      <c r="B293" s="6">
        <v>121.26</v>
      </c>
      <c r="C293" s="7">
        <f t="shared" si="20"/>
        <v>2.231589387552857E-3</v>
      </c>
      <c r="D293" s="6">
        <f>MAX($B293:$B$1261)</f>
        <v>143.16</v>
      </c>
      <c r="E293" s="7">
        <f t="shared" si="21"/>
        <v>-0.15297569153394797</v>
      </c>
      <c r="G293" s="6">
        <v>13192.35</v>
      </c>
      <c r="H293" s="7">
        <f t="shared" si="22"/>
        <v>5.5581683045680119E-3</v>
      </c>
      <c r="I293" s="6">
        <f>MAX($G293:$G$1261)</f>
        <v>14095.47</v>
      </c>
      <c r="J293" s="7">
        <f t="shared" si="23"/>
        <v>-6.4071648550917404E-2</v>
      </c>
      <c r="K293" s="6">
        <f t="shared" si="24"/>
        <v>220.46702608032982</v>
      </c>
    </row>
    <row r="294" spans="1:11" x14ac:dyDescent="0.25">
      <c r="A294" s="2">
        <f>DATE(2021,2,25)</f>
        <v>44252</v>
      </c>
      <c r="B294" s="6">
        <v>120.99</v>
      </c>
      <c r="C294" s="7">
        <f t="shared" si="20"/>
        <v>-3.4782608695652195E-2</v>
      </c>
      <c r="D294" s="6">
        <f>MAX($B294:$B$1261)</f>
        <v>143.16</v>
      </c>
      <c r="E294" s="7">
        <f t="shared" si="21"/>
        <v>-0.154861693210394</v>
      </c>
      <c r="G294" s="6">
        <v>13119.43</v>
      </c>
      <c r="H294" s="7">
        <f t="shared" si="22"/>
        <v>-3.5192017632043493E-2</v>
      </c>
      <c r="I294" s="6">
        <f>MAX($G294:$G$1261)</f>
        <v>14095.47</v>
      </c>
      <c r="J294" s="7">
        <f t="shared" si="23"/>
        <v>-6.9244941814639693E-2</v>
      </c>
      <c r="K294" s="6">
        <f t="shared" si="24"/>
        <v>219.24840653629275</v>
      </c>
    </row>
    <row r="295" spans="1:11" x14ac:dyDescent="0.25">
      <c r="A295" s="2">
        <f>DATE(2021,2,24)</f>
        <v>44251</v>
      </c>
      <c r="B295" s="6">
        <v>125.35</v>
      </c>
      <c r="C295" s="7">
        <f t="shared" si="20"/>
        <v>-4.0521214047354315E-3</v>
      </c>
      <c r="D295" s="6">
        <f>MAX($B295:$B$1261)</f>
        <v>143.16</v>
      </c>
      <c r="E295" s="7">
        <f t="shared" si="21"/>
        <v>-0.12440625873148925</v>
      </c>
      <c r="G295" s="6">
        <v>13597.97</v>
      </c>
      <c r="H295" s="7">
        <f t="shared" si="22"/>
        <v>9.8602323025278604E-3</v>
      </c>
      <c r="I295" s="6">
        <f>MAX($G295:$G$1261)</f>
        <v>14095.47</v>
      </c>
      <c r="J295" s="7">
        <f t="shared" si="23"/>
        <v>-3.5295027409515289E-2</v>
      </c>
      <c r="K295" s="6">
        <f t="shared" si="24"/>
        <v>227.2456390733677</v>
      </c>
    </row>
    <row r="296" spans="1:11" x14ac:dyDescent="0.25">
      <c r="A296" s="2">
        <f>DATE(2021,2,23)</f>
        <v>44250</v>
      </c>
      <c r="B296" s="6">
        <v>125.86</v>
      </c>
      <c r="C296" s="7">
        <f t="shared" si="20"/>
        <v>-1.1111111111110628E-3</v>
      </c>
      <c r="D296" s="6">
        <f>MAX($B296:$B$1261)</f>
        <v>143.16</v>
      </c>
      <c r="E296" s="7">
        <f t="shared" si="21"/>
        <v>-0.12084381112042464</v>
      </c>
      <c r="G296" s="6">
        <v>13465.2</v>
      </c>
      <c r="H296" s="7">
        <f t="shared" si="22"/>
        <v>-5.0136517636452105E-3</v>
      </c>
      <c r="I296" s="6">
        <f>MAX($G296:$G$1261)</f>
        <v>14095.47</v>
      </c>
      <c r="J296" s="7">
        <f t="shared" si="23"/>
        <v>-4.4714365679186185E-2</v>
      </c>
      <c r="K296" s="6">
        <f t="shared" si="24"/>
        <v>225.02682233088549</v>
      </c>
    </row>
    <row r="297" spans="1:11" x14ac:dyDescent="0.25">
      <c r="A297" s="2">
        <f>DATE(2021,2,22)</f>
        <v>44249</v>
      </c>
      <c r="B297" s="6">
        <v>126</v>
      </c>
      <c r="C297" s="7">
        <f t="shared" si="20"/>
        <v>-2.9799029799029819E-2</v>
      </c>
      <c r="D297" s="6">
        <f>MAX($B297:$B$1261)</f>
        <v>143.16</v>
      </c>
      <c r="E297" s="7">
        <f t="shared" si="21"/>
        <v>-0.11986588432523049</v>
      </c>
      <c r="G297" s="6">
        <v>13533.05</v>
      </c>
      <c r="H297" s="7">
        <f t="shared" si="22"/>
        <v>-2.4607083807225649E-2</v>
      </c>
      <c r="I297" s="6">
        <f>MAX($G297:$G$1261)</f>
        <v>14095.47</v>
      </c>
      <c r="J297" s="7">
        <f t="shared" si="23"/>
        <v>-3.9900762443536797E-2</v>
      </c>
      <c r="K297" s="6">
        <f t="shared" si="24"/>
        <v>226.16071339044274</v>
      </c>
    </row>
    <row r="298" spans="1:11" x14ac:dyDescent="0.25">
      <c r="A298" s="2">
        <f>DATE(2021,2,19)</f>
        <v>44246</v>
      </c>
      <c r="B298" s="6">
        <v>129.87</v>
      </c>
      <c r="C298" s="7">
        <f t="shared" si="20"/>
        <v>1.2335209313083517E-3</v>
      </c>
      <c r="D298" s="6">
        <f>MAX($B298:$B$1261)</f>
        <v>143.16</v>
      </c>
      <c r="E298" s="7">
        <f t="shared" si="21"/>
        <v>-9.2833193629505373E-2</v>
      </c>
      <c r="G298" s="6">
        <v>13874.46</v>
      </c>
      <c r="H298" s="7">
        <f t="shared" si="22"/>
        <v>6.5631184476977467E-4</v>
      </c>
      <c r="I298" s="6">
        <f>MAX($G298:$G$1261)</f>
        <v>14095.47</v>
      </c>
      <c r="J298" s="7">
        <f t="shared" si="23"/>
        <v>-1.5679505543270356E-2</v>
      </c>
      <c r="K298" s="6">
        <f t="shared" si="24"/>
        <v>231.86626603072938</v>
      </c>
    </row>
    <row r="299" spans="1:11" x14ac:dyDescent="0.25">
      <c r="A299" s="2">
        <f>DATE(2021,2,18)</f>
        <v>44245</v>
      </c>
      <c r="B299" s="6">
        <v>129.71</v>
      </c>
      <c r="C299" s="7">
        <f t="shared" si="20"/>
        <v>-8.6365025985937205E-3</v>
      </c>
      <c r="D299" s="6">
        <f>MAX($B299:$B$1261)</f>
        <v>143.16</v>
      </c>
      <c r="E299" s="7">
        <f t="shared" si="21"/>
        <v>-9.3950824252584497E-2</v>
      </c>
      <c r="G299" s="6">
        <v>13865.36</v>
      </c>
      <c r="H299" s="7">
        <f t="shared" si="22"/>
        <v>-7.1698164547036036E-3</v>
      </c>
      <c r="I299" s="6">
        <f>MAX($G299:$G$1261)</f>
        <v>14095.47</v>
      </c>
      <c r="J299" s="7">
        <f t="shared" si="23"/>
        <v>-1.6325103029554811E-2</v>
      </c>
      <c r="K299" s="6">
        <f t="shared" si="24"/>
        <v>231.71418926371439</v>
      </c>
    </row>
    <row r="300" spans="1:11" x14ac:dyDescent="0.25">
      <c r="A300" s="2">
        <f>DATE(2021,2,17)</f>
        <v>44244</v>
      </c>
      <c r="B300" s="6">
        <v>130.84</v>
      </c>
      <c r="C300" s="7">
        <f t="shared" si="20"/>
        <v>-1.7643967264809657E-2</v>
      </c>
      <c r="D300" s="6">
        <f>MAX($B300:$B$1261)</f>
        <v>143.16</v>
      </c>
      <c r="E300" s="7">
        <f t="shared" si="21"/>
        <v>-8.6057557977088472E-2</v>
      </c>
      <c r="G300" s="6">
        <v>13965.49</v>
      </c>
      <c r="H300" s="7">
        <f t="shared" si="22"/>
        <v>-5.8380494749955547E-3</v>
      </c>
      <c r="I300" s="6">
        <f>MAX($G300:$G$1261)</f>
        <v>14095.47</v>
      </c>
      <c r="J300" s="7">
        <f t="shared" si="23"/>
        <v>-9.2214023370629228E-3</v>
      </c>
      <c r="K300" s="6">
        <f t="shared" si="24"/>
        <v>233.38753505285908</v>
      </c>
    </row>
    <row r="301" spans="1:11" x14ac:dyDescent="0.25">
      <c r="A301" s="2">
        <f>DATE(2021,2,16)</f>
        <v>44243</v>
      </c>
      <c r="B301" s="6">
        <v>133.19</v>
      </c>
      <c r="C301" s="7">
        <f t="shared" si="20"/>
        <v>-1.6104011228484927E-2</v>
      </c>
      <c r="D301" s="6">
        <f>MAX($B301:$B$1261)</f>
        <v>143.16</v>
      </c>
      <c r="E301" s="7">
        <f t="shared" si="21"/>
        <v>-6.9642358200614707E-2</v>
      </c>
      <c r="G301" s="6">
        <v>14047.5</v>
      </c>
      <c r="H301" s="7">
        <f t="shared" si="22"/>
        <v>-3.4032210348430292E-3</v>
      </c>
      <c r="I301" s="6">
        <f>MAX($G301:$G$1261)</f>
        <v>14095.47</v>
      </c>
      <c r="J301" s="7">
        <f t="shared" si="23"/>
        <v>-3.4032210348430292E-3</v>
      </c>
      <c r="K301" s="6">
        <f t="shared" si="24"/>
        <v>234.75806424658484</v>
      </c>
    </row>
    <row r="302" spans="1:11" x14ac:dyDescent="0.25">
      <c r="A302" s="2">
        <f>DATE(2021,2,12)</f>
        <v>44239</v>
      </c>
      <c r="B302" s="6">
        <v>135.37</v>
      </c>
      <c r="C302" s="7">
        <f t="shared" si="20"/>
        <v>1.7760674905646923E-3</v>
      </c>
      <c r="D302" s="6">
        <f>MAX($B302:$B$1261)</f>
        <v>143.16</v>
      </c>
      <c r="E302" s="7">
        <f t="shared" si="21"/>
        <v>-5.4414640961162331E-2</v>
      </c>
      <c r="G302" s="6">
        <v>14095.47</v>
      </c>
      <c r="H302" s="7">
        <f t="shared" si="22"/>
        <v>4.9694241385678239E-3</v>
      </c>
      <c r="I302" s="6">
        <f>MAX($G302:$G$1261)</f>
        <v>14095.47</v>
      </c>
      <c r="J302" s="7">
        <f t="shared" si="23"/>
        <v>0</v>
      </c>
      <c r="K302" s="6">
        <f t="shared" si="24"/>
        <v>235.55972606127844</v>
      </c>
    </row>
    <row r="303" spans="1:11" x14ac:dyDescent="0.25">
      <c r="A303" s="2">
        <f>DATE(2021,2,11)</f>
        <v>44238</v>
      </c>
      <c r="B303" s="6">
        <v>135.13</v>
      </c>
      <c r="C303" s="7">
        <f t="shared" si="20"/>
        <v>-1.9203781667773701E-3</v>
      </c>
      <c r="D303" s="6">
        <f>MAX($B303:$B$1261)</f>
        <v>143.16</v>
      </c>
      <c r="E303" s="7">
        <f t="shared" si="21"/>
        <v>-5.6091086895780906E-2</v>
      </c>
      <c r="G303" s="6">
        <v>14025.77</v>
      </c>
      <c r="H303" s="7">
        <f t="shared" si="22"/>
        <v>3.8103335616384015E-3</v>
      </c>
      <c r="I303" s="6">
        <f>MAX($G303:$G$1261)</f>
        <v>14025.77</v>
      </c>
      <c r="J303" s="7">
        <f t="shared" si="23"/>
        <v>0</v>
      </c>
      <c r="K303" s="6">
        <f t="shared" si="24"/>
        <v>234.39491829633897</v>
      </c>
    </row>
    <row r="304" spans="1:11" x14ac:dyDescent="0.25">
      <c r="A304" s="2">
        <f>DATE(2021,2,10)</f>
        <v>44237</v>
      </c>
      <c r="B304" s="6">
        <v>135.38999999999999</v>
      </c>
      <c r="C304" s="7">
        <f t="shared" si="20"/>
        <v>-4.558488346445122E-3</v>
      </c>
      <c r="D304" s="6">
        <f>MAX($B304:$B$1261)</f>
        <v>143.16</v>
      </c>
      <c r="E304" s="7">
        <f t="shared" si="21"/>
        <v>-5.4274937133277579E-2</v>
      </c>
      <c r="G304" s="6">
        <v>13972.53</v>
      </c>
      <c r="H304" s="7">
        <f t="shared" si="22"/>
        <v>-2.5107619380768664E-3</v>
      </c>
      <c r="I304" s="6">
        <f>MAX($G304:$G$1261)</f>
        <v>14007.7</v>
      </c>
      <c r="J304" s="7">
        <f t="shared" si="23"/>
        <v>-2.5107619380768664E-3</v>
      </c>
      <c r="K304" s="6">
        <f t="shared" si="24"/>
        <v>233.50518565063774</v>
      </c>
    </row>
    <row r="305" spans="1:11" x14ac:dyDescent="0.25">
      <c r="A305" s="2">
        <f>DATE(2021,2,9)</f>
        <v>44236</v>
      </c>
      <c r="B305" s="6">
        <v>136.01</v>
      </c>
      <c r="C305" s="7">
        <f t="shared" si="20"/>
        <v>-6.5736615294719192E-3</v>
      </c>
      <c r="D305" s="6">
        <f>MAX($B305:$B$1261)</f>
        <v>143.16</v>
      </c>
      <c r="E305" s="7">
        <f t="shared" si="21"/>
        <v>-4.9944118468846055E-2</v>
      </c>
      <c r="G305" s="6">
        <v>14007.7</v>
      </c>
      <c r="H305" s="7">
        <f t="shared" si="22"/>
        <v>1.4341232688288574E-3</v>
      </c>
      <c r="I305" s="6">
        <f>MAX($G305:$G$1261)</f>
        <v>14007.7</v>
      </c>
      <c r="J305" s="7">
        <f t="shared" si="23"/>
        <v>0</v>
      </c>
      <c r="K305" s="6">
        <f t="shared" si="24"/>
        <v>234.09293728755193</v>
      </c>
    </row>
    <row r="306" spans="1:11" x14ac:dyDescent="0.25">
      <c r="A306" s="2">
        <f>DATE(2021,2,8)</f>
        <v>44235</v>
      </c>
      <c r="B306" s="6">
        <v>136.91</v>
      </c>
      <c r="C306" s="7">
        <f t="shared" si="20"/>
        <v>1.0968119333139015E-3</v>
      </c>
      <c r="D306" s="6">
        <f>MAX($B306:$B$1261)</f>
        <v>143.16</v>
      </c>
      <c r="E306" s="7">
        <f t="shared" si="21"/>
        <v>-4.365744621402623E-2</v>
      </c>
      <c r="G306" s="6">
        <v>13987.64</v>
      </c>
      <c r="H306" s="7">
        <f t="shared" si="22"/>
        <v>9.4787208706508252E-3</v>
      </c>
      <c r="I306" s="6">
        <f>MAX($G306:$G$1261)</f>
        <v>13987.64</v>
      </c>
      <c r="J306" s="7">
        <f t="shared" si="23"/>
        <v>0</v>
      </c>
      <c r="K306" s="6">
        <f t="shared" si="24"/>
        <v>233.75769993081323</v>
      </c>
    </row>
    <row r="307" spans="1:11" x14ac:dyDescent="0.25">
      <c r="A307" s="2">
        <f>DATE(2021,2,5)</f>
        <v>44232</v>
      </c>
      <c r="B307" s="6">
        <v>136.76</v>
      </c>
      <c r="C307" s="7">
        <f t="shared" si="20"/>
        <v>-4.5854865710750481E-3</v>
      </c>
      <c r="D307" s="6">
        <f>MAX($B307:$B$1261)</f>
        <v>143.16</v>
      </c>
      <c r="E307" s="7">
        <f t="shared" si="21"/>
        <v>-4.4705224923162978E-2</v>
      </c>
      <c r="G307" s="6">
        <v>13856.3</v>
      </c>
      <c r="H307" s="7">
        <f t="shared" si="22"/>
        <v>5.7019511182530014E-3</v>
      </c>
      <c r="I307" s="6">
        <f>MAX($G307:$G$1261)</f>
        <v>13856.3</v>
      </c>
      <c r="J307" s="7">
        <f t="shared" si="23"/>
        <v>0</v>
      </c>
      <c r="K307" s="6">
        <f t="shared" si="24"/>
        <v>231.56278096600482</v>
      </c>
    </row>
    <row r="308" spans="1:11" x14ac:dyDescent="0.25">
      <c r="A308" s="2">
        <f>DATE(2021,2,4)</f>
        <v>44231</v>
      </c>
      <c r="B308" s="6">
        <v>137.38999999999999</v>
      </c>
      <c r="C308" s="7">
        <f t="shared" si="20"/>
        <v>2.5757802000895946E-2</v>
      </c>
      <c r="D308" s="6">
        <f>MAX($B308:$B$1261)</f>
        <v>143.16</v>
      </c>
      <c r="E308" s="7">
        <f t="shared" si="21"/>
        <v>-4.0304554344789079E-2</v>
      </c>
      <c r="G308" s="6">
        <v>13777.74</v>
      </c>
      <c r="H308" s="7">
        <f t="shared" si="22"/>
        <v>1.2284597084318394E-2</v>
      </c>
      <c r="I308" s="6">
        <f>MAX($G308:$G$1261)</f>
        <v>13777.74</v>
      </c>
      <c r="J308" s="7">
        <f t="shared" si="23"/>
        <v>0</v>
      </c>
      <c r="K308" s="6">
        <f t="shared" si="24"/>
        <v>230.24990724988371</v>
      </c>
    </row>
    <row r="309" spans="1:11" x14ac:dyDescent="0.25">
      <c r="A309" s="2">
        <f>DATE(2021,2,3)</f>
        <v>44230</v>
      </c>
      <c r="B309" s="6">
        <v>133.94</v>
      </c>
      <c r="C309" s="7">
        <f t="shared" si="20"/>
        <v>-7.7783539521446565E-3</v>
      </c>
      <c r="D309" s="6">
        <f>MAX($B309:$B$1261)</f>
        <v>143.16</v>
      </c>
      <c r="E309" s="7">
        <f t="shared" si="21"/>
        <v>-6.4403464654931519E-2</v>
      </c>
      <c r="G309" s="6">
        <v>13610.54</v>
      </c>
      <c r="H309" s="7">
        <f t="shared" si="22"/>
        <v>-1.6455125257297532E-4</v>
      </c>
      <c r="I309" s="6">
        <f>MAX($G309:$G$1261)</f>
        <v>13635.99</v>
      </c>
      <c r="J309" s="7">
        <f t="shared" si="23"/>
        <v>-1.8663844722678347E-3</v>
      </c>
      <c r="K309" s="6">
        <f t="shared" si="24"/>
        <v>227.45570555264015</v>
      </c>
    </row>
    <row r="310" spans="1:11" x14ac:dyDescent="0.25">
      <c r="A310" s="2">
        <f>DATE(2021,2,2)</f>
        <v>44229</v>
      </c>
      <c r="B310" s="6">
        <v>134.99</v>
      </c>
      <c r="C310" s="7">
        <f t="shared" si="20"/>
        <v>6.3366631877144197E-3</v>
      </c>
      <c r="D310" s="6">
        <f>MAX($B310:$B$1261)</f>
        <v>143.16</v>
      </c>
      <c r="E310" s="7">
        <f t="shared" si="21"/>
        <v>-5.7069013690975057E-2</v>
      </c>
      <c r="G310" s="6">
        <v>13612.78</v>
      </c>
      <c r="H310" s="7">
        <f t="shared" si="22"/>
        <v>1.5622167227843153E-2</v>
      </c>
      <c r="I310" s="6">
        <f>MAX($G310:$G$1261)</f>
        <v>13635.99</v>
      </c>
      <c r="J310" s="7">
        <f t="shared" si="23"/>
        <v>-1.7021133045711512E-3</v>
      </c>
      <c r="K310" s="6">
        <f t="shared" si="24"/>
        <v>227.49313983375157</v>
      </c>
    </row>
    <row r="311" spans="1:11" x14ac:dyDescent="0.25">
      <c r="A311" s="2">
        <f>DATE(2021,2,1)</f>
        <v>44228</v>
      </c>
      <c r="B311" s="6">
        <v>134.13999999999999</v>
      </c>
      <c r="C311" s="7">
        <f t="shared" si="20"/>
        <v>1.6520157623522103E-2</v>
      </c>
      <c r="D311" s="6">
        <f>MAX($B311:$B$1261)</f>
        <v>143.16</v>
      </c>
      <c r="E311" s="7">
        <f t="shared" si="21"/>
        <v>-6.300642637608278E-2</v>
      </c>
      <c r="G311" s="6">
        <v>13403.39</v>
      </c>
      <c r="H311" s="7">
        <f t="shared" si="22"/>
        <v>2.5453897231133116E-2</v>
      </c>
      <c r="I311" s="6">
        <f>MAX($G311:$G$1261)</f>
        <v>13635.99</v>
      </c>
      <c r="J311" s="7">
        <f t="shared" si="23"/>
        <v>-1.7057800717072968E-2</v>
      </c>
      <c r="K311" s="6">
        <f t="shared" si="24"/>
        <v>223.99387013646788</v>
      </c>
    </row>
    <row r="312" spans="1:11" x14ac:dyDescent="0.25">
      <c r="A312" s="2">
        <f>DATE(2021,1,29)</f>
        <v>44225</v>
      </c>
      <c r="B312" s="6">
        <v>131.96</v>
      </c>
      <c r="C312" s="7">
        <f t="shared" si="20"/>
        <v>-3.7420672550878997E-2</v>
      </c>
      <c r="D312" s="6">
        <f>MAX($B312:$B$1261)</f>
        <v>143.16</v>
      </c>
      <c r="E312" s="7">
        <f t="shared" si="21"/>
        <v>-7.8234143615534935E-2</v>
      </c>
      <c r="G312" s="6">
        <v>13070.69</v>
      </c>
      <c r="H312" s="7">
        <f t="shared" si="22"/>
        <v>-1.9979515878942644E-2</v>
      </c>
      <c r="I312" s="6">
        <f>MAX($G312:$G$1261)</f>
        <v>13635.99</v>
      </c>
      <c r="J312" s="7">
        <f t="shared" si="23"/>
        <v>-4.1456469240590432E-2</v>
      </c>
      <c r="K312" s="6">
        <f t="shared" si="24"/>
        <v>218.43387668746709</v>
      </c>
    </row>
    <row r="313" spans="1:11" x14ac:dyDescent="0.25">
      <c r="A313" s="2">
        <f>DATE(2021,1,28)</f>
        <v>44224</v>
      </c>
      <c r="B313" s="6">
        <v>137.09</v>
      </c>
      <c r="C313" s="7">
        <f t="shared" si="20"/>
        <v>-3.498521751372663E-2</v>
      </c>
      <c r="D313" s="6">
        <f>MAX($B313:$B$1261)</f>
        <v>143.16</v>
      </c>
      <c r="E313" s="7">
        <f t="shared" si="21"/>
        <v>-4.2400111763062243E-2</v>
      </c>
      <c r="G313" s="6">
        <v>13337.16</v>
      </c>
      <c r="H313" s="7">
        <f t="shared" si="22"/>
        <v>5.0155983904269785E-3</v>
      </c>
      <c r="I313" s="6">
        <f>MAX($G313:$G$1261)</f>
        <v>13635.99</v>
      </c>
      <c r="J313" s="7">
        <f t="shared" si="23"/>
        <v>-2.1914800465532736E-2</v>
      </c>
      <c r="K313" s="6">
        <f t="shared" si="24"/>
        <v>222.88705208378582</v>
      </c>
    </row>
    <row r="314" spans="1:11" x14ac:dyDescent="0.25">
      <c r="A314" s="2">
        <f>DATE(2021,1,27)</f>
        <v>44223</v>
      </c>
      <c r="B314" s="6">
        <v>142.06</v>
      </c>
      <c r="C314" s="7">
        <f t="shared" si="20"/>
        <v>-7.683710533668564E-3</v>
      </c>
      <c r="D314" s="6">
        <f>MAX($B314:$B$1261)</f>
        <v>143.16</v>
      </c>
      <c r="E314" s="7">
        <f t="shared" si="21"/>
        <v>-7.683710533668564E-3</v>
      </c>
      <c r="G314" s="6">
        <v>13270.6</v>
      </c>
      <c r="H314" s="7">
        <f t="shared" si="22"/>
        <v>-2.6086777835999442E-2</v>
      </c>
      <c r="I314" s="6">
        <f>MAX($G314:$G$1261)</f>
        <v>13635.99</v>
      </c>
      <c r="J314" s="7">
        <f t="shared" si="23"/>
        <v>-2.6796000877090664E-2</v>
      </c>
      <c r="K314" s="6">
        <f t="shared" si="24"/>
        <v>221.77471915933288</v>
      </c>
    </row>
    <row r="315" spans="1:11" x14ac:dyDescent="0.25">
      <c r="A315" s="2">
        <f>DATE(2021,1,26)</f>
        <v>44222</v>
      </c>
      <c r="B315" s="6">
        <v>143.16</v>
      </c>
      <c r="C315" s="7">
        <f t="shared" si="20"/>
        <v>1.6792611251050804E-3</v>
      </c>
      <c r="D315" s="6">
        <f>MAX($B315:$B$1261)</f>
        <v>143.16</v>
      </c>
      <c r="E315" s="7">
        <f t="shared" si="21"/>
        <v>0</v>
      </c>
      <c r="G315" s="6">
        <v>13626.06</v>
      </c>
      <c r="H315" s="7">
        <f t="shared" si="22"/>
        <v>-7.2821995322669419E-4</v>
      </c>
      <c r="I315" s="6">
        <f>MAX($G315:$G$1261)</f>
        <v>13635.99</v>
      </c>
      <c r="J315" s="7">
        <f t="shared" si="23"/>
        <v>-7.2821995322669419E-4</v>
      </c>
      <c r="K315" s="6">
        <f t="shared" si="24"/>
        <v>227.71507164319766</v>
      </c>
    </row>
    <row r="316" spans="1:11" x14ac:dyDescent="0.25">
      <c r="A316" s="2">
        <f>DATE(2021,1,25)</f>
        <v>44221</v>
      </c>
      <c r="B316" s="6">
        <v>142.91999999999999</v>
      </c>
      <c r="C316" s="7">
        <f t="shared" si="20"/>
        <v>2.7683900194146682E-2</v>
      </c>
      <c r="D316" s="6">
        <f>MAX($B316:$B$1261)</f>
        <v>142.91999999999999</v>
      </c>
      <c r="E316" s="7">
        <f t="shared" si="21"/>
        <v>0</v>
      </c>
      <c r="G316" s="6">
        <v>13635.99</v>
      </c>
      <c r="H316" s="7">
        <f t="shared" si="22"/>
        <v>6.8618170487320107E-3</v>
      </c>
      <c r="I316" s="6">
        <f>MAX($G316:$G$1261)</f>
        <v>13635.99</v>
      </c>
      <c r="J316" s="7">
        <f t="shared" si="23"/>
        <v>0</v>
      </c>
      <c r="K316" s="6">
        <f t="shared" si="24"/>
        <v>227.8810191483031</v>
      </c>
    </row>
    <row r="317" spans="1:11" x14ac:dyDescent="0.25">
      <c r="A317" s="2">
        <f>DATE(2021,1,22)</f>
        <v>44218</v>
      </c>
      <c r="B317" s="6">
        <v>139.07</v>
      </c>
      <c r="C317" s="7">
        <f t="shared" si="20"/>
        <v>1.6073646525900376E-2</v>
      </c>
      <c r="D317" s="6">
        <f>MAX($B317:$B$1261)</f>
        <v>139.07</v>
      </c>
      <c r="E317" s="7">
        <f t="shared" si="21"/>
        <v>0</v>
      </c>
      <c r="G317" s="6">
        <v>13543.06</v>
      </c>
      <c r="H317" s="7">
        <f t="shared" si="22"/>
        <v>8.9794404071863454E-4</v>
      </c>
      <c r="I317" s="6">
        <f>MAX($G317:$G$1261)</f>
        <v>13543.06</v>
      </c>
      <c r="J317" s="7">
        <f t="shared" si="23"/>
        <v>0</v>
      </c>
      <c r="K317" s="6">
        <f t="shared" si="24"/>
        <v>226.32799783415928</v>
      </c>
    </row>
    <row r="318" spans="1:11" x14ac:dyDescent="0.25">
      <c r="A318" s="2">
        <f>DATE(2021,1,21)</f>
        <v>44217</v>
      </c>
      <c r="B318" s="6">
        <v>136.87</v>
      </c>
      <c r="C318" s="7">
        <f t="shared" si="20"/>
        <v>3.6658335226842365E-2</v>
      </c>
      <c r="D318" s="6">
        <f>MAX($B318:$B$1261)</f>
        <v>136.87</v>
      </c>
      <c r="E318" s="7">
        <f t="shared" si="21"/>
        <v>0</v>
      </c>
      <c r="G318" s="6">
        <v>13530.91</v>
      </c>
      <c r="H318" s="7">
        <f t="shared" si="22"/>
        <v>5.4736294562409693E-3</v>
      </c>
      <c r="I318" s="6">
        <f>MAX($G318:$G$1261)</f>
        <v>13530.91</v>
      </c>
      <c r="J318" s="7">
        <f t="shared" si="23"/>
        <v>0</v>
      </c>
      <c r="K318" s="6">
        <f t="shared" si="24"/>
        <v>226.12495028259522</v>
      </c>
    </row>
    <row r="319" spans="1:11" x14ac:dyDescent="0.25">
      <c r="A319" s="2">
        <f>DATE(2021,1,20)</f>
        <v>44216</v>
      </c>
      <c r="B319" s="6">
        <v>132.03</v>
      </c>
      <c r="C319" s="7">
        <f t="shared" si="20"/>
        <v>3.2856137057028834E-2</v>
      </c>
      <c r="D319" s="6">
        <f>MAX($B319:$B$1261)</f>
        <v>136.69</v>
      </c>
      <c r="E319" s="7">
        <f t="shared" si="21"/>
        <v>-3.4091740434559981E-2</v>
      </c>
      <c r="G319" s="6">
        <v>13457.25</v>
      </c>
      <c r="H319" s="7">
        <f t="shared" si="22"/>
        <v>1.9706482748587106E-2</v>
      </c>
      <c r="I319" s="6">
        <f>MAX($G319:$G$1261)</f>
        <v>13457.25</v>
      </c>
      <c r="J319" s="7">
        <f t="shared" si="23"/>
        <v>0</v>
      </c>
      <c r="K319" s="6">
        <f t="shared" si="24"/>
        <v>224.89396405640528</v>
      </c>
    </row>
    <row r="320" spans="1:11" x14ac:dyDescent="0.25">
      <c r="A320" s="2">
        <f>DATE(2021,1,19)</f>
        <v>44215</v>
      </c>
      <c r="B320" s="6">
        <v>127.83</v>
      </c>
      <c r="C320" s="7">
        <f t="shared" si="20"/>
        <v>5.4270882491740391E-3</v>
      </c>
      <c r="D320" s="6">
        <f>MAX($B320:$B$1261)</f>
        <v>136.69</v>
      </c>
      <c r="E320" s="7">
        <f t="shared" si="21"/>
        <v>-6.4818201770429407E-2</v>
      </c>
      <c r="G320" s="6">
        <v>13197.18</v>
      </c>
      <c r="H320" s="7">
        <f t="shared" si="22"/>
        <v>1.5284840558525969E-2</v>
      </c>
      <c r="I320" s="6">
        <f>MAX($G320:$G$1261)</f>
        <v>13201.98</v>
      </c>
      <c r="J320" s="7">
        <f t="shared" si="23"/>
        <v>-3.6358182636231362E-4</v>
      </c>
      <c r="K320" s="6">
        <f t="shared" si="24"/>
        <v>220.54774374897627</v>
      </c>
    </row>
    <row r="321" spans="1:11" x14ac:dyDescent="0.25">
      <c r="A321" s="2">
        <f>DATE(2021,1,15)</f>
        <v>44211</v>
      </c>
      <c r="B321" s="6">
        <v>127.14</v>
      </c>
      <c r="C321" s="7">
        <f t="shared" si="20"/>
        <v>-1.3730509657900791E-2</v>
      </c>
      <c r="D321" s="6">
        <f>MAX($B321:$B$1261)</f>
        <v>136.69</v>
      </c>
      <c r="E321" s="7">
        <f t="shared" si="21"/>
        <v>-6.9866120418465072E-2</v>
      </c>
      <c r="G321" s="6">
        <v>12998.5</v>
      </c>
      <c r="H321" s="7">
        <f t="shared" si="22"/>
        <v>-8.7045781780022979E-3</v>
      </c>
      <c r="I321" s="6">
        <f>MAX($G321:$G$1261)</f>
        <v>13201.98</v>
      </c>
      <c r="J321" s="7">
        <f t="shared" si="23"/>
        <v>-1.5412839589213134E-2</v>
      </c>
      <c r="K321" s="6">
        <f t="shared" si="24"/>
        <v>217.22745670825648</v>
      </c>
    </row>
    <row r="322" spans="1:11" x14ac:dyDescent="0.25">
      <c r="A322" s="2">
        <f>DATE(2021,1,14)</f>
        <v>44210</v>
      </c>
      <c r="B322" s="6">
        <v>128.91</v>
      </c>
      <c r="C322" s="7">
        <f t="shared" ref="C322:C385" si="25">IFERROR(B322/B323-1,0)</f>
        <v>-1.5127206050882358E-2</v>
      </c>
      <c r="D322" s="6">
        <f>MAX($B322:$B$1261)</f>
        <v>136.69</v>
      </c>
      <c r="E322" s="7">
        <f t="shared" ref="E322:E385" si="26">$B322/$D322-1</f>
        <v>-5.6917111712634472E-2</v>
      </c>
      <c r="G322" s="6">
        <v>13112.64</v>
      </c>
      <c r="H322" s="7">
        <f t="shared" ref="H322:H385" si="27">IFERROR(G322/G323-1,0)</f>
        <v>-1.2422927956921015E-3</v>
      </c>
      <c r="I322" s="6">
        <f>MAX($G322:$G$1261)</f>
        <v>13201.98</v>
      </c>
      <c r="J322" s="7">
        <f t="shared" ref="J322:J385" si="28">$G322/$I322-1</f>
        <v>-6.7671667431703497E-3</v>
      </c>
      <c r="K322" s="6">
        <f t="shared" ref="K322:K385" si="29">$K323*(1+H322)</f>
        <v>219.13493387167384</v>
      </c>
    </row>
    <row r="323" spans="1:11" x14ac:dyDescent="0.25">
      <c r="A323" s="2">
        <f>DATE(2021,1,13)</f>
        <v>44209</v>
      </c>
      <c r="B323" s="6">
        <v>130.88999999999999</v>
      </c>
      <c r="C323" s="7">
        <f t="shared" si="25"/>
        <v>1.6226708074533969E-2</v>
      </c>
      <c r="D323" s="6">
        <f>MAX($B323:$B$1261)</f>
        <v>136.69</v>
      </c>
      <c r="E323" s="7">
        <f t="shared" si="26"/>
        <v>-4.243177994001035E-2</v>
      </c>
      <c r="G323" s="6">
        <v>13128.95</v>
      </c>
      <c r="H323" s="7">
        <f t="shared" si="27"/>
        <v>4.3236031862476931E-3</v>
      </c>
      <c r="I323" s="6">
        <f>MAX($G323:$G$1261)</f>
        <v>13201.98</v>
      </c>
      <c r="J323" s="7">
        <f t="shared" si="28"/>
        <v>-5.531745995676296E-3</v>
      </c>
      <c r="K323" s="6">
        <f t="shared" si="29"/>
        <v>219.40750223101622</v>
      </c>
    </row>
    <row r="324" spans="1:11" x14ac:dyDescent="0.25">
      <c r="A324" s="2">
        <f>DATE(2021,1,12)</f>
        <v>44208</v>
      </c>
      <c r="B324" s="6">
        <v>128.80000000000001</v>
      </c>
      <c r="C324" s="7">
        <f t="shared" si="25"/>
        <v>-1.3955652039073785E-3</v>
      </c>
      <c r="D324" s="6">
        <f>MAX($B324:$B$1261)</f>
        <v>136.69</v>
      </c>
      <c r="E324" s="7">
        <f t="shared" si="26"/>
        <v>-5.7721852366669046E-2</v>
      </c>
      <c r="G324" s="6">
        <v>13072.43</v>
      </c>
      <c r="H324" s="7">
        <f t="shared" si="27"/>
        <v>2.7614922183449853E-3</v>
      </c>
      <c r="I324" s="6">
        <f>MAX($G324:$G$1261)</f>
        <v>13201.98</v>
      </c>
      <c r="J324" s="7">
        <f t="shared" si="28"/>
        <v>-9.8129220010937379E-3</v>
      </c>
      <c r="K324" s="6">
        <f t="shared" si="29"/>
        <v>218.462955102259</v>
      </c>
    </row>
    <row r="325" spans="1:11" x14ac:dyDescent="0.25">
      <c r="A325" s="2">
        <f>DATE(2021,1,11)</f>
        <v>44207</v>
      </c>
      <c r="B325" s="6">
        <v>128.97999999999999</v>
      </c>
      <c r="C325" s="7">
        <f t="shared" si="25"/>
        <v>-2.3248769405528336E-2</v>
      </c>
      <c r="D325" s="6">
        <f>MAX($B325:$B$1261)</f>
        <v>136.69</v>
      </c>
      <c r="E325" s="7">
        <f t="shared" si="26"/>
        <v>-5.6405004023703298E-2</v>
      </c>
      <c r="G325" s="6">
        <v>13036.43</v>
      </c>
      <c r="H325" s="7">
        <f t="shared" si="27"/>
        <v>-1.2539785698811756E-2</v>
      </c>
      <c r="I325" s="6">
        <f>MAX($G325:$G$1261)</f>
        <v>13201.98</v>
      </c>
      <c r="J325" s="7">
        <f t="shared" si="28"/>
        <v>-1.2539785698811756E-2</v>
      </c>
      <c r="K325" s="6">
        <f t="shared" si="29"/>
        <v>217.86133272725442</v>
      </c>
    </row>
    <row r="326" spans="1:11" x14ac:dyDescent="0.25">
      <c r="A326" s="2">
        <f>DATE(2021,1,8)</f>
        <v>44204</v>
      </c>
      <c r="B326" s="6">
        <v>132.05000000000001</v>
      </c>
      <c r="C326" s="7">
        <f t="shared" si="25"/>
        <v>8.6312251756799352E-3</v>
      </c>
      <c r="D326" s="6">
        <f>MAX($B326:$B$1261)</f>
        <v>136.69</v>
      </c>
      <c r="E326" s="7">
        <f t="shared" si="26"/>
        <v>-3.3945423952008058E-2</v>
      </c>
      <c r="G326" s="6">
        <v>13201.98</v>
      </c>
      <c r="H326" s="7">
        <f t="shared" si="27"/>
        <v>1.0292726677217034E-2</v>
      </c>
      <c r="I326" s="6">
        <f>MAX($G326:$G$1261)</f>
        <v>13201.98</v>
      </c>
      <c r="J326" s="7">
        <f t="shared" si="28"/>
        <v>0</v>
      </c>
      <c r="K326" s="6">
        <f t="shared" si="29"/>
        <v>220.62796006564358</v>
      </c>
    </row>
    <row r="327" spans="1:11" x14ac:dyDescent="0.25">
      <c r="A327" s="2">
        <f>DATE(2021,1,7)</f>
        <v>44203</v>
      </c>
      <c r="B327" s="6">
        <v>130.91999999999999</v>
      </c>
      <c r="C327" s="7">
        <f t="shared" si="25"/>
        <v>3.4123222748815074E-2</v>
      </c>
      <c r="D327" s="6">
        <f>MAX($B327:$B$1261)</f>
        <v>136.69</v>
      </c>
      <c r="E327" s="7">
        <f t="shared" si="26"/>
        <v>-4.2212305216182688E-2</v>
      </c>
      <c r="G327" s="6">
        <v>13067.48</v>
      </c>
      <c r="H327" s="7">
        <f t="shared" si="27"/>
        <v>2.5641267142775259E-2</v>
      </c>
      <c r="I327" s="6">
        <f>MAX($G327:$G$1261)</f>
        <v>13067.48</v>
      </c>
      <c r="J327" s="7">
        <f t="shared" si="28"/>
        <v>0</v>
      </c>
      <c r="K327" s="6">
        <f t="shared" si="29"/>
        <v>218.38023202569585</v>
      </c>
    </row>
    <row r="328" spans="1:11" x14ac:dyDescent="0.25">
      <c r="A328" s="2">
        <f>DATE(2021,1,6)</f>
        <v>44202</v>
      </c>
      <c r="B328" s="6">
        <v>126.6</v>
      </c>
      <c r="C328" s="7">
        <f t="shared" si="25"/>
        <v>-3.3661552553240215E-2</v>
      </c>
      <c r="D328" s="6">
        <f>MAX($B328:$B$1261)</f>
        <v>136.69</v>
      </c>
      <c r="E328" s="7">
        <f t="shared" si="26"/>
        <v>-7.381666544736265E-2</v>
      </c>
      <c r="G328" s="6">
        <v>12740.79</v>
      </c>
      <c r="H328" s="7">
        <f t="shared" si="27"/>
        <v>-6.0979985895890376E-3</v>
      </c>
      <c r="I328" s="6">
        <f>MAX($G328:$G$1261)</f>
        <v>12899.42</v>
      </c>
      <c r="J328" s="7">
        <f t="shared" si="28"/>
        <v>-1.2297452133506748E-2</v>
      </c>
      <c r="K328" s="6">
        <f t="shared" si="29"/>
        <v>212.92067608985553</v>
      </c>
    </row>
    <row r="329" spans="1:11" x14ac:dyDescent="0.25">
      <c r="A329" s="2">
        <f>DATE(2021,1,5)</f>
        <v>44201</v>
      </c>
      <c r="B329" s="6">
        <v>131.01</v>
      </c>
      <c r="C329" s="7">
        <f t="shared" si="25"/>
        <v>1.2363804960976665E-2</v>
      </c>
      <c r="D329" s="6">
        <f>MAX($B329:$B$1261)</f>
        <v>136.69</v>
      </c>
      <c r="E329" s="7">
        <f t="shared" si="26"/>
        <v>-4.1553881044699703E-2</v>
      </c>
      <c r="G329" s="6">
        <v>12818.96</v>
      </c>
      <c r="H329" s="7">
        <f t="shared" si="27"/>
        <v>9.490134622729407E-3</v>
      </c>
      <c r="I329" s="6">
        <f>MAX($G329:$G$1261)</f>
        <v>12899.42</v>
      </c>
      <c r="J329" s="7">
        <f t="shared" si="28"/>
        <v>-6.2374897476010771E-3</v>
      </c>
      <c r="K329" s="6">
        <f t="shared" si="29"/>
        <v>214.22703223024743</v>
      </c>
    </row>
    <row r="330" spans="1:11" x14ac:dyDescent="0.25">
      <c r="A330" s="2">
        <f>DATE(2021,1,4)</f>
        <v>44200</v>
      </c>
      <c r="B330" s="6">
        <v>129.41</v>
      </c>
      <c r="C330" s="7">
        <f t="shared" si="25"/>
        <v>-2.471927048006628E-2</v>
      </c>
      <c r="D330" s="6">
        <f>MAX($B330:$B$1261)</f>
        <v>136.69</v>
      </c>
      <c r="E330" s="7">
        <f t="shared" si="26"/>
        <v>-5.3259199648840405E-2</v>
      </c>
      <c r="G330" s="6">
        <v>12698.45</v>
      </c>
      <c r="H330" s="7">
        <f t="shared" si="27"/>
        <v>-1.4728885468037634E-2</v>
      </c>
      <c r="I330" s="6">
        <f>MAX($G330:$G$1261)</f>
        <v>12899.42</v>
      </c>
      <c r="J330" s="7">
        <f t="shared" si="28"/>
        <v>-1.5579770253236092E-2</v>
      </c>
      <c r="K330" s="6">
        <f t="shared" si="29"/>
        <v>212.21310132991957</v>
      </c>
    </row>
    <row r="331" spans="1:11" x14ac:dyDescent="0.25">
      <c r="A331" s="2">
        <f>DATE(2020,12,31)</f>
        <v>44196</v>
      </c>
      <c r="B331" s="6">
        <v>132.69</v>
      </c>
      <c r="C331" s="7">
        <f t="shared" si="25"/>
        <v>-7.7026622793897603E-3</v>
      </c>
      <c r="D331" s="6">
        <f>MAX($B331:$B$1261)</f>
        <v>136.69</v>
      </c>
      <c r="E331" s="7">
        <f t="shared" si="26"/>
        <v>-2.9263296510351866E-2</v>
      </c>
      <c r="G331" s="6">
        <v>12888.28</v>
      </c>
      <c r="H331" s="7">
        <f t="shared" si="27"/>
        <v>1.4203574203575098E-3</v>
      </c>
      <c r="I331" s="6">
        <f>MAX($G331:$G$1261)</f>
        <v>12899.42</v>
      </c>
      <c r="J331" s="7">
        <f t="shared" si="28"/>
        <v>-8.6360472021218548E-4</v>
      </c>
      <c r="K331" s="6">
        <f t="shared" si="29"/>
        <v>215.38548953678406</v>
      </c>
    </row>
    <row r="332" spans="1:11" x14ac:dyDescent="0.25">
      <c r="A332" s="2">
        <f>DATE(2020,12,30)</f>
        <v>44195</v>
      </c>
      <c r="B332" s="6">
        <v>133.72</v>
      </c>
      <c r="C332" s="7">
        <f t="shared" si="25"/>
        <v>-8.5267294431675689E-3</v>
      </c>
      <c r="D332" s="6">
        <f>MAX($B332:$B$1261)</f>
        <v>136.69</v>
      </c>
      <c r="E332" s="7">
        <f t="shared" si="26"/>
        <v>-2.1727997658936293E-2</v>
      </c>
      <c r="G332" s="6">
        <v>12870</v>
      </c>
      <c r="H332" s="7">
        <f t="shared" si="27"/>
        <v>1.5392732575785217E-3</v>
      </c>
      <c r="I332" s="6">
        <f>MAX($G332:$G$1261)</f>
        <v>12899.42</v>
      </c>
      <c r="J332" s="7">
        <f t="shared" si="28"/>
        <v>-2.2807226991601315E-3</v>
      </c>
      <c r="K332" s="6">
        <f t="shared" si="29"/>
        <v>215.07999906414281</v>
      </c>
    </row>
    <row r="333" spans="1:11" x14ac:dyDescent="0.25">
      <c r="A333" s="2">
        <f>DATE(2020,12,29)</f>
        <v>44194</v>
      </c>
      <c r="B333" s="6">
        <v>134.87</v>
      </c>
      <c r="C333" s="7">
        <f t="shared" si="25"/>
        <v>-1.3314799912210074E-2</v>
      </c>
      <c r="D333" s="6">
        <f>MAX($B333:$B$1261)</f>
        <v>136.69</v>
      </c>
      <c r="E333" s="7">
        <f t="shared" si="26"/>
        <v>-1.3314799912210074E-2</v>
      </c>
      <c r="G333" s="6">
        <v>12850.22</v>
      </c>
      <c r="H333" s="7">
        <f t="shared" si="27"/>
        <v>-3.8141249761617368E-3</v>
      </c>
      <c r="I333" s="6">
        <f>MAX($G333:$G$1261)</f>
        <v>12899.42</v>
      </c>
      <c r="J333" s="7">
        <f t="shared" si="28"/>
        <v>-3.8141249761617368E-3</v>
      </c>
      <c r="K333" s="6">
        <f t="shared" si="29"/>
        <v>214.74944099254304</v>
      </c>
    </row>
    <row r="334" spans="1:11" x14ac:dyDescent="0.25">
      <c r="A334" s="2">
        <f>DATE(2020,12,28)</f>
        <v>44193</v>
      </c>
      <c r="B334" s="6">
        <v>136.69</v>
      </c>
      <c r="C334" s="7">
        <f t="shared" si="25"/>
        <v>3.5765704326740977E-2</v>
      </c>
      <c r="D334" s="6">
        <f>MAX($B334:$B$1261)</f>
        <v>136.69</v>
      </c>
      <c r="E334" s="7">
        <f t="shared" si="26"/>
        <v>0</v>
      </c>
      <c r="G334" s="6">
        <v>12899.42</v>
      </c>
      <c r="H334" s="7">
        <f t="shared" si="27"/>
        <v>7.3949235946404457E-3</v>
      </c>
      <c r="I334" s="6">
        <f>MAX($G334:$G$1261)</f>
        <v>12899.42</v>
      </c>
      <c r="J334" s="7">
        <f t="shared" si="28"/>
        <v>0</v>
      </c>
      <c r="K334" s="6">
        <f t="shared" si="29"/>
        <v>215.57165823838267</v>
      </c>
    </row>
    <row r="335" spans="1:11" x14ac:dyDescent="0.25">
      <c r="A335" s="2">
        <f>DATE(2020,12,24)</f>
        <v>44189</v>
      </c>
      <c r="B335" s="6">
        <v>131.97</v>
      </c>
      <c r="C335" s="7">
        <f t="shared" si="25"/>
        <v>7.7122785583383369E-3</v>
      </c>
      <c r="D335" s="6">
        <f>MAX($B335:$B$1261)</f>
        <v>134.18</v>
      </c>
      <c r="E335" s="7">
        <f t="shared" si="26"/>
        <v>-1.6470412878223373E-2</v>
      </c>
      <c r="G335" s="6">
        <v>12804.73</v>
      </c>
      <c r="H335" s="7">
        <f t="shared" si="27"/>
        <v>2.6325041441188635E-3</v>
      </c>
      <c r="I335" s="6">
        <f>MAX($G335:$G$1261)</f>
        <v>12807.92</v>
      </c>
      <c r="J335" s="7">
        <f t="shared" si="28"/>
        <v>-2.4906464125329375E-4</v>
      </c>
      <c r="K335" s="6">
        <f t="shared" si="29"/>
        <v>213.9892242747942</v>
      </c>
    </row>
    <row r="336" spans="1:11" x14ac:dyDescent="0.25">
      <c r="A336" s="2">
        <f>DATE(2020,12,23)</f>
        <v>44188</v>
      </c>
      <c r="B336" s="6">
        <v>130.96</v>
      </c>
      <c r="C336" s="7">
        <f t="shared" si="25"/>
        <v>-6.9760388231724368E-3</v>
      </c>
      <c r="D336" s="6">
        <f>MAX($B336:$B$1261)</f>
        <v>134.18</v>
      </c>
      <c r="E336" s="7">
        <f t="shared" si="26"/>
        <v>-2.3997615143836581E-2</v>
      </c>
      <c r="G336" s="6">
        <v>12771.11</v>
      </c>
      <c r="H336" s="7">
        <f t="shared" si="27"/>
        <v>-2.8740029606680872E-3</v>
      </c>
      <c r="I336" s="6">
        <f>MAX($G336:$G$1261)</f>
        <v>12807.92</v>
      </c>
      <c r="J336" s="7">
        <f t="shared" si="28"/>
        <v>-2.8740029606680872E-3</v>
      </c>
      <c r="K336" s="6">
        <f t="shared" si="29"/>
        <v>213.4273758234705</v>
      </c>
    </row>
    <row r="337" spans="1:11" x14ac:dyDescent="0.25">
      <c r="A337" s="2">
        <f>DATE(2020,12,22)</f>
        <v>44187</v>
      </c>
      <c r="B337" s="6">
        <v>131.88</v>
      </c>
      <c r="C337" s="7">
        <f t="shared" si="25"/>
        <v>2.8464477891289031E-2</v>
      </c>
      <c r="D337" s="6">
        <f>MAX($B337:$B$1261)</f>
        <v>134.18</v>
      </c>
      <c r="E337" s="7">
        <f t="shared" si="26"/>
        <v>-1.7141153674169129E-2</v>
      </c>
      <c r="G337" s="6">
        <v>12807.92</v>
      </c>
      <c r="H337" s="7">
        <f t="shared" si="27"/>
        <v>5.1324227860736205E-3</v>
      </c>
      <c r="I337" s="6">
        <f>MAX($G337:$G$1261)</f>
        <v>12807.92</v>
      </c>
      <c r="J337" s="7">
        <f t="shared" si="28"/>
        <v>0</v>
      </c>
      <c r="K337" s="6">
        <f t="shared" si="29"/>
        <v>214.0425347019127</v>
      </c>
    </row>
    <row r="338" spans="1:11" x14ac:dyDescent="0.25">
      <c r="A338" s="2">
        <f>DATE(2020,12,21)</f>
        <v>44186</v>
      </c>
      <c r="B338" s="6">
        <v>128.22999999999999</v>
      </c>
      <c r="C338" s="7">
        <f t="shared" si="25"/>
        <v>1.2395389231012022E-2</v>
      </c>
      <c r="D338" s="6">
        <f>MAX($B338:$B$1261)</f>
        <v>134.18</v>
      </c>
      <c r="E338" s="7">
        <f t="shared" si="26"/>
        <v>-4.4343419287524388E-2</v>
      </c>
      <c r="G338" s="6">
        <v>12742.52</v>
      </c>
      <c r="H338" s="7">
        <f t="shared" si="27"/>
        <v>-1.0285646192584874E-3</v>
      </c>
      <c r="I338" s="6">
        <f>MAX($G338:$G$1261)</f>
        <v>12764.75</v>
      </c>
      <c r="J338" s="7">
        <f t="shared" si="28"/>
        <v>-1.741514718267112E-3</v>
      </c>
      <c r="K338" s="6">
        <f t="shared" si="29"/>
        <v>212.94958738732103</v>
      </c>
    </row>
    <row r="339" spans="1:11" x14ac:dyDescent="0.25">
      <c r="A339" s="2">
        <f>DATE(2020,12,18)</f>
        <v>44183</v>
      </c>
      <c r="B339" s="6">
        <v>126.66</v>
      </c>
      <c r="C339" s="7">
        <f t="shared" si="25"/>
        <v>-1.5850815850815825E-2</v>
      </c>
      <c r="D339" s="6">
        <f>MAX($B339:$B$1261)</f>
        <v>134.18</v>
      </c>
      <c r="E339" s="7">
        <f t="shared" si="26"/>
        <v>-5.6044119839022244E-2</v>
      </c>
      <c r="G339" s="6">
        <v>12755.64</v>
      </c>
      <c r="H339" s="7">
        <f t="shared" si="27"/>
        <v>-7.1368416929440404E-4</v>
      </c>
      <c r="I339" s="6">
        <f>MAX($G339:$G$1261)</f>
        <v>12764.75</v>
      </c>
      <c r="J339" s="7">
        <f t="shared" si="28"/>
        <v>-7.1368416929440404E-4</v>
      </c>
      <c r="K339" s="6">
        <f t="shared" si="29"/>
        <v>213.16884531954491</v>
      </c>
    </row>
    <row r="340" spans="1:11" x14ac:dyDescent="0.25">
      <c r="A340" s="2">
        <f>DATE(2020,12,17)</f>
        <v>44182</v>
      </c>
      <c r="B340" s="6">
        <v>128.69999999999999</v>
      </c>
      <c r="C340" s="7">
        <f t="shared" si="25"/>
        <v>6.9634613879976381E-3</v>
      </c>
      <c r="D340" s="6">
        <f>MAX($B340:$B$1261)</f>
        <v>134.18</v>
      </c>
      <c r="E340" s="7">
        <f t="shared" si="26"/>
        <v>-4.0840661797585498E-2</v>
      </c>
      <c r="G340" s="6">
        <v>12764.75</v>
      </c>
      <c r="H340" s="7">
        <f t="shared" si="27"/>
        <v>8.4182651706128375E-3</v>
      </c>
      <c r="I340" s="6">
        <f>MAX($G340:$G$1261)</f>
        <v>12764.75</v>
      </c>
      <c r="J340" s="7">
        <f t="shared" si="28"/>
        <v>0</v>
      </c>
      <c r="K340" s="6">
        <f t="shared" si="29"/>
        <v>213.32108920388637</v>
      </c>
    </row>
    <row r="341" spans="1:11" x14ac:dyDescent="0.25">
      <c r="A341" s="2">
        <f>DATE(2020,12,16)</f>
        <v>44181</v>
      </c>
      <c r="B341" s="6">
        <v>127.81</v>
      </c>
      <c r="C341" s="7">
        <f t="shared" si="25"/>
        <v>-5.4738817641530879E-4</v>
      </c>
      <c r="D341" s="6">
        <f>MAX($B341:$B$1261)</f>
        <v>134.18</v>
      </c>
      <c r="E341" s="7">
        <f t="shared" si="26"/>
        <v>-4.7473543001937735E-2</v>
      </c>
      <c r="G341" s="6">
        <v>12658.19</v>
      </c>
      <c r="H341" s="7">
        <f t="shared" si="27"/>
        <v>5.0122825933343051E-3</v>
      </c>
      <c r="I341" s="6">
        <f>MAX($G341:$G$1261)</f>
        <v>12658.19</v>
      </c>
      <c r="J341" s="7">
        <f t="shared" si="28"/>
        <v>0</v>
      </c>
      <c r="K341" s="6">
        <f t="shared" si="29"/>
        <v>211.54028697387278</v>
      </c>
    </row>
    <row r="342" spans="1:11" x14ac:dyDescent="0.25">
      <c r="A342" s="2">
        <f>DATE(2020,12,15)</f>
        <v>44180</v>
      </c>
      <c r="B342" s="6">
        <v>127.88</v>
      </c>
      <c r="C342" s="7">
        <f t="shared" si="25"/>
        <v>5.0090326818853725E-2</v>
      </c>
      <c r="D342" s="6">
        <f>MAX($B342:$B$1261)</f>
        <v>134.18</v>
      </c>
      <c r="E342" s="7">
        <f t="shared" si="26"/>
        <v>-4.6951855716202195E-2</v>
      </c>
      <c r="G342" s="6">
        <v>12595.06</v>
      </c>
      <c r="H342" s="7">
        <f t="shared" si="27"/>
        <v>1.2461374722267715E-2</v>
      </c>
      <c r="I342" s="6">
        <f>MAX($G342:$G$1261)</f>
        <v>12595.06</v>
      </c>
      <c r="J342" s="7">
        <f t="shared" si="28"/>
        <v>0</v>
      </c>
      <c r="K342" s="6">
        <f t="shared" si="29"/>
        <v>210.48527529237165</v>
      </c>
    </row>
    <row r="343" spans="1:11" x14ac:dyDescent="0.25">
      <c r="A343" s="2">
        <f>DATE(2020,12,14)</f>
        <v>44179</v>
      </c>
      <c r="B343" s="6">
        <v>121.78</v>
      </c>
      <c r="C343" s="7">
        <f t="shared" si="25"/>
        <v>-5.1466383465402776E-3</v>
      </c>
      <c r="D343" s="6">
        <f>MAX($B343:$B$1261)</f>
        <v>134.18</v>
      </c>
      <c r="E343" s="7">
        <f t="shared" si="26"/>
        <v>-9.241317633030266E-2</v>
      </c>
      <c r="G343" s="6">
        <v>12440.04</v>
      </c>
      <c r="H343" s="7">
        <f t="shared" si="27"/>
        <v>5.0226735294520708E-3</v>
      </c>
      <c r="I343" s="6">
        <f>MAX($G343:$G$1261)</f>
        <v>12582.77</v>
      </c>
      <c r="J343" s="7">
        <f t="shared" si="28"/>
        <v>-1.1343289275731805E-2</v>
      </c>
      <c r="K343" s="6">
        <f t="shared" si="29"/>
        <v>207.89462249867131</v>
      </c>
    </row>
    <row r="344" spans="1:11" x14ac:dyDescent="0.25">
      <c r="A344" s="2">
        <f>DATE(2020,12,11)</f>
        <v>44176</v>
      </c>
      <c r="B344" s="6">
        <v>122.41</v>
      </c>
      <c r="C344" s="7">
        <f t="shared" si="25"/>
        <v>-6.7348263550794929E-3</v>
      </c>
      <c r="D344" s="6">
        <f>MAX($B344:$B$1261)</f>
        <v>134.18</v>
      </c>
      <c r="E344" s="7">
        <f t="shared" si="26"/>
        <v>-8.7717990758682474E-2</v>
      </c>
      <c r="G344" s="6">
        <v>12377.87</v>
      </c>
      <c r="H344" s="7">
        <f t="shared" si="27"/>
        <v>-2.2521705555702543E-3</v>
      </c>
      <c r="I344" s="6">
        <f>MAX($G344:$G$1261)</f>
        <v>12582.77</v>
      </c>
      <c r="J344" s="7">
        <f t="shared" si="28"/>
        <v>-1.6284172721904633E-2</v>
      </c>
      <c r="K344" s="6">
        <f t="shared" si="29"/>
        <v>206.85565408050368</v>
      </c>
    </row>
    <row r="345" spans="1:11" x14ac:dyDescent="0.25">
      <c r="A345" s="2">
        <f>DATE(2020,12,10)</f>
        <v>44175</v>
      </c>
      <c r="B345" s="6">
        <v>123.24</v>
      </c>
      <c r="C345" s="7">
        <f t="shared" si="25"/>
        <v>1.1988832320578124E-2</v>
      </c>
      <c r="D345" s="6">
        <f>MAX($B345:$B$1261)</f>
        <v>134.18</v>
      </c>
      <c r="E345" s="7">
        <f t="shared" si="26"/>
        <v>-8.1532270084960556E-2</v>
      </c>
      <c r="G345" s="6">
        <v>12405.81</v>
      </c>
      <c r="H345" s="7">
        <f t="shared" si="27"/>
        <v>5.4186134152418575E-3</v>
      </c>
      <c r="I345" s="6">
        <f>MAX($G345:$G$1261)</f>
        <v>12582.77</v>
      </c>
      <c r="J345" s="7">
        <f t="shared" si="28"/>
        <v>-1.4063675963241873E-2</v>
      </c>
      <c r="K345" s="6">
        <f t="shared" si="29"/>
        <v>207.32257989043779</v>
      </c>
    </row>
    <row r="346" spans="1:11" x14ac:dyDescent="0.25">
      <c r="A346" s="2">
        <f>DATE(2020,12,9)</f>
        <v>44174</v>
      </c>
      <c r="B346" s="6">
        <v>121.78</v>
      </c>
      <c r="C346" s="7">
        <f t="shared" si="25"/>
        <v>-2.0903682264029499E-2</v>
      </c>
      <c r="D346" s="6">
        <f>MAX($B346:$B$1261)</f>
        <v>134.18</v>
      </c>
      <c r="E346" s="7">
        <f t="shared" si="26"/>
        <v>-9.241317633030266E-2</v>
      </c>
      <c r="G346" s="6">
        <v>12338.95</v>
      </c>
      <c r="H346" s="7">
        <f t="shared" si="27"/>
        <v>-1.9377291327744239E-2</v>
      </c>
      <c r="I346" s="6">
        <f>MAX($G346:$G$1261)</f>
        <v>12582.77</v>
      </c>
      <c r="J346" s="7">
        <f t="shared" si="28"/>
        <v>-1.9377291327744239E-2</v>
      </c>
      <c r="K346" s="6">
        <f t="shared" si="29"/>
        <v>206.20523344619318</v>
      </c>
    </row>
    <row r="347" spans="1:11" x14ac:dyDescent="0.25">
      <c r="A347" s="2">
        <f>DATE(2020,12,8)</f>
        <v>44173</v>
      </c>
      <c r="B347" s="6">
        <v>124.38</v>
      </c>
      <c r="C347" s="7">
        <f t="shared" si="25"/>
        <v>5.0909090909090349E-3</v>
      </c>
      <c r="D347" s="6">
        <f>MAX($B347:$B$1261)</f>
        <v>134.18</v>
      </c>
      <c r="E347" s="7">
        <f t="shared" si="26"/>
        <v>-7.3036220002981156E-2</v>
      </c>
      <c r="G347" s="6">
        <v>12582.77</v>
      </c>
      <c r="H347" s="7">
        <f t="shared" si="27"/>
        <v>5.017591923290432E-3</v>
      </c>
      <c r="I347" s="6">
        <f>MAX($G347:$G$1261)</f>
        <v>12582.77</v>
      </c>
      <c r="J347" s="7">
        <f t="shared" si="28"/>
        <v>0</v>
      </c>
      <c r="K347" s="6">
        <f t="shared" si="29"/>
        <v>210.27988809823819</v>
      </c>
    </row>
    <row r="348" spans="1:11" x14ac:dyDescent="0.25">
      <c r="A348" s="2">
        <f>DATE(2020,12,7)</f>
        <v>44172</v>
      </c>
      <c r="B348" s="6">
        <v>123.75</v>
      </c>
      <c r="C348" s="7">
        <f t="shared" si="25"/>
        <v>1.2269938650306678E-2</v>
      </c>
      <c r="D348" s="6">
        <f>MAX($B348:$B$1261)</f>
        <v>134.18</v>
      </c>
      <c r="E348" s="7">
        <f t="shared" si="26"/>
        <v>-7.7731405574601342E-2</v>
      </c>
      <c r="G348" s="6">
        <v>12519.95</v>
      </c>
      <c r="H348" s="7">
        <f t="shared" si="27"/>
        <v>4.4703924751068325E-3</v>
      </c>
      <c r="I348" s="6">
        <f>MAX($G348:$G$1261)</f>
        <v>12519.95</v>
      </c>
      <c r="J348" s="7">
        <f t="shared" si="28"/>
        <v>0</v>
      </c>
      <c r="K348" s="6">
        <f t="shared" si="29"/>
        <v>209.23005705385518</v>
      </c>
    </row>
    <row r="349" spans="1:11" x14ac:dyDescent="0.25">
      <c r="A349" s="2">
        <f>DATE(2020,12,4)</f>
        <v>44169</v>
      </c>
      <c r="B349" s="6">
        <v>122.25</v>
      </c>
      <c r="C349" s="7">
        <f t="shared" si="25"/>
        <v>-5.6124938994631668E-3</v>
      </c>
      <c r="D349" s="6">
        <f>MAX($B349:$B$1261)</f>
        <v>134.18</v>
      </c>
      <c r="E349" s="7">
        <f t="shared" si="26"/>
        <v>-8.891041884036377E-2</v>
      </c>
      <c r="G349" s="6">
        <v>12464.23</v>
      </c>
      <c r="H349" s="7">
        <f t="shared" si="27"/>
        <v>7.0331044712930169E-3</v>
      </c>
      <c r="I349" s="6">
        <f>MAX($G349:$G$1261)</f>
        <v>12464.23</v>
      </c>
      <c r="J349" s="7">
        <f t="shared" si="28"/>
        <v>0</v>
      </c>
      <c r="K349" s="6">
        <f t="shared" si="29"/>
        <v>208.29887931120916</v>
      </c>
    </row>
    <row r="350" spans="1:11" x14ac:dyDescent="0.25">
      <c r="A350" s="2">
        <f>DATE(2020,12,3)</f>
        <v>44168</v>
      </c>
      <c r="B350" s="6">
        <v>122.94</v>
      </c>
      <c r="C350" s="7">
        <f t="shared" si="25"/>
        <v>-1.1374715632109789E-3</v>
      </c>
      <c r="D350" s="6">
        <f>MAX($B350:$B$1261)</f>
        <v>134.18</v>
      </c>
      <c r="E350" s="7">
        <f t="shared" si="26"/>
        <v>-8.3768072738113042E-2</v>
      </c>
      <c r="G350" s="6">
        <v>12377.18</v>
      </c>
      <c r="H350" s="7">
        <f t="shared" si="27"/>
        <v>2.2519367384732369E-3</v>
      </c>
      <c r="I350" s="6">
        <f>MAX($G350:$G$1261)</f>
        <v>12377.18</v>
      </c>
      <c r="J350" s="7">
        <f t="shared" si="28"/>
        <v>0</v>
      </c>
      <c r="K350" s="6">
        <f t="shared" si="29"/>
        <v>206.84412298498279</v>
      </c>
    </row>
    <row r="351" spans="1:11" x14ac:dyDescent="0.25">
      <c r="A351" s="2">
        <f>DATE(2020,12,2)</f>
        <v>44167</v>
      </c>
      <c r="B351" s="6">
        <v>123.08</v>
      </c>
      <c r="C351" s="7">
        <f t="shared" si="25"/>
        <v>2.9335071707952132E-3</v>
      </c>
      <c r="D351" s="6">
        <f>MAX($B351:$B$1261)</f>
        <v>134.18</v>
      </c>
      <c r="E351" s="7">
        <f t="shared" si="26"/>
        <v>-8.2724698166641852E-2</v>
      </c>
      <c r="G351" s="6">
        <v>12349.37</v>
      </c>
      <c r="H351" s="7">
        <f t="shared" si="27"/>
        <v>-4.6458509879720999E-4</v>
      </c>
      <c r="I351" s="6">
        <f>MAX($G351:$G$1261)</f>
        <v>12355.11</v>
      </c>
      <c r="J351" s="7">
        <f t="shared" si="28"/>
        <v>-4.6458509879720999E-4</v>
      </c>
      <c r="K351" s="6">
        <f t="shared" si="29"/>
        <v>206.37936970029176</v>
      </c>
    </row>
    <row r="352" spans="1:11" x14ac:dyDescent="0.25">
      <c r="A352" s="2">
        <f>DATE(2020,12,1)</f>
        <v>44166</v>
      </c>
      <c r="B352" s="6">
        <v>122.72</v>
      </c>
      <c r="C352" s="7">
        <f t="shared" si="25"/>
        <v>3.0827383452330936E-2</v>
      </c>
      <c r="D352" s="6">
        <f>MAX($B352:$B$1261)</f>
        <v>134.18</v>
      </c>
      <c r="E352" s="7">
        <f t="shared" si="26"/>
        <v>-8.5407661350424879E-2</v>
      </c>
      <c r="G352" s="6">
        <v>12355.11</v>
      </c>
      <c r="H352" s="7">
        <f t="shared" si="27"/>
        <v>1.2818536996443974E-2</v>
      </c>
      <c r="I352" s="6">
        <f>MAX($G352:$G$1261)</f>
        <v>12355.11</v>
      </c>
      <c r="J352" s="7">
        <f t="shared" si="28"/>
        <v>0</v>
      </c>
      <c r="K352" s="6">
        <f t="shared" si="29"/>
        <v>206.47529504563971</v>
      </c>
    </row>
    <row r="353" spans="1:11" x14ac:dyDescent="0.25">
      <c r="A353" s="2">
        <f>DATE(2020,11,30)</f>
        <v>44165</v>
      </c>
      <c r="B353" s="6">
        <v>119.05</v>
      </c>
      <c r="C353" s="7">
        <f t="shared" si="25"/>
        <v>2.1099579723818485E-2</v>
      </c>
      <c r="D353" s="6">
        <f>MAX($B353:$B$1261)</f>
        <v>134.18</v>
      </c>
      <c r="E353" s="7">
        <f t="shared" si="26"/>
        <v>-0.11275898047399024</v>
      </c>
      <c r="G353" s="6">
        <v>12198.74</v>
      </c>
      <c r="H353" s="7">
        <f t="shared" si="27"/>
        <v>-5.8250756809241633E-4</v>
      </c>
      <c r="I353" s="6">
        <f>MAX($G353:$G$1261)</f>
        <v>12205.85</v>
      </c>
      <c r="J353" s="7">
        <f t="shared" si="28"/>
        <v>-5.8250756809241633E-4</v>
      </c>
      <c r="K353" s="6">
        <f t="shared" si="29"/>
        <v>203.86208141287668</v>
      </c>
    </row>
    <row r="354" spans="1:11" x14ac:dyDescent="0.25">
      <c r="A354" s="2">
        <f>DATE(2020,11,27)</f>
        <v>44162</v>
      </c>
      <c r="B354" s="6">
        <v>116.59</v>
      </c>
      <c r="C354" s="7">
        <f t="shared" si="25"/>
        <v>4.8263380160302738E-3</v>
      </c>
      <c r="D354" s="6">
        <f>MAX($B354:$B$1261)</f>
        <v>134.18</v>
      </c>
      <c r="E354" s="7">
        <f t="shared" si="26"/>
        <v>-0.13109256222984056</v>
      </c>
      <c r="G354" s="6">
        <v>12205.85</v>
      </c>
      <c r="H354" s="7">
        <f t="shared" si="27"/>
        <v>9.215008599021024E-3</v>
      </c>
      <c r="I354" s="6">
        <f>MAX($G354:$G$1261)</f>
        <v>12205.85</v>
      </c>
      <c r="J354" s="7">
        <f t="shared" si="28"/>
        <v>0</v>
      </c>
      <c r="K354" s="6">
        <f t="shared" si="29"/>
        <v>203.98090183194009</v>
      </c>
    </row>
    <row r="355" spans="1:11" x14ac:dyDescent="0.25">
      <c r="A355" s="2">
        <f>DATE(2020,11,25)</f>
        <v>44160</v>
      </c>
      <c r="B355" s="6">
        <v>116.03</v>
      </c>
      <c r="C355" s="7">
        <f t="shared" si="25"/>
        <v>7.4672223669358662E-3</v>
      </c>
      <c r="D355" s="6">
        <f>MAX($B355:$B$1261)</f>
        <v>134.18</v>
      </c>
      <c r="E355" s="7">
        <f t="shared" si="26"/>
        <v>-0.13526606051572521</v>
      </c>
      <c r="G355" s="6">
        <v>12094.4</v>
      </c>
      <c r="H355" s="7">
        <f t="shared" si="27"/>
        <v>4.7861597651863708E-3</v>
      </c>
      <c r="I355" s="6">
        <f>MAX($G355:$G$1261)</f>
        <v>12094.4</v>
      </c>
      <c r="J355" s="7">
        <f t="shared" si="28"/>
        <v>0</v>
      </c>
      <c r="K355" s="6">
        <f t="shared" si="29"/>
        <v>202.1183792293217</v>
      </c>
    </row>
    <row r="356" spans="1:11" x14ac:dyDescent="0.25">
      <c r="A356" s="2">
        <f>DATE(2020,11,24)</f>
        <v>44159</v>
      </c>
      <c r="B356" s="6">
        <v>115.17</v>
      </c>
      <c r="C356" s="7">
        <f t="shared" si="25"/>
        <v>1.1594202898550732E-2</v>
      </c>
      <c r="D356" s="6">
        <f>MAX($B356:$B$1261)</f>
        <v>134.18</v>
      </c>
      <c r="E356" s="7">
        <f t="shared" si="26"/>
        <v>-0.14167536145476234</v>
      </c>
      <c r="G356" s="6">
        <v>12036.79</v>
      </c>
      <c r="H356" s="7">
        <f t="shared" si="27"/>
        <v>1.3144084110017884E-2</v>
      </c>
      <c r="I356" s="6">
        <f>MAX($G356:$G$1261)</f>
        <v>12056.44</v>
      </c>
      <c r="J356" s="7">
        <f t="shared" si="28"/>
        <v>-1.6298343457935571E-3</v>
      </c>
      <c r="K356" s="6">
        <f t="shared" si="29"/>
        <v>201.15561631198801</v>
      </c>
    </row>
    <row r="357" spans="1:11" x14ac:dyDescent="0.25">
      <c r="A357" s="2">
        <f>DATE(2020,11,23)</f>
        <v>44158</v>
      </c>
      <c r="B357" s="6">
        <v>113.85</v>
      </c>
      <c r="C357" s="7">
        <f t="shared" si="25"/>
        <v>-2.9742628259758042E-2</v>
      </c>
      <c r="D357" s="6">
        <f>MAX($B357:$B$1261)</f>
        <v>134.18</v>
      </c>
      <c r="E357" s="7">
        <f t="shared" si="26"/>
        <v>-0.15151289312863325</v>
      </c>
      <c r="G357" s="6">
        <v>11880.63</v>
      </c>
      <c r="H357" s="7">
        <f t="shared" si="27"/>
        <v>2.1644930354105529E-3</v>
      </c>
      <c r="I357" s="6">
        <f>MAX($G357:$G$1261)</f>
        <v>12056.44</v>
      </c>
      <c r="J357" s="7">
        <f t="shared" si="28"/>
        <v>-1.4582248159489941E-2</v>
      </c>
      <c r="K357" s="6">
        <f t="shared" si="29"/>
        <v>198.54591214307916</v>
      </c>
    </row>
    <row r="358" spans="1:11" x14ac:dyDescent="0.25">
      <c r="A358" s="2">
        <f>DATE(2020,11,20)</f>
        <v>44155</v>
      </c>
      <c r="B358" s="6">
        <v>117.34</v>
      </c>
      <c r="C358" s="7">
        <f t="shared" si="25"/>
        <v>-1.0957518543492917E-2</v>
      </c>
      <c r="D358" s="6">
        <f>MAX($B358:$B$1261)</f>
        <v>134.18</v>
      </c>
      <c r="E358" s="7">
        <f t="shared" si="26"/>
        <v>-0.12550305559695929</v>
      </c>
      <c r="G358" s="6">
        <v>11854.97</v>
      </c>
      <c r="H358" s="7">
        <f t="shared" si="27"/>
        <v>-4.1781782168569537E-3</v>
      </c>
      <c r="I358" s="6">
        <f>MAX($G358:$G$1261)</f>
        <v>12056.44</v>
      </c>
      <c r="J358" s="7">
        <f t="shared" si="28"/>
        <v>-1.6710571279747732E-2</v>
      </c>
      <c r="K358" s="6">
        <f t="shared" si="29"/>
        <v>198.11708908356198</v>
      </c>
    </row>
    <row r="359" spans="1:11" x14ac:dyDescent="0.25">
      <c r="A359" s="2">
        <f>DATE(2020,11,19)</f>
        <v>44154</v>
      </c>
      <c r="B359" s="6">
        <v>118.64</v>
      </c>
      <c r="C359" s="7">
        <f t="shared" si="25"/>
        <v>5.1681775819707454E-3</v>
      </c>
      <c r="D359" s="6">
        <f>MAX($B359:$B$1261)</f>
        <v>134.18</v>
      </c>
      <c r="E359" s="7">
        <f t="shared" si="26"/>
        <v>-0.11581457743329859</v>
      </c>
      <c r="G359" s="6">
        <v>11904.71</v>
      </c>
      <c r="H359" s="7">
        <f t="shared" si="27"/>
        <v>8.7369509219088481E-3</v>
      </c>
      <c r="I359" s="6">
        <f>MAX($G359:$G$1261)</f>
        <v>12056.44</v>
      </c>
      <c r="J359" s="7">
        <f t="shared" si="28"/>
        <v>-1.2584975332685433E-2</v>
      </c>
      <c r="K359" s="6">
        <f t="shared" si="29"/>
        <v>198.94833066502665</v>
      </c>
    </row>
    <row r="360" spans="1:11" x14ac:dyDescent="0.25">
      <c r="A360" s="2">
        <f>DATE(2020,11,18)</f>
        <v>44153</v>
      </c>
      <c r="B360" s="6">
        <v>118.03</v>
      </c>
      <c r="C360" s="7">
        <f t="shared" si="25"/>
        <v>-1.139123879721915E-2</v>
      </c>
      <c r="D360" s="6">
        <f>MAX($B360:$B$1261)</f>
        <v>134.18</v>
      </c>
      <c r="E360" s="7">
        <f t="shared" si="26"/>
        <v>-0.12036070949470867</v>
      </c>
      <c r="G360" s="6">
        <v>11801.6</v>
      </c>
      <c r="H360" s="7">
        <f t="shared" si="27"/>
        <v>-8.2139009390436168E-3</v>
      </c>
      <c r="I360" s="6">
        <f>MAX($G360:$G$1261)</f>
        <v>12056.44</v>
      </c>
      <c r="J360" s="7">
        <f t="shared" si="28"/>
        <v>-2.1137251128857337E-2</v>
      </c>
      <c r="K360" s="6">
        <f t="shared" si="29"/>
        <v>197.22518391261767</v>
      </c>
    </row>
    <row r="361" spans="1:11" x14ac:dyDescent="0.25">
      <c r="A361" s="2">
        <f>DATE(2020,11,17)</f>
        <v>44152</v>
      </c>
      <c r="B361" s="6">
        <v>119.39</v>
      </c>
      <c r="C361" s="7">
        <f t="shared" si="25"/>
        <v>-7.5644222776392045E-3</v>
      </c>
      <c r="D361" s="6">
        <f>MAX($B361:$B$1261)</f>
        <v>134.18</v>
      </c>
      <c r="E361" s="7">
        <f t="shared" si="26"/>
        <v>-0.11022507080041744</v>
      </c>
      <c r="G361" s="6">
        <v>11899.34</v>
      </c>
      <c r="H361" s="7">
        <f t="shared" si="27"/>
        <v>-2.0789776696495954E-3</v>
      </c>
      <c r="I361" s="6">
        <f>MAX($G361:$G$1261)</f>
        <v>12056.44</v>
      </c>
      <c r="J361" s="7">
        <f t="shared" si="28"/>
        <v>-1.3030380443978529E-2</v>
      </c>
      <c r="K361" s="6">
        <f t="shared" si="29"/>
        <v>198.85858866075512</v>
      </c>
    </row>
    <row r="362" spans="1:11" x14ac:dyDescent="0.25">
      <c r="A362" s="2">
        <f>DATE(2020,11,16)</f>
        <v>44151</v>
      </c>
      <c r="B362" s="6">
        <v>120.3</v>
      </c>
      <c r="C362" s="7">
        <f t="shared" si="25"/>
        <v>8.7204427301692533E-3</v>
      </c>
      <c r="D362" s="6">
        <f>MAX($B362:$B$1261)</f>
        <v>134.18</v>
      </c>
      <c r="E362" s="7">
        <f t="shared" si="26"/>
        <v>-0.10344313608585487</v>
      </c>
      <c r="G362" s="6">
        <v>11924.13</v>
      </c>
      <c r="H362" s="7">
        <f t="shared" si="27"/>
        <v>8.0173873495363868E-3</v>
      </c>
      <c r="I362" s="6">
        <f>MAX($G362:$G$1261)</f>
        <v>12056.44</v>
      </c>
      <c r="J362" s="7">
        <f t="shared" si="28"/>
        <v>-1.0974217928343744E-2</v>
      </c>
      <c r="K362" s="6">
        <f t="shared" si="29"/>
        <v>199.27287251287632</v>
      </c>
    </row>
    <row r="363" spans="1:11" x14ac:dyDescent="0.25">
      <c r="A363" s="2">
        <f>DATE(2020,11,13)</f>
        <v>44148</v>
      </c>
      <c r="B363" s="6">
        <v>119.26</v>
      </c>
      <c r="C363" s="7">
        <f t="shared" si="25"/>
        <v>4.194279003439938E-4</v>
      </c>
      <c r="D363" s="6">
        <f>MAX($B363:$B$1261)</f>
        <v>134.18</v>
      </c>
      <c r="E363" s="7">
        <f t="shared" si="26"/>
        <v>-0.1111939186167834</v>
      </c>
      <c r="G363" s="6">
        <v>11829.29</v>
      </c>
      <c r="H363" s="7">
        <f t="shared" si="27"/>
        <v>1.0222390365503875E-2</v>
      </c>
      <c r="I363" s="6">
        <f>MAX($G363:$G$1261)</f>
        <v>12056.44</v>
      </c>
      <c r="J363" s="7">
        <f t="shared" si="28"/>
        <v>-1.884055326447942E-2</v>
      </c>
      <c r="K363" s="6">
        <f t="shared" si="29"/>
        <v>197.68793178939202</v>
      </c>
    </row>
    <row r="364" spans="1:11" x14ac:dyDescent="0.25">
      <c r="A364" s="2">
        <f>DATE(2020,11,12)</f>
        <v>44147</v>
      </c>
      <c r="B364" s="6">
        <v>119.21</v>
      </c>
      <c r="C364" s="7">
        <f t="shared" si="25"/>
        <v>-2.3432923257176164E-3</v>
      </c>
      <c r="D364" s="6">
        <f>MAX($B364:$B$1261)</f>
        <v>134.18</v>
      </c>
      <c r="E364" s="7">
        <f t="shared" si="26"/>
        <v>-0.11156655239230895</v>
      </c>
      <c r="G364" s="6">
        <v>11709.59</v>
      </c>
      <c r="H364" s="7">
        <f t="shared" si="27"/>
        <v>-6.5193616727032833E-3</v>
      </c>
      <c r="I364" s="6">
        <f>MAX($G364:$G$1261)</f>
        <v>12056.44</v>
      </c>
      <c r="J364" s="7">
        <f t="shared" si="28"/>
        <v>-2.8768857141909243E-2</v>
      </c>
      <c r="K364" s="6">
        <f t="shared" si="29"/>
        <v>195.68753739250172</v>
      </c>
    </row>
    <row r="365" spans="1:11" x14ac:dyDescent="0.25">
      <c r="A365" s="2">
        <f>DATE(2020,11,11)</f>
        <v>44146</v>
      </c>
      <c r="B365" s="6">
        <v>119.49</v>
      </c>
      <c r="C365" s="7">
        <f t="shared" si="25"/>
        <v>3.0352677416573215E-2</v>
      </c>
      <c r="D365" s="6">
        <f>MAX($B365:$B$1261)</f>
        <v>134.18</v>
      </c>
      <c r="E365" s="7">
        <f t="shared" si="26"/>
        <v>-0.10947980324936657</v>
      </c>
      <c r="G365" s="6">
        <v>11786.43</v>
      </c>
      <c r="H365" s="7">
        <f t="shared" si="27"/>
        <v>2.0129203573524324E-2</v>
      </c>
      <c r="I365" s="6">
        <f>MAX($G365:$G$1261)</f>
        <v>12056.44</v>
      </c>
      <c r="J365" s="7">
        <f t="shared" si="28"/>
        <v>-2.2395499832454702E-2</v>
      </c>
      <c r="K365" s="6">
        <f t="shared" si="29"/>
        <v>196.97166692848376</v>
      </c>
    </row>
    <row r="366" spans="1:11" x14ac:dyDescent="0.25">
      <c r="A366" s="2">
        <f>DATE(2020,11,10)</f>
        <v>44145</v>
      </c>
      <c r="B366" s="6">
        <v>115.97</v>
      </c>
      <c r="C366" s="7">
        <f t="shared" si="25"/>
        <v>-3.0089408528197747E-3</v>
      </c>
      <c r="D366" s="6">
        <f>MAX($B366:$B$1261)</f>
        <v>134.18</v>
      </c>
      <c r="E366" s="7">
        <f t="shared" si="26"/>
        <v>-0.13571322104635575</v>
      </c>
      <c r="G366" s="6">
        <v>11553.86</v>
      </c>
      <c r="H366" s="7">
        <f t="shared" si="27"/>
        <v>-1.3652296696711086E-2</v>
      </c>
      <c r="I366" s="6">
        <f>MAX($G366:$G$1261)</f>
        <v>12056.44</v>
      </c>
      <c r="J366" s="7">
        <f t="shared" si="28"/>
        <v>-4.1685605369412571E-2</v>
      </c>
      <c r="K366" s="6">
        <f t="shared" si="29"/>
        <v>193.08501926862769</v>
      </c>
    </row>
    <row r="367" spans="1:11" x14ac:dyDescent="0.25">
      <c r="A367" s="2">
        <f>DATE(2020,11,9)</f>
        <v>44144</v>
      </c>
      <c r="B367" s="6">
        <v>116.32</v>
      </c>
      <c r="C367" s="7">
        <f t="shared" si="25"/>
        <v>-1.9967983823405588E-2</v>
      </c>
      <c r="D367" s="6">
        <f>MAX($B367:$B$1261)</f>
        <v>134.18</v>
      </c>
      <c r="E367" s="7">
        <f t="shared" si="26"/>
        <v>-0.13310478461767783</v>
      </c>
      <c r="G367" s="6">
        <v>11713.78</v>
      </c>
      <c r="H367" s="7">
        <f t="shared" si="27"/>
        <v>-1.5254013583596016E-2</v>
      </c>
      <c r="I367" s="6">
        <f>MAX($G367:$G$1261)</f>
        <v>12056.44</v>
      </c>
      <c r="J367" s="7">
        <f t="shared" si="28"/>
        <v>-2.8421325034587275E-2</v>
      </c>
      <c r="K367" s="6">
        <f t="shared" si="29"/>
        <v>195.75755955225921</v>
      </c>
    </row>
    <row r="368" spans="1:11" x14ac:dyDescent="0.25">
      <c r="A368" s="2">
        <f>DATE(2020,11,6)</f>
        <v>44141</v>
      </c>
      <c r="B368" s="6">
        <v>118.69</v>
      </c>
      <c r="C368" s="7">
        <f t="shared" si="25"/>
        <v>-2.8564227505670781E-3</v>
      </c>
      <c r="D368" s="6">
        <f>MAX($B368:$B$1261)</f>
        <v>134.18</v>
      </c>
      <c r="E368" s="7">
        <f t="shared" si="26"/>
        <v>-0.11544194365777316</v>
      </c>
      <c r="G368" s="6">
        <v>11895.23</v>
      </c>
      <c r="H368" s="7">
        <f t="shared" si="27"/>
        <v>3.6162015923046908E-4</v>
      </c>
      <c r="I368" s="6">
        <f>MAX($G368:$G$1261)</f>
        <v>12056.44</v>
      </c>
      <c r="J368" s="7">
        <f t="shared" si="28"/>
        <v>-1.3371277093404133E-2</v>
      </c>
      <c r="K368" s="6">
        <f t="shared" si="29"/>
        <v>198.78990343960874</v>
      </c>
    </row>
    <row r="369" spans="1:11" x14ac:dyDescent="0.25">
      <c r="A369" s="2">
        <f>DATE(2020,11,5)</f>
        <v>44140</v>
      </c>
      <c r="B369" s="6">
        <v>119.03</v>
      </c>
      <c r="C369" s="7">
        <f t="shared" si="25"/>
        <v>3.5493692909960739E-2</v>
      </c>
      <c r="D369" s="6">
        <f>MAX($B369:$B$1261)</f>
        <v>134.18</v>
      </c>
      <c r="E369" s="7">
        <f t="shared" si="26"/>
        <v>-0.11290803398420035</v>
      </c>
      <c r="G369" s="6">
        <v>11890.93</v>
      </c>
      <c r="H369" s="7">
        <f t="shared" si="27"/>
        <v>2.5895582523350447E-2</v>
      </c>
      <c r="I369" s="6">
        <f>MAX($G369:$G$1261)</f>
        <v>12056.44</v>
      </c>
      <c r="J369" s="7">
        <f t="shared" si="28"/>
        <v>-1.3727932955333477E-2</v>
      </c>
      <c r="K369" s="6">
        <f t="shared" si="29"/>
        <v>198.71804298926099</v>
      </c>
    </row>
    <row r="370" spans="1:11" x14ac:dyDescent="0.25">
      <c r="A370" s="2">
        <f>DATE(2020,11,4)</f>
        <v>44139</v>
      </c>
      <c r="B370" s="6">
        <v>114.95</v>
      </c>
      <c r="C370" s="7">
        <f t="shared" si="25"/>
        <v>4.0836653386454147E-2</v>
      </c>
      <c r="D370" s="6">
        <f>MAX($B370:$B$1261)</f>
        <v>134.18</v>
      </c>
      <c r="E370" s="7">
        <f t="shared" si="26"/>
        <v>-0.14331495006707407</v>
      </c>
      <c r="G370" s="6">
        <v>11590.78</v>
      </c>
      <c r="H370" s="7">
        <f t="shared" si="27"/>
        <v>3.854731433967995E-2</v>
      </c>
      <c r="I370" s="6">
        <f>MAX($G370:$G$1261)</f>
        <v>12056.44</v>
      </c>
      <c r="J370" s="7">
        <f t="shared" si="28"/>
        <v>-3.8623341550242052E-2</v>
      </c>
      <c r="K370" s="6">
        <f t="shared" si="29"/>
        <v>193.70201643766018</v>
      </c>
    </row>
    <row r="371" spans="1:11" x14ac:dyDescent="0.25">
      <c r="A371" s="2">
        <f>DATE(2020,11,3)</f>
        <v>44138</v>
      </c>
      <c r="B371" s="6">
        <v>110.44</v>
      </c>
      <c r="C371" s="7">
        <f t="shared" si="25"/>
        <v>1.5353498207226313E-2</v>
      </c>
      <c r="D371" s="6">
        <f>MAX($B371:$B$1261)</f>
        <v>134.18</v>
      </c>
      <c r="E371" s="7">
        <f t="shared" si="26"/>
        <v>-0.17692651661946646</v>
      </c>
      <c r="G371" s="6">
        <v>11160.57</v>
      </c>
      <c r="H371" s="7">
        <f t="shared" si="27"/>
        <v>1.8522287250595681E-2</v>
      </c>
      <c r="I371" s="6">
        <f>MAX($G371:$G$1261)</f>
        <v>12056.44</v>
      </c>
      <c r="J371" s="7">
        <f t="shared" si="28"/>
        <v>-7.430634582015927E-2</v>
      </c>
      <c r="K371" s="6">
        <f t="shared" si="29"/>
        <v>186.51246193902884</v>
      </c>
    </row>
    <row r="372" spans="1:11" x14ac:dyDescent="0.25">
      <c r="A372" s="2">
        <f>DATE(2020,11,2)</f>
        <v>44137</v>
      </c>
      <c r="B372" s="6">
        <v>108.77</v>
      </c>
      <c r="C372" s="7">
        <f t="shared" si="25"/>
        <v>-8.2674995406950558E-4</v>
      </c>
      <c r="D372" s="6">
        <f>MAX($B372:$B$1261)</f>
        <v>134.18</v>
      </c>
      <c r="E372" s="7">
        <f t="shared" si="26"/>
        <v>-0.18937248472201529</v>
      </c>
      <c r="G372" s="6">
        <v>10957.61</v>
      </c>
      <c r="H372" s="7">
        <f t="shared" si="27"/>
        <v>4.2175338332910428E-3</v>
      </c>
      <c r="I372" s="6">
        <f>MAX($G372:$G$1261)</f>
        <v>12056.44</v>
      </c>
      <c r="J372" s="7">
        <f t="shared" si="28"/>
        <v>-9.1140502503226473E-2</v>
      </c>
      <c r="K372" s="6">
        <f t="shared" si="29"/>
        <v>183.12064868261405</v>
      </c>
    </row>
    <row r="373" spans="1:11" x14ac:dyDescent="0.25">
      <c r="A373" s="2">
        <f>DATE(2020,10,30)</f>
        <v>44134</v>
      </c>
      <c r="B373" s="6">
        <v>108.86</v>
      </c>
      <c r="C373" s="7">
        <f t="shared" si="25"/>
        <v>-5.6018036767256252E-2</v>
      </c>
      <c r="D373" s="6">
        <f>MAX($B373:$B$1261)</f>
        <v>134.18</v>
      </c>
      <c r="E373" s="7">
        <f t="shared" si="26"/>
        <v>-0.18870174392606953</v>
      </c>
      <c r="G373" s="6">
        <v>10911.59</v>
      </c>
      <c r="H373" s="7">
        <f t="shared" si="27"/>
        <v>-2.4495802188351234E-2</v>
      </c>
      <c r="I373" s="6">
        <f>MAX($G373:$G$1261)</f>
        <v>12056.44</v>
      </c>
      <c r="J373" s="7">
        <f t="shared" si="28"/>
        <v>-9.4957549658108098E-2</v>
      </c>
      <c r="K373" s="6">
        <f t="shared" si="29"/>
        <v>182.35157474656651</v>
      </c>
    </row>
    <row r="374" spans="1:11" x14ac:dyDescent="0.25">
      <c r="A374" s="2">
        <f>DATE(2020,10,29)</f>
        <v>44133</v>
      </c>
      <c r="B374" s="6">
        <v>115.32</v>
      </c>
      <c r="C374" s="7">
        <f t="shared" si="25"/>
        <v>3.705035971223003E-2</v>
      </c>
      <c r="D374" s="6">
        <f>MAX($B374:$B$1261)</f>
        <v>134.18</v>
      </c>
      <c r="E374" s="7">
        <f t="shared" si="26"/>
        <v>-0.14055746012818615</v>
      </c>
      <c r="G374" s="6">
        <v>11185.59</v>
      </c>
      <c r="H374" s="7">
        <f t="shared" si="27"/>
        <v>1.6421820521278274E-2</v>
      </c>
      <c r="I374" s="6">
        <f>MAX($G374:$G$1261)</f>
        <v>12056.44</v>
      </c>
      <c r="J374" s="7">
        <f t="shared" si="28"/>
        <v>-7.2231106363072395E-2</v>
      </c>
      <c r="K374" s="6">
        <f t="shared" si="29"/>
        <v>186.93058948965705</v>
      </c>
    </row>
    <row r="375" spans="1:11" x14ac:dyDescent="0.25">
      <c r="A375" s="2">
        <f>DATE(2020,10,28)</f>
        <v>44132</v>
      </c>
      <c r="B375" s="6">
        <v>111.2</v>
      </c>
      <c r="C375" s="7">
        <f t="shared" si="25"/>
        <v>-4.6312178387650005E-2</v>
      </c>
      <c r="D375" s="6">
        <f>MAX($B375:$B$1261)</f>
        <v>134.18</v>
      </c>
      <c r="E375" s="7">
        <f t="shared" si="26"/>
        <v>-0.17126248323148008</v>
      </c>
      <c r="G375" s="6">
        <v>11004.87</v>
      </c>
      <c r="H375" s="7">
        <f t="shared" si="27"/>
        <v>-3.7307929509637905E-2</v>
      </c>
      <c r="I375" s="6">
        <f>MAX($G375:$G$1261)</f>
        <v>12056.44</v>
      </c>
      <c r="J375" s="7">
        <f t="shared" si="28"/>
        <v>-8.7220605750951363E-2</v>
      </c>
      <c r="K375" s="6">
        <f t="shared" si="29"/>
        <v>183.91044516713399</v>
      </c>
    </row>
    <row r="376" spans="1:11" x14ac:dyDescent="0.25">
      <c r="A376" s="2">
        <f>DATE(2020,10,27)</f>
        <v>44131</v>
      </c>
      <c r="B376" s="6">
        <v>116.6</v>
      </c>
      <c r="C376" s="7">
        <f t="shared" si="25"/>
        <v>1.3472403302911662E-2</v>
      </c>
      <c r="D376" s="6">
        <f>MAX($B376:$B$1261)</f>
        <v>134.18</v>
      </c>
      <c r="E376" s="7">
        <f t="shared" si="26"/>
        <v>-0.13101803547473556</v>
      </c>
      <c r="G376" s="6">
        <v>11431.35</v>
      </c>
      <c r="H376" s="7">
        <f t="shared" si="27"/>
        <v>6.3747145420258722E-3</v>
      </c>
      <c r="I376" s="6">
        <f>MAX($G376:$G$1261)</f>
        <v>12056.44</v>
      </c>
      <c r="J376" s="7">
        <f t="shared" si="28"/>
        <v>-5.1846979705452045E-2</v>
      </c>
      <c r="K376" s="6">
        <f t="shared" si="29"/>
        <v>191.03766490302175</v>
      </c>
    </row>
    <row r="377" spans="1:11" x14ac:dyDescent="0.25">
      <c r="A377" s="2">
        <f>DATE(2020,10,26)</f>
        <v>44130</v>
      </c>
      <c r="B377" s="6">
        <v>115.05</v>
      </c>
      <c r="C377" s="7">
        <f t="shared" si="25"/>
        <v>8.6926286508859363E-5</v>
      </c>
      <c r="D377" s="6">
        <f>MAX($B377:$B$1261)</f>
        <v>134.18</v>
      </c>
      <c r="E377" s="7">
        <f t="shared" si="26"/>
        <v>-0.14256968251602331</v>
      </c>
      <c r="G377" s="6">
        <v>11358.94</v>
      </c>
      <c r="H377" s="7">
        <f t="shared" si="27"/>
        <v>-1.6395515176286013E-2</v>
      </c>
      <c r="I377" s="6">
        <f>MAX($G377:$G$1261)</f>
        <v>12056.44</v>
      </c>
      <c r="J377" s="7">
        <f t="shared" si="28"/>
        <v>-5.7852898533895525E-2</v>
      </c>
      <c r="K377" s="6">
        <f t="shared" si="29"/>
        <v>189.82756834263057</v>
      </c>
    </row>
    <row r="378" spans="1:11" x14ac:dyDescent="0.25">
      <c r="A378" s="2">
        <f>DATE(2020,10,23)</f>
        <v>44127</v>
      </c>
      <c r="B378" s="6">
        <v>115.04</v>
      </c>
      <c r="C378" s="7">
        <f t="shared" si="25"/>
        <v>-6.1339092872569889E-3</v>
      </c>
      <c r="D378" s="6">
        <f>MAX($B378:$B$1261)</f>
        <v>134.18</v>
      </c>
      <c r="E378" s="7">
        <f t="shared" si="26"/>
        <v>-0.14264420927112831</v>
      </c>
      <c r="G378" s="6">
        <v>11548.28</v>
      </c>
      <c r="H378" s="7">
        <f t="shared" si="27"/>
        <v>3.6737322494939662E-3</v>
      </c>
      <c r="I378" s="6">
        <f>MAX($G378:$G$1261)</f>
        <v>12056.44</v>
      </c>
      <c r="J378" s="7">
        <f t="shared" si="28"/>
        <v>-4.2148428557683637E-2</v>
      </c>
      <c r="K378" s="6">
        <f t="shared" si="29"/>
        <v>192.99176780050198</v>
      </c>
    </row>
    <row r="379" spans="1:11" x14ac:dyDescent="0.25">
      <c r="A379" s="2">
        <f>DATE(2020,10,22)</f>
        <v>44126</v>
      </c>
      <c r="B379" s="6">
        <v>115.75</v>
      </c>
      <c r="C379" s="7">
        <f t="shared" si="25"/>
        <v>-9.5832976811842663E-3</v>
      </c>
      <c r="D379" s="6">
        <f>MAX($B379:$B$1261)</f>
        <v>134.18</v>
      </c>
      <c r="E379" s="7">
        <f t="shared" si="26"/>
        <v>-0.13735280965866747</v>
      </c>
      <c r="G379" s="6">
        <v>11506.01</v>
      </c>
      <c r="H379" s="7">
        <f t="shared" si="27"/>
        <v>1.8563844561760856E-3</v>
      </c>
      <c r="I379" s="6">
        <f>MAX($G379:$G$1261)</f>
        <v>12056.44</v>
      </c>
      <c r="J379" s="7">
        <f t="shared" si="28"/>
        <v>-4.5654438623673355E-2</v>
      </c>
      <c r="K379" s="6">
        <f t="shared" si="29"/>
        <v>192.28536286185076</v>
      </c>
    </row>
    <row r="380" spans="1:11" x14ac:dyDescent="0.25">
      <c r="A380" s="2">
        <f>DATE(2020,10,21)</f>
        <v>44125</v>
      </c>
      <c r="B380" s="6">
        <v>116.87</v>
      </c>
      <c r="C380" s="7">
        <f t="shared" si="25"/>
        <v>-5.4463449919155416E-3</v>
      </c>
      <c r="D380" s="6">
        <f>MAX($B380:$B$1261)</f>
        <v>134.18</v>
      </c>
      <c r="E380" s="7">
        <f t="shared" si="26"/>
        <v>-0.12900581308689818</v>
      </c>
      <c r="G380" s="6">
        <v>11484.69</v>
      </c>
      <c r="H380" s="7">
        <f t="shared" si="27"/>
        <v>-2.761257987459631E-3</v>
      </c>
      <c r="I380" s="6">
        <f>MAX($G380:$G$1261)</f>
        <v>12056.44</v>
      </c>
      <c r="J380" s="7">
        <f t="shared" si="28"/>
        <v>-4.7422788153053452E-2</v>
      </c>
      <c r="K380" s="6">
        <f t="shared" si="29"/>
        <v>191.92906872198691</v>
      </c>
    </row>
    <row r="381" spans="1:11" x14ac:dyDescent="0.25">
      <c r="A381" s="2">
        <f>DATE(2020,10,20)</f>
        <v>44124</v>
      </c>
      <c r="B381" s="6">
        <v>117.51</v>
      </c>
      <c r="C381" s="7">
        <f t="shared" si="25"/>
        <v>1.3191929643041833E-2</v>
      </c>
      <c r="D381" s="6">
        <f>MAX($B381:$B$1261)</f>
        <v>134.18</v>
      </c>
      <c r="E381" s="7">
        <f t="shared" si="26"/>
        <v>-0.12423610076017289</v>
      </c>
      <c r="G381" s="6">
        <v>11516.49</v>
      </c>
      <c r="H381" s="7">
        <f t="shared" si="27"/>
        <v>3.2764520580406131E-3</v>
      </c>
      <c r="I381" s="6">
        <f>MAX($G381:$G$1261)</f>
        <v>12056.44</v>
      </c>
      <c r="J381" s="7">
        <f t="shared" si="28"/>
        <v>-4.4785193639250154E-2</v>
      </c>
      <c r="K381" s="6">
        <f t="shared" si="29"/>
        <v>192.46050181990762</v>
      </c>
    </row>
    <row r="382" spans="1:11" x14ac:dyDescent="0.25">
      <c r="A382" s="2">
        <f>DATE(2020,10,19)</f>
        <v>44123</v>
      </c>
      <c r="B382" s="6">
        <v>115.98</v>
      </c>
      <c r="C382" s="7">
        <f t="shared" si="25"/>
        <v>-2.55419257267685E-2</v>
      </c>
      <c r="D382" s="6">
        <f>MAX($B382:$B$1261)</f>
        <v>134.18</v>
      </c>
      <c r="E382" s="7">
        <f t="shared" si="26"/>
        <v>-0.13563869429125053</v>
      </c>
      <c r="G382" s="6">
        <v>11478.88</v>
      </c>
      <c r="H382" s="7">
        <f t="shared" si="27"/>
        <v>-1.6508504432997895E-2</v>
      </c>
      <c r="I382" s="6">
        <f>MAX($G382:$G$1261)</f>
        <v>12056.44</v>
      </c>
      <c r="J382" s="7">
        <f t="shared" si="28"/>
        <v>-4.7904688282776831E-2</v>
      </c>
      <c r="K382" s="6">
        <f t="shared" si="29"/>
        <v>191.83197355535418</v>
      </c>
    </row>
    <row r="383" spans="1:11" x14ac:dyDescent="0.25">
      <c r="A383" s="2">
        <f>DATE(2020,10,16)</f>
        <v>44120</v>
      </c>
      <c r="B383" s="6">
        <v>119.02</v>
      </c>
      <c r="C383" s="7">
        <f t="shared" si="25"/>
        <v>-1.4000497059067141E-2</v>
      </c>
      <c r="D383" s="6">
        <f>MAX($B383:$B$1261)</f>
        <v>134.18</v>
      </c>
      <c r="E383" s="7">
        <f t="shared" si="26"/>
        <v>-0.11298256073930546</v>
      </c>
      <c r="G383" s="6">
        <v>11671.56</v>
      </c>
      <c r="H383" s="7">
        <f t="shared" si="27"/>
        <v>-3.6119574487339934E-3</v>
      </c>
      <c r="I383" s="6">
        <f>MAX($G383:$G$1261)</f>
        <v>12056.44</v>
      </c>
      <c r="J383" s="7">
        <f t="shared" si="28"/>
        <v>-3.1923187939391862E-2</v>
      </c>
      <c r="K383" s="6">
        <f t="shared" si="29"/>
        <v>195.05199020023991</v>
      </c>
    </row>
    <row r="384" spans="1:11" x14ac:dyDescent="0.25">
      <c r="A384" s="2">
        <f>DATE(2020,10,15)</f>
        <v>44119</v>
      </c>
      <c r="B384" s="6">
        <v>120.71</v>
      </c>
      <c r="C384" s="7">
        <f t="shared" si="25"/>
        <v>-3.9607228319168408E-3</v>
      </c>
      <c r="D384" s="6">
        <f>MAX($B384:$B$1261)</f>
        <v>134.18</v>
      </c>
      <c r="E384" s="7">
        <f t="shared" si="26"/>
        <v>-0.10038753912654652</v>
      </c>
      <c r="G384" s="6">
        <v>11713.87</v>
      </c>
      <c r="H384" s="7">
        <f t="shared" si="27"/>
        <v>-4.6615055320327059E-3</v>
      </c>
      <c r="I384" s="6">
        <f>MAX($G384:$G$1261)</f>
        <v>12056.44</v>
      </c>
      <c r="J384" s="7">
        <f t="shared" si="28"/>
        <v>-2.8413860144453906E-2</v>
      </c>
      <c r="K384" s="6">
        <f t="shared" si="29"/>
        <v>195.75906360819673</v>
      </c>
    </row>
    <row r="385" spans="1:11" x14ac:dyDescent="0.25">
      <c r="A385" s="2">
        <f>DATE(2020,10,14)</f>
        <v>44118</v>
      </c>
      <c r="B385" s="6">
        <v>121.19</v>
      </c>
      <c r="C385" s="7">
        <f t="shared" si="25"/>
        <v>7.4318744838985928E-4</v>
      </c>
      <c r="D385" s="6">
        <f>MAX($B385:$B$1261)</f>
        <v>134.18</v>
      </c>
      <c r="E385" s="7">
        <f t="shared" si="26"/>
        <v>-9.6810254881502522E-2</v>
      </c>
      <c r="G385" s="6">
        <v>11768.73</v>
      </c>
      <c r="H385" s="7">
        <f t="shared" si="27"/>
        <v>-8.0218140746297628E-3</v>
      </c>
      <c r="I385" s="6">
        <f>MAX($G385:$G$1261)</f>
        <v>12056.44</v>
      </c>
      <c r="J385" s="7">
        <f t="shared" si="28"/>
        <v>-2.3863594892024609E-2</v>
      </c>
      <c r="K385" s="6">
        <f t="shared" si="29"/>
        <v>196.67586926077317</v>
      </c>
    </row>
    <row r="386" spans="1:11" x14ac:dyDescent="0.25">
      <c r="A386" s="2">
        <f>DATE(2020,10,13)</f>
        <v>44117</v>
      </c>
      <c r="B386" s="6">
        <v>121.1</v>
      </c>
      <c r="C386" s="7">
        <f t="shared" ref="C386:C449" si="30">IFERROR(B386/B387-1,0)</f>
        <v>-2.6527331189710734E-2</v>
      </c>
      <c r="D386" s="6">
        <f>MAX($B386:$B$1261)</f>
        <v>134.18</v>
      </c>
      <c r="E386" s="7">
        <f t="shared" ref="E386:E449" si="31">$B386/$D386-1</f>
        <v>-9.7480995677448279E-2</v>
      </c>
      <c r="G386" s="6">
        <v>11863.9</v>
      </c>
      <c r="H386" s="7">
        <f t="shared" ref="H386:H449" si="32">IFERROR(G386/G387-1,0)</f>
        <v>-1.0407316781546605E-3</v>
      </c>
      <c r="I386" s="6">
        <f>MAX($G386:$G$1261)</f>
        <v>12056.44</v>
      </c>
      <c r="J386" s="7">
        <f t="shared" ref="J386:J449" si="33">$G386/$I386-1</f>
        <v>-1.5969888292066359E-2</v>
      </c>
      <c r="K386" s="6">
        <f t="shared" ref="K386:K449" si="34">$K387*(1+H386)</f>
        <v>198.26632485602838</v>
      </c>
    </row>
    <row r="387" spans="1:11" x14ac:dyDescent="0.25">
      <c r="A387" s="2">
        <f>DATE(2020,10,12)</f>
        <v>44116</v>
      </c>
      <c r="B387" s="6">
        <v>124.4</v>
      </c>
      <c r="C387" s="7">
        <f t="shared" si="30"/>
        <v>6.3520560827562633E-2</v>
      </c>
      <c r="D387" s="6">
        <f>MAX($B387:$B$1261)</f>
        <v>134.18</v>
      </c>
      <c r="E387" s="7">
        <f t="shared" si="31"/>
        <v>-7.2887166492770938E-2</v>
      </c>
      <c r="G387" s="6">
        <v>11876.26</v>
      </c>
      <c r="H387" s="7">
        <f t="shared" si="32"/>
        <v>2.55890790453146E-2</v>
      </c>
      <c r="I387" s="6">
        <f>MAX($G387:$G$1261)</f>
        <v>12056.44</v>
      </c>
      <c r="J387" s="7">
        <f t="shared" si="33"/>
        <v>-1.4944710047078646E-2</v>
      </c>
      <c r="K387" s="6">
        <f t="shared" si="34"/>
        <v>198.47288187144665</v>
      </c>
    </row>
    <row r="388" spans="1:11" x14ac:dyDescent="0.25">
      <c r="A388" s="2">
        <f>DATE(2020,10,9)</f>
        <v>44113</v>
      </c>
      <c r="B388" s="6">
        <v>116.97</v>
      </c>
      <c r="C388" s="7">
        <f t="shared" si="30"/>
        <v>1.7395842393667982E-2</v>
      </c>
      <c r="D388" s="6">
        <f>MAX($B388:$B$1261)</f>
        <v>134.18</v>
      </c>
      <c r="E388" s="7">
        <f t="shared" si="31"/>
        <v>-0.12826054553584743</v>
      </c>
      <c r="G388" s="6">
        <v>11579.94</v>
      </c>
      <c r="H388" s="7">
        <f t="shared" si="32"/>
        <v>1.391824519437046E-2</v>
      </c>
      <c r="I388" s="6">
        <f>MAX($G388:$G$1261)</f>
        <v>12056.44</v>
      </c>
      <c r="J388" s="7">
        <f t="shared" si="33"/>
        <v>-3.9522446095198949E-2</v>
      </c>
      <c r="K388" s="6">
        <f t="shared" si="34"/>
        <v>193.52086125585325</v>
      </c>
    </row>
    <row r="389" spans="1:11" x14ac:dyDescent="0.25">
      <c r="A389" s="2">
        <f>DATE(2020,10,8)</f>
        <v>44112</v>
      </c>
      <c r="B389" s="6">
        <v>114.97</v>
      </c>
      <c r="C389" s="7">
        <f t="shared" si="30"/>
        <v>-9.5585679527288026E-4</v>
      </c>
      <c r="D389" s="6">
        <f>MAX($B389:$B$1261)</f>
        <v>134.18</v>
      </c>
      <c r="E389" s="7">
        <f t="shared" si="31"/>
        <v>-0.14316589655686396</v>
      </c>
      <c r="G389" s="6">
        <v>11420.98</v>
      </c>
      <c r="H389" s="7">
        <f t="shared" si="32"/>
        <v>4.9610193055629193E-3</v>
      </c>
      <c r="I389" s="6">
        <f>MAX($G389:$G$1261)</f>
        <v>12056.44</v>
      </c>
      <c r="J389" s="7">
        <f t="shared" si="33"/>
        <v>-5.270710093526787E-2</v>
      </c>
      <c r="K389" s="6">
        <f t="shared" si="34"/>
        <v>190.86436423555517</v>
      </c>
    </row>
    <row r="390" spans="1:11" x14ac:dyDescent="0.25">
      <c r="A390" s="2">
        <f>DATE(2020,10,7)</f>
        <v>44111</v>
      </c>
      <c r="B390" s="6">
        <v>115.08</v>
      </c>
      <c r="C390" s="7">
        <f t="shared" si="30"/>
        <v>1.6967126193001114E-2</v>
      </c>
      <c r="D390" s="6">
        <f>MAX($B390:$B$1261)</f>
        <v>134.18</v>
      </c>
      <c r="E390" s="7">
        <f t="shared" si="31"/>
        <v>-0.1423461022507081</v>
      </c>
      <c r="G390" s="6">
        <v>11364.6</v>
      </c>
      <c r="H390" s="7">
        <f t="shared" si="32"/>
        <v>1.8826313807756456E-2</v>
      </c>
      <c r="I390" s="6">
        <f>MAX($G390:$G$1261)</f>
        <v>12056.44</v>
      </c>
      <c r="J390" s="7">
        <f t="shared" si="33"/>
        <v>-5.7383439887728094E-2</v>
      </c>
      <c r="K390" s="6">
        <f t="shared" si="34"/>
        <v>189.92215674936742</v>
      </c>
    </row>
    <row r="391" spans="1:11" x14ac:dyDescent="0.25">
      <c r="A391" s="2">
        <f>DATE(2020,10,6)</f>
        <v>44110</v>
      </c>
      <c r="B391" s="6">
        <v>113.16</v>
      </c>
      <c r="C391" s="7">
        <f t="shared" si="30"/>
        <v>-2.8669527896995728E-2</v>
      </c>
      <c r="D391" s="6">
        <f>MAX($B391:$B$1261)</f>
        <v>134.18</v>
      </c>
      <c r="E391" s="7">
        <f t="shared" si="31"/>
        <v>-0.15665523923088398</v>
      </c>
      <c r="G391" s="6">
        <v>11154.6</v>
      </c>
      <c r="H391" s="7">
        <f t="shared" si="32"/>
        <v>-1.5697344537696445E-2</v>
      </c>
      <c r="I391" s="6">
        <f>MAX($G391:$G$1261)</f>
        <v>12056.44</v>
      </c>
      <c r="J391" s="7">
        <f t="shared" si="33"/>
        <v>-7.4801516865675155E-2</v>
      </c>
      <c r="K391" s="6">
        <f t="shared" si="34"/>
        <v>186.41269289517393</v>
      </c>
    </row>
    <row r="392" spans="1:11" x14ac:dyDescent="0.25">
      <c r="A392" s="2">
        <f>DATE(2020,10,5)</f>
        <v>44109</v>
      </c>
      <c r="B392" s="6">
        <v>116.5</v>
      </c>
      <c r="C392" s="7">
        <f t="shared" si="30"/>
        <v>3.0791010440629929E-2</v>
      </c>
      <c r="D392" s="6">
        <f>MAX($B392:$B$1261)</f>
        <v>134.18</v>
      </c>
      <c r="E392" s="7">
        <f t="shared" si="31"/>
        <v>-0.13176330302578632</v>
      </c>
      <c r="G392" s="6">
        <v>11332.49</v>
      </c>
      <c r="H392" s="7">
        <f t="shared" si="32"/>
        <v>2.3247813547966345E-2</v>
      </c>
      <c r="I392" s="6">
        <f>MAX($G392:$G$1261)</f>
        <v>12056.44</v>
      </c>
      <c r="J392" s="7">
        <f t="shared" si="33"/>
        <v>-6.0046746800879958E-2</v>
      </c>
      <c r="K392" s="6">
        <f t="shared" si="34"/>
        <v>189.38554301432859</v>
      </c>
    </row>
    <row r="393" spans="1:11" x14ac:dyDescent="0.25">
      <c r="A393" s="2">
        <f>DATE(2020,10,2)</f>
        <v>44106</v>
      </c>
      <c r="B393" s="6">
        <v>113.02</v>
      </c>
      <c r="C393" s="7">
        <f t="shared" si="30"/>
        <v>-3.2280160972686156E-2</v>
      </c>
      <c r="D393" s="6">
        <f>MAX($B393:$B$1261)</f>
        <v>134.18</v>
      </c>
      <c r="E393" s="7">
        <f t="shared" si="31"/>
        <v>-0.15769861380235517</v>
      </c>
      <c r="G393" s="6">
        <v>11075.02</v>
      </c>
      <c r="H393" s="7">
        <f t="shared" si="32"/>
        <v>-2.2203662028285831E-2</v>
      </c>
      <c r="I393" s="6">
        <f>MAX($G393:$G$1261)</f>
        <v>12056.44</v>
      </c>
      <c r="J393" s="7">
        <f t="shared" si="33"/>
        <v>-8.1402138608079988E-2</v>
      </c>
      <c r="K393" s="6">
        <f t="shared" si="34"/>
        <v>185.08277321176104</v>
      </c>
    </row>
    <row r="394" spans="1:11" x14ac:dyDescent="0.25">
      <c r="A394" s="2">
        <f>DATE(2020,10,1)</f>
        <v>44105</v>
      </c>
      <c r="B394" s="6">
        <v>116.79</v>
      </c>
      <c r="C394" s="7">
        <f t="shared" si="30"/>
        <v>8.4621362576633441E-3</v>
      </c>
      <c r="D394" s="6">
        <f>MAX($B394:$B$1261)</f>
        <v>134.18</v>
      </c>
      <c r="E394" s="7">
        <f t="shared" si="31"/>
        <v>-0.12960202712773883</v>
      </c>
      <c r="G394" s="6">
        <v>11326.51</v>
      </c>
      <c r="H394" s="7">
        <f t="shared" si="32"/>
        <v>1.4237730702725937E-2</v>
      </c>
      <c r="I394" s="6">
        <f>MAX($G394:$G$1261)</f>
        <v>12056.44</v>
      </c>
      <c r="J394" s="7">
        <f t="shared" si="33"/>
        <v>-6.0542747278632847E-2</v>
      </c>
      <c r="K394" s="6">
        <f t="shared" si="34"/>
        <v>189.2856068531473</v>
      </c>
    </row>
    <row r="395" spans="1:11" x14ac:dyDescent="0.25">
      <c r="A395" s="2">
        <f>DATE(2020,9,30)</f>
        <v>44104</v>
      </c>
      <c r="B395" s="6">
        <v>115.81</v>
      </c>
      <c r="C395" s="7">
        <f t="shared" si="30"/>
        <v>1.5075817337189878E-2</v>
      </c>
      <c r="D395" s="6">
        <f>MAX($B395:$B$1261)</f>
        <v>134.18</v>
      </c>
      <c r="E395" s="7">
        <f t="shared" si="31"/>
        <v>-0.13690564912803704</v>
      </c>
      <c r="G395" s="6">
        <v>11167.51</v>
      </c>
      <c r="H395" s="7">
        <f t="shared" si="32"/>
        <v>7.420671613179719E-3</v>
      </c>
      <c r="I395" s="6">
        <f>MAX($G395:$G$1261)</f>
        <v>12056.44</v>
      </c>
      <c r="J395" s="7">
        <f t="shared" si="33"/>
        <v>-7.3730719847649895E-2</v>
      </c>
      <c r="K395" s="6">
        <f t="shared" si="34"/>
        <v>186.62844136354369</v>
      </c>
    </row>
    <row r="396" spans="1:11" x14ac:dyDescent="0.25">
      <c r="A396" s="2">
        <f>DATE(2020,9,29)</f>
        <v>44103</v>
      </c>
      <c r="B396" s="6">
        <v>114.09</v>
      </c>
      <c r="C396" s="7">
        <f t="shared" si="30"/>
        <v>-7.5678496868475387E-3</v>
      </c>
      <c r="D396" s="6">
        <f>MAX($B396:$B$1261)</f>
        <v>134.18</v>
      </c>
      <c r="E396" s="7">
        <f t="shared" si="31"/>
        <v>-0.1497242510061112</v>
      </c>
      <c r="G396" s="6">
        <v>11085.25</v>
      </c>
      <c r="H396" s="7">
        <f t="shared" si="32"/>
        <v>-2.903522634973843E-3</v>
      </c>
      <c r="I396" s="6">
        <f>MAX($G396:$G$1261)</f>
        <v>12056.44</v>
      </c>
      <c r="J396" s="7">
        <f t="shared" si="33"/>
        <v>-8.0553629429582885E-2</v>
      </c>
      <c r="K396" s="6">
        <f t="shared" si="34"/>
        <v>185.25373423665818</v>
      </c>
    </row>
    <row r="397" spans="1:11" x14ac:dyDescent="0.25">
      <c r="A397" s="2">
        <f>DATE(2020,9,28)</f>
        <v>44102</v>
      </c>
      <c r="B397" s="6">
        <v>114.96</v>
      </c>
      <c r="C397" s="7">
        <f t="shared" si="30"/>
        <v>2.386889918061974E-2</v>
      </c>
      <c r="D397" s="6">
        <f>MAX($B397:$B$1261)</f>
        <v>134.18</v>
      </c>
      <c r="E397" s="7">
        <f t="shared" si="31"/>
        <v>-0.14324042331196907</v>
      </c>
      <c r="G397" s="6">
        <v>11117.53</v>
      </c>
      <c r="H397" s="7">
        <f t="shared" si="32"/>
        <v>1.8689593496530987E-2</v>
      </c>
      <c r="I397" s="6">
        <f>MAX($G397:$G$1261)</f>
        <v>12056.44</v>
      </c>
      <c r="J397" s="7">
        <f t="shared" si="33"/>
        <v>-7.7876222168401288E-2</v>
      </c>
      <c r="K397" s="6">
        <f t="shared" si="34"/>
        <v>185.79318896624565</v>
      </c>
    </row>
    <row r="398" spans="1:11" x14ac:dyDescent="0.25">
      <c r="A398" s="2">
        <f>DATE(2020,9,25)</f>
        <v>44099</v>
      </c>
      <c r="B398" s="6">
        <v>112.28</v>
      </c>
      <c r="C398" s="7">
        <f t="shared" si="30"/>
        <v>3.7516170763260082E-2</v>
      </c>
      <c r="D398" s="6">
        <f>MAX($B398:$B$1261)</f>
        <v>134.18</v>
      </c>
      <c r="E398" s="7">
        <f t="shared" si="31"/>
        <v>-0.16321359368013122</v>
      </c>
      <c r="G398" s="6">
        <v>10913.56</v>
      </c>
      <c r="H398" s="7">
        <f t="shared" si="32"/>
        <v>2.2609060677812653E-2</v>
      </c>
      <c r="I398" s="6">
        <f>MAX($G398:$G$1261)</f>
        <v>12056.44</v>
      </c>
      <c r="J398" s="7">
        <f t="shared" si="33"/>
        <v>-9.4794151507410218E-2</v>
      </c>
      <c r="K398" s="6">
        <f t="shared" si="34"/>
        <v>182.38449685986544</v>
      </c>
    </row>
    <row r="399" spans="1:11" x14ac:dyDescent="0.25">
      <c r="A399" s="2">
        <f>DATE(2020,9,24)</f>
        <v>44098</v>
      </c>
      <c r="B399" s="6">
        <v>108.22</v>
      </c>
      <c r="C399" s="7">
        <f t="shared" si="30"/>
        <v>1.026885735623595E-2</v>
      </c>
      <c r="D399" s="6">
        <f>MAX($B399:$B$1261)</f>
        <v>134.18</v>
      </c>
      <c r="E399" s="7">
        <f t="shared" si="31"/>
        <v>-0.19347145625279483</v>
      </c>
      <c r="G399" s="6">
        <v>10672.27</v>
      </c>
      <c r="H399" s="7">
        <f t="shared" si="32"/>
        <v>3.6941631657700924E-3</v>
      </c>
      <c r="I399" s="6">
        <f>MAX($G399:$G$1261)</f>
        <v>12056.44</v>
      </c>
      <c r="J399" s="7">
        <f t="shared" si="33"/>
        <v>-0.11480752195507127</v>
      </c>
      <c r="K399" s="6">
        <f t="shared" si="34"/>
        <v>178.35212289139713</v>
      </c>
    </row>
    <row r="400" spans="1:11" x14ac:dyDescent="0.25">
      <c r="A400" s="2">
        <f>DATE(2020,9,23)</f>
        <v>44097</v>
      </c>
      <c r="B400" s="6">
        <v>107.12</v>
      </c>
      <c r="C400" s="7">
        <f t="shared" si="30"/>
        <v>-4.1946158662015898E-2</v>
      </c>
      <c r="D400" s="6">
        <f>MAX($B400:$B$1261)</f>
        <v>134.18</v>
      </c>
      <c r="E400" s="7">
        <f t="shared" si="31"/>
        <v>-0.2016693993143539</v>
      </c>
      <c r="G400" s="6">
        <v>10632.99</v>
      </c>
      <c r="H400" s="7">
        <f t="shared" si="32"/>
        <v>-3.0158779383489431E-2</v>
      </c>
      <c r="I400" s="6">
        <f>MAX($G400:$G$1261)</f>
        <v>12056.44</v>
      </c>
      <c r="J400" s="7">
        <f t="shared" si="33"/>
        <v>-0.11806553178218449</v>
      </c>
      <c r="K400" s="6">
        <f t="shared" si="34"/>
        <v>177.69568603333653</v>
      </c>
    </row>
    <row r="401" spans="1:11" x14ac:dyDescent="0.25">
      <c r="A401" s="2">
        <f>DATE(2020,9,22)</f>
        <v>44096</v>
      </c>
      <c r="B401" s="6">
        <v>111.81</v>
      </c>
      <c r="C401" s="7">
        <f t="shared" si="30"/>
        <v>1.5715843023255793E-2</v>
      </c>
      <c r="D401" s="6">
        <f>MAX($B401:$B$1261)</f>
        <v>134.18</v>
      </c>
      <c r="E401" s="7">
        <f t="shared" si="31"/>
        <v>-0.16671635117007011</v>
      </c>
      <c r="G401" s="6">
        <v>10963.64</v>
      </c>
      <c r="H401" s="7">
        <f t="shared" si="32"/>
        <v>1.7148476639329058E-2</v>
      </c>
      <c r="I401" s="6">
        <f>MAX($G401:$G$1261)</f>
        <v>12056.44</v>
      </c>
      <c r="J401" s="7">
        <f t="shared" si="33"/>
        <v>-9.0640354864288342E-2</v>
      </c>
      <c r="K401" s="6">
        <f t="shared" si="34"/>
        <v>183.22142043042734</v>
      </c>
    </row>
    <row r="402" spans="1:11" x14ac:dyDescent="0.25">
      <c r="A402" s="2">
        <f>DATE(2020,9,21)</f>
        <v>44095</v>
      </c>
      <c r="B402" s="6">
        <v>110.08</v>
      </c>
      <c r="C402" s="7">
        <f t="shared" si="30"/>
        <v>3.0325720703856085E-2</v>
      </c>
      <c r="D402" s="6">
        <f>MAX($B402:$B$1261)</f>
        <v>134.18</v>
      </c>
      <c r="E402" s="7">
        <f t="shared" si="31"/>
        <v>-0.17960947980324937</v>
      </c>
      <c r="G402" s="6">
        <v>10778.8</v>
      </c>
      <c r="H402" s="7">
        <f t="shared" si="32"/>
        <v>-1.3415754988290729E-3</v>
      </c>
      <c r="I402" s="6">
        <f>MAX($G402:$G$1261)</f>
        <v>12056.44</v>
      </c>
      <c r="J402" s="7">
        <f t="shared" si="33"/>
        <v>-0.10597158033383003</v>
      </c>
      <c r="K402" s="6">
        <f t="shared" si="34"/>
        <v>180.13242376943151</v>
      </c>
    </row>
    <row r="403" spans="1:11" x14ac:dyDescent="0.25">
      <c r="A403" s="2">
        <f>DATE(2020,9,18)</f>
        <v>44092</v>
      </c>
      <c r="B403" s="6">
        <v>106.84</v>
      </c>
      <c r="C403" s="7">
        <f t="shared" si="30"/>
        <v>-3.1720137756026778E-2</v>
      </c>
      <c r="D403" s="6">
        <f>MAX($B403:$B$1261)</f>
        <v>134.18</v>
      </c>
      <c r="E403" s="7">
        <f t="shared" si="31"/>
        <v>-0.20375614845729617</v>
      </c>
      <c r="G403" s="6">
        <v>10793.28</v>
      </c>
      <c r="H403" s="7">
        <f t="shared" si="32"/>
        <v>-1.072383110240982E-2</v>
      </c>
      <c r="I403" s="6">
        <f>MAX($G403:$G$1261)</f>
        <v>12056.44</v>
      </c>
      <c r="J403" s="7">
        <f t="shared" si="33"/>
        <v>-0.1047705624545886</v>
      </c>
      <c r="K403" s="6">
        <f t="shared" si="34"/>
        <v>180.3744096580445</v>
      </c>
    </row>
    <row r="404" spans="1:11" x14ac:dyDescent="0.25">
      <c r="A404" s="2">
        <f>DATE(2020,9,17)</f>
        <v>44091</v>
      </c>
      <c r="B404" s="6">
        <v>110.34</v>
      </c>
      <c r="C404" s="7">
        <f t="shared" si="30"/>
        <v>-1.5963613662712817E-2</v>
      </c>
      <c r="D404" s="6">
        <f>MAX($B404:$B$1261)</f>
        <v>134.18</v>
      </c>
      <c r="E404" s="7">
        <f t="shared" si="31"/>
        <v>-0.17767178417051721</v>
      </c>
      <c r="G404" s="6">
        <v>10910.28</v>
      </c>
      <c r="H404" s="7">
        <f t="shared" si="32"/>
        <v>-1.2686338228147687E-2</v>
      </c>
      <c r="I404" s="6">
        <f>MAX($G404:$G$1261)</f>
        <v>12056.44</v>
      </c>
      <c r="J404" s="7">
        <f t="shared" si="33"/>
        <v>-9.5066205281160943E-2</v>
      </c>
      <c r="K404" s="6">
        <f t="shared" si="34"/>
        <v>182.32968237680944</v>
      </c>
    </row>
    <row r="405" spans="1:11" x14ac:dyDescent="0.25">
      <c r="A405" s="2">
        <f>DATE(2020,9,16)</f>
        <v>44090</v>
      </c>
      <c r="B405" s="6">
        <v>112.13</v>
      </c>
      <c r="C405" s="7">
        <f t="shared" si="30"/>
        <v>-2.9513588367664934E-2</v>
      </c>
      <c r="D405" s="6">
        <f>MAX($B405:$B$1261)</f>
        <v>134.18</v>
      </c>
      <c r="E405" s="7">
        <f t="shared" si="31"/>
        <v>-0.16433149500670752</v>
      </c>
      <c r="G405" s="6">
        <v>11050.47</v>
      </c>
      <c r="H405" s="7">
        <f t="shared" si="32"/>
        <v>-1.2497408474467231E-2</v>
      </c>
      <c r="I405" s="6">
        <f>MAX($G405:$G$1261)</f>
        <v>12056.44</v>
      </c>
      <c r="J405" s="7">
        <f t="shared" si="33"/>
        <v>-8.3438394750025791E-2</v>
      </c>
      <c r="K405" s="6">
        <f t="shared" si="34"/>
        <v>184.67250017547315</v>
      </c>
    </row>
    <row r="406" spans="1:11" x14ac:dyDescent="0.25">
      <c r="A406" s="2">
        <f>DATE(2020,9,15)</f>
        <v>44089</v>
      </c>
      <c r="B406" s="6">
        <v>115.54</v>
      </c>
      <c r="C406" s="7">
        <f t="shared" si="30"/>
        <v>1.5603328710125375E-3</v>
      </c>
      <c r="D406" s="6">
        <f>MAX($B406:$B$1261)</f>
        <v>134.18</v>
      </c>
      <c r="E406" s="7">
        <f t="shared" si="31"/>
        <v>-0.1389178715158742</v>
      </c>
      <c r="G406" s="6">
        <v>11190.32</v>
      </c>
      <c r="H406" s="7">
        <f t="shared" si="32"/>
        <v>1.2089556963456483E-2</v>
      </c>
      <c r="I406" s="6">
        <f>MAX($G406:$G$1261)</f>
        <v>12056.44</v>
      </c>
      <c r="J406" s="7">
        <f t="shared" si="33"/>
        <v>-7.1838784914950105E-2</v>
      </c>
      <c r="K406" s="6">
        <f t="shared" si="34"/>
        <v>187.00963598503961</v>
      </c>
    </row>
    <row r="407" spans="1:11" x14ac:dyDescent="0.25">
      <c r="A407" s="2">
        <f>DATE(2020,9,14)</f>
        <v>44088</v>
      </c>
      <c r="B407" s="6">
        <v>115.36</v>
      </c>
      <c r="C407" s="7">
        <f t="shared" si="30"/>
        <v>3.0000000000000027E-2</v>
      </c>
      <c r="D407" s="6">
        <f>MAX($B407:$B$1261)</f>
        <v>134.18</v>
      </c>
      <c r="E407" s="7">
        <f t="shared" si="31"/>
        <v>-0.14025935310776572</v>
      </c>
      <c r="G407" s="6">
        <v>11056.65</v>
      </c>
      <c r="H407" s="7">
        <f t="shared" si="32"/>
        <v>1.8712771397376926E-2</v>
      </c>
      <c r="I407" s="6">
        <f>MAX($G407:$G$1261)</f>
        <v>12056.44</v>
      </c>
      <c r="J407" s="7">
        <f t="shared" si="33"/>
        <v>-8.2925805627531934E-2</v>
      </c>
      <c r="K407" s="6">
        <f t="shared" si="34"/>
        <v>184.77577868318224</v>
      </c>
    </row>
    <row r="408" spans="1:11" x14ac:dyDescent="0.25">
      <c r="A408" s="2">
        <f>DATE(2020,9,11)</f>
        <v>44085</v>
      </c>
      <c r="B408" s="6">
        <v>112</v>
      </c>
      <c r="C408" s="7">
        <f t="shared" si="30"/>
        <v>-1.3128910036126484E-2</v>
      </c>
      <c r="D408" s="6">
        <f>MAX($B408:$B$1261)</f>
        <v>134.18</v>
      </c>
      <c r="E408" s="7">
        <f t="shared" si="31"/>
        <v>-0.16530034282307349</v>
      </c>
      <c r="G408" s="6">
        <v>10853.55</v>
      </c>
      <c r="H408" s="7">
        <f t="shared" si="32"/>
        <v>-6.0478461187646326E-3</v>
      </c>
      <c r="I408" s="6">
        <f>MAX($G408:$G$1261)</f>
        <v>12056.44</v>
      </c>
      <c r="J408" s="7">
        <f t="shared" si="33"/>
        <v>-9.9771574361917859E-2</v>
      </c>
      <c r="K408" s="6">
        <f t="shared" si="34"/>
        <v>181.38162578419798</v>
      </c>
    </row>
    <row r="409" spans="1:11" x14ac:dyDescent="0.25">
      <c r="A409" s="2">
        <f>DATE(2020,9,10)</f>
        <v>44084</v>
      </c>
      <c r="B409" s="6">
        <v>113.49</v>
      </c>
      <c r="C409" s="7">
        <f t="shared" si="30"/>
        <v>-3.2645755199454451E-2</v>
      </c>
      <c r="D409" s="6">
        <f>MAX($B409:$B$1261)</f>
        <v>134.18</v>
      </c>
      <c r="E409" s="7">
        <f t="shared" si="31"/>
        <v>-0.15419585631241628</v>
      </c>
      <c r="G409" s="6">
        <v>10919.59</v>
      </c>
      <c r="H409" s="7">
        <f t="shared" si="32"/>
        <v>-1.9922703822444876E-2</v>
      </c>
      <c r="I409" s="6">
        <f>MAX($G409:$G$1261)</f>
        <v>12056.44</v>
      </c>
      <c r="J409" s="7">
        <f t="shared" si="33"/>
        <v>-9.4294003868471976E-2</v>
      </c>
      <c r="K409" s="6">
        <f t="shared" si="34"/>
        <v>182.48526860767865</v>
      </c>
    </row>
    <row r="410" spans="1:11" x14ac:dyDescent="0.25">
      <c r="A410" s="2">
        <f>DATE(2020,9,9)</f>
        <v>44083</v>
      </c>
      <c r="B410" s="6">
        <v>117.32</v>
      </c>
      <c r="C410" s="7">
        <f t="shared" si="30"/>
        <v>3.9886544938840585E-2</v>
      </c>
      <c r="D410" s="6">
        <f>MAX($B410:$B$1261)</f>
        <v>134.18</v>
      </c>
      <c r="E410" s="7">
        <f t="shared" si="31"/>
        <v>-0.12565210910716962</v>
      </c>
      <c r="G410" s="6">
        <v>11141.56</v>
      </c>
      <c r="H410" s="7">
        <f t="shared" si="32"/>
        <v>2.7090560294403598E-2</v>
      </c>
      <c r="I410" s="6">
        <f>MAX($G410:$G$1261)</f>
        <v>12056.44</v>
      </c>
      <c r="J410" s="7">
        <f t="shared" si="33"/>
        <v>-7.5883096502782021E-2</v>
      </c>
      <c r="K410" s="6">
        <f t="shared" si="34"/>
        <v>186.19477190156113</v>
      </c>
    </row>
    <row r="411" spans="1:11" x14ac:dyDescent="0.25">
      <c r="A411" s="2">
        <f>DATE(2020,9,8)</f>
        <v>44082</v>
      </c>
      <c r="B411" s="6">
        <v>112.82</v>
      </c>
      <c r="C411" s="7">
        <f t="shared" si="30"/>
        <v>-6.7294973544973602E-2</v>
      </c>
      <c r="D411" s="6">
        <f>MAX($B411:$B$1261)</f>
        <v>134.18</v>
      </c>
      <c r="E411" s="7">
        <f t="shared" si="31"/>
        <v>-0.15918914890445679</v>
      </c>
      <c r="G411" s="6">
        <v>10847.69</v>
      </c>
      <c r="H411" s="7">
        <f t="shared" si="32"/>
        <v>-4.1141576203932884E-2</v>
      </c>
      <c r="I411" s="6">
        <f>MAX($G411:$G$1261)</f>
        <v>12056.44</v>
      </c>
      <c r="J411" s="7">
        <f t="shared" si="33"/>
        <v>-0.10025762165282626</v>
      </c>
      <c r="K411" s="6">
        <f t="shared" si="34"/>
        <v>181.28369503093336</v>
      </c>
    </row>
    <row r="412" spans="1:11" x14ac:dyDescent="0.25">
      <c r="A412" s="2">
        <f>DATE(2020,9,4)</f>
        <v>44078</v>
      </c>
      <c r="B412" s="6">
        <v>120.96</v>
      </c>
      <c r="C412" s="7">
        <f t="shared" si="30"/>
        <v>6.6181336863002649E-4</v>
      </c>
      <c r="D412" s="6">
        <f>MAX($B412:$B$1261)</f>
        <v>134.18</v>
      </c>
      <c r="E412" s="7">
        <f t="shared" si="31"/>
        <v>-9.8524370248919468E-2</v>
      </c>
      <c r="G412" s="6">
        <v>11313.13</v>
      </c>
      <c r="H412" s="7">
        <f t="shared" si="32"/>
        <v>-1.2652184917220199E-2</v>
      </c>
      <c r="I412" s="6">
        <f>MAX($G412:$G$1261)</f>
        <v>12056.44</v>
      </c>
      <c r="J412" s="7">
        <f t="shared" si="33"/>
        <v>-6.165252761179929E-2</v>
      </c>
      <c r="K412" s="6">
        <f t="shared" si="34"/>
        <v>189.0620038704372</v>
      </c>
    </row>
    <row r="413" spans="1:11" x14ac:dyDescent="0.25">
      <c r="A413" s="2">
        <f>DATE(2020,9,3)</f>
        <v>44077</v>
      </c>
      <c r="B413" s="6">
        <v>120.88</v>
      </c>
      <c r="C413" s="7">
        <f t="shared" si="30"/>
        <v>-8.0060882800608857E-2</v>
      </c>
      <c r="D413" s="6">
        <f>MAX($B413:$B$1261)</f>
        <v>134.18</v>
      </c>
      <c r="E413" s="7">
        <f t="shared" si="31"/>
        <v>-9.9120584289760116E-2</v>
      </c>
      <c r="G413" s="6">
        <v>11458.1</v>
      </c>
      <c r="H413" s="7">
        <f t="shared" si="32"/>
        <v>-4.9628248471356384E-2</v>
      </c>
      <c r="I413" s="6">
        <f>MAX($G413:$G$1261)</f>
        <v>12056.44</v>
      </c>
      <c r="J413" s="7">
        <f t="shared" si="33"/>
        <v>-4.9628248471356384E-2</v>
      </c>
      <c r="K413" s="6">
        <f t="shared" si="34"/>
        <v>191.48470375111543</v>
      </c>
    </row>
    <row r="414" spans="1:11" x14ac:dyDescent="0.25">
      <c r="A414" s="2">
        <f>DATE(2020,9,2)</f>
        <v>44076</v>
      </c>
      <c r="B414" s="6">
        <v>131.4</v>
      </c>
      <c r="C414" s="7">
        <f t="shared" si="30"/>
        <v>-2.0718437919213017E-2</v>
      </c>
      <c r="D414" s="6">
        <f>MAX($B414:$B$1261)</f>
        <v>134.18</v>
      </c>
      <c r="E414" s="7">
        <f t="shared" si="31"/>
        <v>-2.0718437919213017E-2</v>
      </c>
      <c r="G414" s="6">
        <v>12056.44</v>
      </c>
      <c r="H414" s="7">
        <f t="shared" si="32"/>
        <v>9.7800022948708598E-3</v>
      </c>
      <c r="I414" s="6">
        <f>MAX($G414:$G$1261)</f>
        <v>12056.44</v>
      </c>
      <c r="J414" s="7">
        <f t="shared" si="33"/>
        <v>0</v>
      </c>
      <c r="K414" s="6">
        <f t="shared" si="34"/>
        <v>201.48400185834458</v>
      </c>
    </row>
    <row r="415" spans="1:11" x14ac:dyDescent="0.25">
      <c r="A415" s="2">
        <f>DATE(2020,9,1)</f>
        <v>44075</v>
      </c>
      <c r="B415" s="6">
        <v>134.18</v>
      </c>
      <c r="C415" s="7">
        <f t="shared" si="30"/>
        <v>3.9832610043397443E-2</v>
      </c>
      <c r="D415" s="6">
        <f>MAX($B415:$B$1261)</f>
        <v>134.18</v>
      </c>
      <c r="E415" s="7">
        <f t="shared" si="31"/>
        <v>0</v>
      </c>
      <c r="G415" s="6">
        <v>11939.67</v>
      </c>
      <c r="H415" s="7">
        <f t="shared" si="32"/>
        <v>1.3945102781547369E-2</v>
      </c>
      <c r="I415" s="6">
        <f>MAX($G415:$G$1261)</f>
        <v>11939.67</v>
      </c>
      <c r="J415" s="7">
        <f t="shared" si="33"/>
        <v>0</v>
      </c>
      <c r="K415" s="6">
        <f t="shared" si="34"/>
        <v>199.53257283808662</v>
      </c>
    </row>
    <row r="416" spans="1:11" x14ac:dyDescent="0.25">
      <c r="A416" s="2">
        <f>DATE(2020,8,31)</f>
        <v>44074</v>
      </c>
      <c r="B416" s="6">
        <v>129.04</v>
      </c>
      <c r="C416" s="7">
        <f t="shared" si="30"/>
        <v>3.3891515102956404E-2</v>
      </c>
      <c r="D416" s="6">
        <f>MAX($B416:$B$1261)</f>
        <v>129.04</v>
      </c>
      <c r="E416" s="7">
        <f t="shared" si="31"/>
        <v>0</v>
      </c>
      <c r="G416" s="6">
        <v>11775.46</v>
      </c>
      <c r="H416" s="7">
        <f t="shared" si="32"/>
        <v>6.8256263236781134E-3</v>
      </c>
      <c r="I416" s="6">
        <f>MAX($G416:$G$1261)</f>
        <v>11775.46</v>
      </c>
      <c r="J416" s="7">
        <f t="shared" si="33"/>
        <v>0</v>
      </c>
      <c r="K416" s="6">
        <f t="shared" si="34"/>
        <v>196.78833922143372</v>
      </c>
    </row>
    <row r="417" spans="1:11" x14ac:dyDescent="0.25">
      <c r="A417" s="2">
        <f>DATE(2020,8,28)</f>
        <v>44071</v>
      </c>
      <c r="B417" s="6">
        <v>124.81</v>
      </c>
      <c r="C417" s="7">
        <f t="shared" si="30"/>
        <v>-1.5998720102392561E-3</v>
      </c>
      <c r="D417" s="6">
        <f>MAX($B417:$B$1261)</f>
        <v>126.52</v>
      </c>
      <c r="E417" s="7">
        <f t="shared" si="31"/>
        <v>-1.3515649699652132E-2</v>
      </c>
      <c r="G417" s="6">
        <v>11695.63</v>
      </c>
      <c r="H417" s="7">
        <f t="shared" si="32"/>
        <v>6.0462747756193647E-3</v>
      </c>
      <c r="I417" s="6">
        <f>MAX($G417:$G$1261)</f>
        <v>11695.63</v>
      </c>
      <c r="J417" s="7">
        <f t="shared" si="33"/>
        <v>0</v>
      </c>
      <c r="K417" s="6">
        <f t="shared" si="34"/>
        <v>195.45424160486104</v>
      </c>
    </row>
    <row r="418" spans="1:11" x14ac:dyDescent="0.25">
      <c r="A418" s="2">
        <f>DATE(2020,8,27)</f>
        <v>44070</v>
      </c>
      <c r="B418" s="6">
        <v>125.01</v>
      </c>
      <c r="C418" s="7">
        <f t="shared" si="30"/>
        <v>-1.1934871957002824E-2</v>
      </c>
      <c r="D418" s="6">
        <f>MAX($B418:$B$1261)</f>
        <v>126.52</v>
      </c>
      <c r="E418" s="7">
        <f t="shared" si="31"/>
        <v>-1.1934871957002824E-2</v>
      </c>
      <c r="G418" s="6">
        <v>11625.34</v>
      </c>
      <c r="H418" s="7">
        <f t="shared" si="32"/>
        <v>-3.4050403512712046E-3</v>
      </c>
      <c r="I418" s="6">
        <f>MAX($G418:$G$1261)</f>
        <v>11665.06</v>
      </c>
      <c r="J418" s="7">
        <f t="shared" si="33"/>
        <v>-3.4050403512712046E-3</v>
      </c>
      <c r="K418" s="6">
        <f t="shared" si="34"/>
        <v>194.27957391766458</v>
      </c>
    </row>
    <row r="419" spans="1:11" x14ac:dyDescent="0.25">
      <c r="A419" s="2">
        <f>DATE(2020,8,26)</f>
        <v>44069</v>
      </c>
      <c r="B419" s="6">
        <v>126.52</v>
      </c>
      <c r="C419" s="7">
        <f t="shared" si="30"/>
        <v>1.3619612241627888E-2</v>
      </c>
      <c r="D419" s="6">
        <f>MAX($B419:$B$1261)</f>
        <v>126.52</v>
      </c>
      <c r="E419" s="7">
        <f t="shared" si="31"/>
        <v>0</v>
      </c>
      <c r="G419" s="6">
        <v>11665.06</v>
      </c>
      <c r="H419" s="7">
        <f t="shared" si="32"/>
        <v>1.7319192393125293E-2</v>
      </c>
      <c r="I419" s="6">
        <f>MAX($G419:$G$1261)</f>
        <v>11665.06</v>
      </c>
      <c r="J419" s="7">
        <f t="shared" si="33"/>
        <v>0</v>
      </c>
      <c r="K419" s="6">
        <f t="shared" si="34"/>
        <v>194.94336393808632</v>
      </c>
    </row>
    <row r="420" spans="1:11" x14ac:dyDescent="0.25">
      <c r="A420" s="2">
        <f>DATE(2020,8,25)</f>
        <v>44068</v>
      </c>
      <c r="B420" s="6">
        <v>124.82</v>
      </c>
      <c r="C420" s="7">
        <f t="shared" si="30"/>
        <v>-8.2631495312252001E-3</v>
      </c>
      <c r="D420" s="6">
        <f>MAX($B420:$B$1261)</f>
        <v>125.86</v>
      </c>
      <c r="E420" s="7">
        <f t="shared" si="31"/>
        <v>-8.2631495312252001E-3</v>
      </c>
      <c r="G420" s="6">
        <v>11466.47</v>
      </c>
      <c r="H420" s="7">
        <f t="shared" si="32"/>
        <v>7.6232104129099199E-3</v>
      </c>
      <c r="I420" s="6">
        <f>MAX($G420:$G$1261)</f>
        <v>11466.47</v>
      </c>
      <c r="J420" s="7">
        <f t="shared" si="33"/>
        <v>0</v>
      </c>
      <c r="K420" s="6">
        <f t="shared" si="34"/>
        <v>191.62458095330405</v>
      </c>
    </row>
    <row r="421" spans="1:11" x14ac:dyDescent="0.25">
      <c r="A421" s="2">
        <f>DATE(2020,8,24)</f>
        <v>44067</v>
      </c>
      <c r="B421" s="6">
        <v>125.86</v>
      </c>
      <c r="C421" s="7">
        <f t="shared" si="30"/>
        <v>1.1980381120848982E-2</v>
      </c>
      <c r="D421" s="6">
        <f>MAX($B421:$B$1261)</f>
        <v>125.86</v>
      </c>
      <c r="E421" s="7">
        <f t="shared" si="31"/>
        <v>0</v>
      </c>
      <c r="G421" s="6">
        <v>11379.72</v>
      </c>
      <c r="H421" s="7">
        <f t="shared" si="32"/>
        <v>6.0043494404073972E-3</v>
      </c>
      <c r="I421" s="6">
        <f>MAX($G421:$G$1261)</f>
        <v>11379.72</v>
      </c>
      <c r="J421" s="7">
        <f t="shared" si="33"/>
        <v>0</v>
      </c>
      <c r="K421" s="6">
        <f t="shared" si="34"/>
        <v>190.17483814686938</v>
      </c>
    </row>
    <row r="422" spans="1:11" x14ac:dyDescent="0.25">
      <c r="A422" s="2">
        <f>DATE(2020,8,21)</f>
        <v>44064</v>
      </c>
      <c r="B422" s="6">
        <v>124.37</v>
      </c>
      <c r="C422" s="7">
        <f t="shared" si="30"/>
        <v>5.1487994589110686E-2</v>
      </c>
      <c r="D422" s="6">
        <f>MAX($B422:$B$1261)</f>
        <v>124.37</v>
      </c>
      <c r="E422" s="7">
        <f t="shared" si="31"/>
        <v>0</v>
      </c>
      <c r="G422" s="6">
        <v>11311.8</v>
      </c>
      <c r="H422" s="7">
        <f t="shared" si="32"/>
        <v>4.1589177049163872E-3</v>
      </c>
      <c r="I422" s="6">
        <f>MAX($G422:$G$1261)</f>
        <v>11311.8</v>
      </c>
      <c r="J422" s="7">
        <f t="shared" si="33"/>
        <v>0</v>
      </c>
      <c r="K422" s="6">
        <f t="shared" si="34"/>
        <v>189.03977726602736</v>
      </c>
    </row>
    <row r="423" spans="1:11" x14ac:dyDescent="0.25">
      <c r="A423" s="2">
        <f>DATE(2020,8,20)</f>
        <v>44063</v>
      </c>
      <c r="B423" s="6">
        <v>118.28</v>
      </c>
      <c r="C423" s="7">
        <f t="shared" si="30"/>
        <v>2.2210699161697489E-2</v>
      </c>
      <c r="D423" s="6">
        <f>MAX($B423:$B$1261)</f>
        <v>118.28</v>
      </c>
      <c r="E423" s="7">
        <f t="shared" si="31"/>
        <v>0</v>
      </c>
      <c r="G423" s="6">
        <v>11264.95</v>
      </c>
      <c r="H423" s="7">
        <f t="shared" si="32"/>
        <v>1.0630280824584837E-2</v>
      </c>
      <c r="I423" s="6">
        <f>MAX($G423:$G$1261)</f>
        <v>11264.95</v>
      </c>
      <c r="J423" s="7">
        <f t="shared" si="33"/>
        <v>0</v>
      </c>
      <c r="K423" s="6">
        <f t="shared" si="34"/>
        <v>188.25683259188946</v>
      </c>
    </row>
    <row r="424" spans="1:11" x14ac:dyDescent="0.25">
      <c r="A424" s="2">
        <f>DATE(2020,8,19)</f>
        <v>44062</v>
      </c>
      <c r="B424" s="6">
        <v>115.71</v>
      </c>
      <c r="C424" s="7">
        <f t="shared" si="30"/>
        <v>1.2980269989615323E-3</v>
      </c>
      <c r="D424" s="6">
        <f>MAX($B424:$B$1261)</f>
        <v>115.71</v>
      </c>
      <c r="E424" s="7">
        <f t="shared" si="31"/>
        <v>0</v>
      </c>
      <c r="G424" s="6">
        <v>11146.46</v>
      </c>
      <c r="H424" s="7">
        <f t="shared" si="32"/>
        <v>-5.7426562148777949E-3</v>
      </c>
      <c r="I424" s="6">
        <f>MAX($G424:$G$1261)</f>
        <v>11210.84</v>
      </c>
      <c r="J424" s="7">
        <f t="shared" si="33"/>
        <v>-5.7426562148777949E-3</v>
      </c>
      <c r="K424" s="6">
        <f t="shared" si="34"/>
        <v>186.27665939149236</v>
      </c>
    </row>
    <row r="425" spans="1:11" x14ac:dyDescent="0.25">
      <c r="A425" s="2">
        <f>DATE(2020,8,18)</f>
        <v>44061</v>
      </c>
      <c r="B425" s="6">
        <v>115.56</v>
      </c>
      <c r="C425" s="7">
        <f t="shared" si="30"/>
        <v>8.2889800191956464E-3</v>
      </c>
      <c r="D425" s="6">
        <f>MAX($B425:$B$1261)</f>
        <v>115.56</v>
      </c>
      <c r="E425" s="7">
        <f t="shared" si="31"/>
        <v>0</v>
      </c>
      <c r="G425" s="6">
        <v>11210.84</v>
      </c>
      <c r="H425" s="7">
        <f t="shared" si="32"/>
        <v>7.2876880211829587E-3</v>
      </c>
      <c r="I425" s="6">
        <f>MAX($G425:$G$1261)</f>
        <v>11210.84</v>
      </c>
      <c r="J425" s="7">
        <f t="shared" si="33"/>
        <v>0</v>
      </c>
      <c r="K425" s="6">
        <f t="shared" si="34"/>
        <v>187.35256073879225</v>
      </c>
    </row>
    <row r="426" spans="1:11" x14ac:dyDescent="0.25">
      <c r="A426" s="2">
        <f>DATE(2020,8,17)</f>
        <v>44060</v>
      </c>
      <c r="B426" s="6">
        <v>114.61</v>
      </c>
      <c r="C426" s="7">
        <f t="shared" si="30"/>
        <v>-2.6107388390914643E-3</v>
      </c>
      <c r="D426" s="6">
        <f>MAX($B426:$B$1261)</f>
        <v>115.01</v>
      </c>
      <c r="E426" s="7">
        <f t="shared" si="31"/>
        <v>-3.477958438396711E-3</v>
      </c>
      <c r="G426" s="6">
        <v>11129.73</v>
      </c>
      <c r="H426" s="7">
        <f t="shared" si="32"/>
        <v>1.0021507718276146E-2</v>
      </c>
      <c r="I426" s="6">
        <f>MAX($G426:$G$1261)</f>
        <v>11129.73</v>
      </c>
      <c r="J426" s="7">
        <f t="shared" si="33"/>
        <v>0</v>
      </c>
      <c r="K426" s="6">
        <f t="shared" si="34"/>
        <v>185.9970721044416</v>
      </c>
    </row>
    <row r="427" spans="1:11" x14ac:dyDescent="0.25">
      <c r="A427" s="2">
        <f>DATE(2020,8,14)</f>
        <v>44057</v>
      </c>
      <c r="B427" s="6">
        <v>114.91</v>
      </c>
      <c r="C427" s="7">
        <f t="shared" si="30"/>
        <v>-8.6948960959920552E-4</v>
      </c>
      <c r="D427" s="6">
        <f>MAX($B427:$B$1261)</f>
        <v>115.01</v>
      </c>
      <c r="E427" s="7">
        <f t="shared" si="31"/>
        <v>-8.6948960959920552E-4</v>
      </c>
      <c r="G427" s="6">
        <v>11019.3</v>
      </c>
      <c r="H427" s="7">
        <f t="shared" si="32"/>
        <v>-2.1009735114331241E-3</v>
      </c>
      <c r="I427" s="6">
        <f>MAX($G427:$G$1261)</f>
        <v>11108.07</v>
      </c>
      <c r="J427" s="7">
        <f t="shared" si="33"/>
        <v>-7.9914872700658224E-3</v>
      </c>
      <c r="K427" s="6">
        <f t="shared" si="34"/>
        <v>184.15159546911499</v>
      </c>
    </row>
    <row r="428" spans="1:11" x14ac:dyDescent="0.25">
      <c r="A428" s="2">
        <f>DATE(2020,8,13)</f>
        <v>44056</v>
      </c>
      <c r="B428" s="6">
        <v>115.01</v>
      </c>
      <c r="C428" s="7">
        <f t="shared" si="30"/>
        <v>1.7697548889478831E-2</v>
      </c>
      <c r="D428" s="6">
        <f>MAX($B428:$B$1261)</f>
        <v>115.01</v>
      </c>
      <c r="E428" s="7">
        <f t="shared" si="31"/>
        <v>0</v>
      </c>
      <c r="G428" s="6">
        <v>11042.5</v>
      </c>
      <c r="H428" s="7">
        <f t="shared" si="32"/>
        <v>2.7478514816241528E-3</v>
      </c>
      <c r="I428" s="6">
        <f>MAX($G428:$G$1261)</f>
        <v>11108.07</v>
      </c>
      <c r="J428" s="7">
        <f t="shared" si="33"/>
        <v>-5.9029156280073769E-3</v>
      </c>
      <c r="K428" s="6">
        <f t="shared" si="34"/>
        <v>184.53930766634019</v>
      </c>
    </row>
    <row r="429" spans="1:11" x14ac:dyDescent="0.25">
      <c r="A429" s="2">
        <f>DATE(2020,8,12)</f>
        <v>44055</v>
      </c>
      <c r="B429" s="6">
        <v>113.01</v>
      </c>
      <c r="C429" s="7">
        <f t="shared" si="30"/>
        <v>3.3187054306089037E-2</v>
      </c>
      <c r="D429" s="6">
        <f>MAX($B429:$B$1261)</f>
        <v>113.9</v>
      </c>
      <c r="E429" s="7">
        <f t="shared" si="31"/>
        <v>-7.8138718173836885E-3</v>
      </c>
      <c r="G429" s="6">
        <v>11012.24</v>
      </c>
      <c r="H429" s="7">
        <f t="shared" si="32"/>
        <v>2.1276437889160782E-2</v>
      </c>
      <c r="I429" s="6">
        <f>MAX($G429:$G$1261)</f>
        <v>11108.07</v>
      </c>
      <c r="J429" s="7">
        <f t="shared" si="33"/>
        <v>-8.627061226657684E-3</v>
      </c>
      <c r="K429" s="6">
        <f t="shared" si="34"/>
        <v>184.03361063668353</v>
      </c>
    </row>
    <row r="430" spans="1:11" x14ac:dyDescent="0.25">
      <c r="A430" s="2">
        <f>DATE(2020,8,11)</f>
        <v>44054</v>
      </c>
      <c r="B430" s="6">
        <v>109.38</v>
      </c>
      <c r="C430" s="7">
        <f t="shared" si="30"/>
        <v>-2.9717022975250695E-2</v>
      </c>
      <c r="D430" s="6">
        <f>MAX($B430:$B$1261)</f>
        <v>113.9</v>
      </c>
      <c r="E430" s="7">
        <f t="shared" si="31"/>
        <v>-3.9683933274802574E-2</v>
      </c>
      <c r="G430" s="6">
        <v>10782.82</v>
      </c>
      <c r="H430" s="7">
        <f t="shared" si="32"/>
        <v>-1.6915929090584259E-2</v>
      </c>
      <c r="I430" s="6">
        <f>MAX($G430:$G$1261)</f>
        <v>11108.07</v>
      </c>
      <c r="J430" s="7">
        <f t="shared" si="33"/>
        <v>-2.9280514076702846E-2</v>
      </c>
      <c r="K430" s="6">
        <f t="shared" si="34"/>
        <v>180.19960493464035</v>
      </c>
    </row>
    <row r="431" spans="1:11" x14ac:dyDescent="0.25">
      <c r="A431" s="2">
        <f>DATE(2020,8,10)</f>
        <v>44053</v>
      </c>
      <c r="B431" s="6">
        <v>112.73</v>
      </c>
      <c r="C431" s="7">
        <f t="shared" si="30"/>
        <v>1.4580145801458055E-2</v>
      </c>
      <c r="D431" s="6">
        <f>MAX($B431:$B$1261)</f>
        <v>113.9</v>
      </c>
      <c r="E431" s="7">
        <f t="shared" si="31"/>
        <v>-1.0272168568920104E-2</v>
      </c>
      <c r="G431" s="6">
        <v>10968.36</v>
      </c>
      <c r="H431" s="7">
        <f t="shared" si="32"/>
        <v>-3.8706818103383389E-3</v>
      </c>
      <c r="I431" s="6">
        <f>MAX($G431:$G$1261)</f>
        <v>11108.07</v>
      </c>
      <c r="J431" s="7">
        <f t="shared" si="33"/>
        <v>-1.2577342418619852E-2</v>
      </c>
      <c r="K431" s="6">
        <f t="shared" si="34"/>
        <v>183.30029980848349</v>
      </c>
    </row>
    <row r="432" spans="1:11" x14ac:dyDescent="0.25">
      <c r="A432" s="2">
        <f>DATE(2020,8,7)</f>
        <v>44050</v>
      </c>
      <c r="B432" s="6">
        <v>111.11</v>
      </c>
      <c r="C432" s="7">
        <f t="shared" si="30"/>
        <v>-2.4495171202809529E-2</v>
      </c>
      <c r="D432" s="6">
        <f>MAX($B432:$B$1261)</f>
        <v>113.9</v>
      </c>
      <c r="E432" s="7">
        <f t="shared" si="31"/>
        <v>-2.4495171202809529E-2</v>
      </c>
      <c r="G432" s="6">
        <v>11010.98</v>
      </c>
      <c r="H432" s="7">
        <f t="shared" si="32"/>
        <v>-8.7404922727351009E-3</v>
      </c>
      <c r="I432" s="6">
        <f>MAX($G432:$G$1261)</f>
        <v>11108.07</v>
      </c>
      <c r="J432" s="7">
        <f t="shared" si="33"/>
        <v>-8.7404922727351009E-3</v>
      </c>
      <c r="K432" s="6">
        <f t="shared" si="34"/>
        <v>184.01255385355836</v>
      </c>
    </row>
    <row r="433" spans="1:11" x14ac:dyDescent="0.25">
      <c r="A433" s="2">
        <f>DATE(2020,8,6)</f>
        <v>44049</v>
      </c>
      <c r="B433" s="6">
        <v>113.9</v>
      </c>
      <c r="C433" s="7">
        <f t="shared" si="30"/>
        <v>3.4890059967290554E-2</v>
      </c>
      <c r="D433" s="6">
        <f>MAX($B433:$B$1261)</f>
        <v>113.9</v>
      </c>
      <c r="E433" s="7">
        <f t="shared" si="31"/>
        <v>0</v>
      </c>
      <c r="G433" s="6">
        <v>11108.07</v>
      </c>
      <c r="H433" s="7">
        <f t="shared" si="32"/>
        <v>9.9714503927843534E-3</v>
      </c>
      <c r="I433" s="6">
        <f>MAX($G433:$G$1261)</f>
        <v>11108.07</v>
      </c>
      <c r="J433" s="7">
        <f t="shared" si="33"/>
        <v>0</v>
      </c>
      <c r="K433" s="6">
        <f t="shared" si="34"/>
        <v>185.63509597548048</v>
      </c>
    </row>
    <row r="434" spans="1:11" x14ac:dyDescent="0.25">
      <c r="A434" s="2">
        <f>DATE(2020,8,5)</f>
        <v>44048</v>
      </c>
      <c r="B434" s="6">
        <v>110.06</v>
      </c>
      <c r="C434" s="7">
        <f t="shared" si="30"/>
        <v>3.5561229141971573E-3</v>
      </c>
      <c r="D434" s="6">
        <f>MAX($B434:$B$1261)</f>
        <v>110.06</v>
      </c>
      <c r="E434" s="7">
        <f t="shared" si="31"/>
        <v>0</v>
      </c>
      <c r="G434" s="6">
        <v>10998.4</v>
      </c>
      <c r="H434" s="7">
        <f t="shared" si="32"/>
        <v>5.2307020181570074E-3</v>
      </c>
      <c r="I434" s="6">
        <f>MAX($G434:$G$1261)</f>
        <v>10998.4</v>
      </c>
      <c r="J434" s="7">
        <f t="shared" si="33"/>
        <v>0</v>
      </c>
      <c r="K434" s="6">
        <f t="shared" si="34"/>
        <v>183.80232025695955</v>
      </c>
    </row>
    <row r="435" spans="1:11" x14ac:dyDescent="0.25">
      <c r="A435" s="2">
        <f>DATE(2020,8,4)</f>
        <v>44047</v>
      </c>
      <c r="B435" s="6">
        <v>109.67</v>
      </c>
      <c r="C435" s="7">
        <f t="shared" si="30"/>
        <v>6.7009362952084039E-3</v>
      </c>
      <c r="D435" s="6">
        <f>MAX($B435:$B$1261)</f>
        <v>109.67</v>
      </c>
      <c r="E435" s="7">
        <f t="shared" si="31"/>
        <v>0</v>
      </c>
      <c r="G435" s="6">
        <v>10941.17</v>
      </c>
      <c r="H435" s="7">
        <f t="shared" si="32"/>
        <v>3.5192794511502701E-3</v>
      </c>
      <c r="I435" s="6">
        <f>MAX($G435:$G$1261)</f>
        <v>10941.17</v>
      </c>
      <c r="J435" s="7">
        <f t="shared" si="33"/>
        <v>0</v>
      </c>
      <c r="K435" s="6">
        <f t="shared" si="34"/>
        <v>182.84590779802866</v>
      </c>
    </row>
    <row r="436" spans="1:11" x14ac:dyDescent="0.25">
      <c r="A436" s="2">
        <f>DATE(2020,8,3)</f>
        <v>44046</v>
      </c>
      <c r="B436" s="6">
        <v>108.94</v>
      </c>
      <c r="C436" s="7">
        <f t="shared" si="30"/>
        <v>2.5221155655938299E-2</v>
      </c>
      <c r="D436" s="6">
        <f>MAX($B436:$B$1261)</f>
        <v>108.94</v>
      </c>
      <c r="E436" s="7">
        <f t="shared" si="31"/>
        <v>0</v>
      </c>
      <c r="G436" s="6">
        <v>10902.8</v>
      </c>
      <c r="H436" s="7">
        <f t="shared" si="32"/>
        <v>1.4660404066161092E-2</v>
      </c>
      <c r="I436" s="6">
        <f>MAX($G436:$G$1261)</f>
        <v>10902.8</v>
      </c>
      <c r="J436" s="7">
        <f t="shared" si="33"/>
        <v>0</v>
      </c>
      <c r="K436" s="6">
        <f t="shared" si="34"/>
        <v>182.20467861666958</v>
      </c>
    </row>
    <row r="437" spans="1:11" x14ac:dyDescent="0.25">
      <c r="A437" s="2">
        <f>DATE(2020,7,31)</f>
        <v>44043</v>
      </c>
      <c r="B437" s="6">
        <v>106.26</v>
      </c>
      <c r="C437" s="7">
        <f t="shared" si="30"/>
        <v>0.1046886370724609</v>
      </c>
      <c r="D437" s="6">
        <f>MAX($B437:$B$1261)</f>
        <v>106.26</v>
      </c>
      <c r="E437" s="7">
        <f t="shared" si="31"/>
        <v>0</v>
      </c>
      <c r="G437" s="6">
        <v>10745.27</v>
      </c>
      <c r="H437" s="7">
        <f t="shared" si="32"/>
        <v>1.487181957364192E-2</v>
      </c>
      <c r="I437" s="6">
        <f>MAX($G437:$G$1261)</f>
        <v>10767.09</v>
      </c>
      <c r="J437" s="7">
        <f t="shared" si="33"/>
        <v>-2.0265457054784441E-3</v>
      </c>
      <c r="K437" s="6">
        <f t="shared" si="34"/>
        <v>179.57207937404533</v>
      </c>
    </row>
    <row r="438" spans="1:11" x14ac:dyDescent="0.25">
      <c r="A438" s="2">
        <f>DATE(2020,7,30)</f>
        <v>44042</v>
      </c>
      <c r="B438" s="6">
        <v>96.19</v>
      </c>
      <c r="C438" s="7">
        <f t="shared" si="30"/>
        <v>1.210016835016825E-2</v>
      </c>
      <c r="D438" s="6">
        <f>MAX($B438:$B$1261)</f>
        <v>98.36</v>
      </c>
      <c r="E438" s="7">
        <f t="shared" si="31"/>
        <v>-2.2061813745425041E-2</v>
      </c>
      <c r="G438" s="6">
        <v>10587.81</v>
      </c>
      <c r="H438" s="7">
        <f t="shared" si="32"/>
        <v>4.2559286119430162E-3</v>
      </c>
      <c r="I438" s="6">
        <f>MAX($G438:$G$1261)</f>
        <v>10767.09</v>
      </c>
      <c r="J438" s="7">
        <f t="shared" si="33"/>
        <v>-1.6650738500374795E-2</v>
      </c>
      <c r="K438" s="6">
        <f t="shared" si="34"/>
        <v>176.94064995270577</v>
      </c>
    </row>
    <row r="439" spans="1:11" x14ac:dyDescent="0.25">
      <c r="A439" s="2">
        <f>DATE(2020,7,29)</f>
        <v>44041</v>
      </c>
      <c r="B439" s="6">
        <v>95.04</v>
      </c>
      <c r="C439" s="7">
        <f t="shared" si="30"/>
        <v>1.919571045576407E-2</v>
      </c>
      <c r="D439" s="6">
        <f>MAX($B439:$B$1261)</f>
        <v>98.36</v>
      </c>
      <c r="E439" s="7">
        <f t="shared" si="31"/>
        <v>-3.3753558357055624E-2</v>
      </c>
      <c r="G439" s="6">
        <v>10542.94</v>
      </c>
      <c r="H439" s="7">
        <f t="shared" si="32"/>
        <v>1.354054810139127E-2</v>
      </c>
      <c r="I439" s="6">
        <f>MAX($G439:$G$1261)</f>
        <v>10767.09</v>
      </c>
      <c r="J439" s="7">
        <f t="shared" si="33"/>
        <v>-2.0818066905728405E-2</v>
      </c>
      <c r="K439" s="6">
        <f t="shared" si="34"/>
        <v>176.19079450919313</v>
      </c>
    </row>
    <row r="440" spans="1:11" x14ac:dyDescent="0.25">
      <c r="A440" s="2">
        <f>DATE(2020,7,28)</f>
        <v>44040</v>
      </c>
      <c r="B440" s="6">
        <v>93.25</v>
      </c>
      <c r="C440" s="7">
        <f t="shared" si="30"/>
        <v>-1.6453960552684332E-2</v>
      </c>
      <c r="D440" s="6">
        <f>MAX($B440:$B$1261)</f>
        <v>98.36</v>
      </c>
      <c r="E440" s="7">
        <f t="shared" si="31"/>
        <v>-5.1952013013420117E-2</v>
      </c>
      <c r="G440" s="6">
        <v>10402.09</v>
      </c>
      <c r="H440" s="7">
        <f t="shared" si="32"/>
        <v>-1.2735057093259838E-2</v>
      </c>
      <c r="I440" s="6">
        <f>MAX($G440:$G$1261)</f>
        <v>10767.09</v>
      </c>
      <c r="J440" s="7">
        <f t="shared" si="33"/>
        <v>-3.3899595898241763E-2</v>
      </c>
      <c r="K440" s="6">
        <f t="shared" si="34"/>
        <v>173.83694696698763</v>
      </c>
    </row>
    <row r="441" spans="1:11" x14ac:dyDescent="0.25">
      <c r="A441" s="2">
        <f>DATE(2020,7,27)</f>
        <v>44039</v>
      </c>
      <c r="B441" s="6">
        <v>94.81</v>
      </c>
      <c r="C441" s="7">
        <f t="shared" si="30"/>
        <v>2.3755533959615605E-2</v>
      </c>
      <c r="D441" s="6">
        <f>MAX($B441:$B$1261)</f>
        <v>98.36</v>
      </c>
      <c r="E441" s="7">
        <f t="shared" si="31"/>
        <v>-3.609190727938183E-2</v>
      </c>
      <c r="G441" s="6">
        <v>10536.27</v>
      </c>
      <c r="H441" s="7">
        <f t="shared" si="32"/>
        <v>1.670240215841079E-2</v>
      </c>
      <c r="I441" s="6">
        <f>MAX($G441:$G$1261)</f>
        <v>10767.09</v>
      </c>
      <c r="J441" s="7">
        <f t="shared" si="33"/>
        <v>-2.1437547192416861E-2</v>
      </c>
      <c r="K441" s="6">
        <f t="shared" si="34"/>
        <v>176.07932725249088</v>
      </c>
    </row>
    <row r="442" spans="1:11" x14ac:dyDescent="0.25">
      <c r="A442" s="2">
        <f>DATE(2020,7,24)</f>
        <v>44036</v>
      </c>
      <c r="B442" s="6">
        <v>92.61</v>
      </c>
      <c r="C442" s="7">
        <f t="shared" si="30"/>
        <v>-2.5848142164781596E-3</v>
      </c>
      <c r="D442" s="6">
        <f>MAX($B442:$B$1261)</f>
        <v>98.36</v>
      </c>
      <c r="E442" s="7">
        <f t="shared" si="31"/>
        <v>-5.8458723058153694E-2</v>
      </c>
      <c r="G442" s="6">
        <v>10363.18</v>
      </c>
      <c r="H442" s="7">
        <f t="shared" si="32"/>
        <v>-9.3906945711003109E-3</v>
      </c>
      <c r="I442" s="6">
        <f>MAX($G442:$G$1261)</f>
        <v>10767.09</v>
      </c>
      <c r="J442" s="7">
        <f t="shared" si="33"/>
        <v>-3.7513385696599566E-2</v>
      </c>
      <c r="K442" s="6">
        <f t="shared" si="34"/>
        <v>173.18669345000353</v>
      </c>
    </row>
    <row r="443" spans="1:11" x14ac:dyDescent="0.25">
      <c r="A443" s="2">
        <f>DATE(2020,7,23)</f>
        <v>44035</v>
      </c>
      <c r="B443" s="6">
        <v>92.85</v>
      </c>
      <c r="C443" s="7">
        <f t="shared" si="30"/>
        <v>-4.544052636989826E-2</v>
      </c>
      <c r="D443" s="6">
        <f>MAX($B443:$B$1261)</f>
        <v>98.36</v>
      </c>
      <c r="E443" s="7">
        <f t="shared" si="31"/>
        <v>-5.6018706791378658E-2</v>
      </c>
      <c r="G443" s="6">
        <v>10461.42</v>
      </c>
      <c r="H443" s="7">
        <f t="shared" si="32"/>
        <v>-2.2856998747446511E-2</v>
      </c>
      <c r="I443" s="6">
        <f>MAX($G443:$G$1261)</f>
        <v>10767.09</v>
      </c>
      <c r="J443" s="7">
        <f t="shared" si="33"/>
        <v>-2.8389286241686462E-2</v>
      </c>
      <c r="K443" s="6">
        <f t="shared" si="34"/>
        <v>174.82845406446052</v>
      </c>
    </row>
    <row r="444" spans="1:11" x14ac:dyDescent="0.25">
      <c r="A444" s="2">
        <f>DATE(2020,7,22)</f>
        <v>44034</v>
      </c>
      <c r="B444" s="6">
        <v>97.27</v>
      </c>
      <c r="C444" s="7">
        <f t="shared" si="30"/>
        <v>2.7835051546392098E-3</v>
      </c>
      <c r="D444" s="6">
        <f>MAX($B444:$B$1261)</f>
        <v>98.36</v>
      </c>
      <c r="E444" s="7">
        <f t="shared" si="31"/>
        <v>-1.1081740544937047E-2</v>
      </c>
      <c r="G444" s="6">
        <v>10706.13</v>
      </c>
      <c r="H444" s="7">
        <f t="shared" si="32"/>
        <v>2.4128400166285591E-3</v>
      </c>
      <c r="I444" s="6">
        <f>MAX($G444:$G$1261)</f>
        <v>10767.09</v>
      </c>
      <c r="J444" s="7">
        <f t="shared" si="33"/>
        <v>-5.6616968930324196E-3</v>
      </c>
      <c r="K444" s="6">
        <f t="shared" si="34"/>
        <v>178.91798215855425</v>
      </c>
    </row>
    <row r="445" spans="1:11" x14ac:dyDescent="0.25">
      <c r="A445" s="2">
        <f>DATE(2020,7,21)</f>
        <v>44033</v>
      </c>
      <c r="B445" s="6">
        <v>97</v>
      </c>
      <c r="C445" s="7">
        <f t="shared" si="30"/>
        <v>-1.3826758845058906E-2</v>
      </c>
      <c r="D445" s="6">
        <f>MAX($B445:$B$1261)</f>
        <v>98.36</v>
      </c>
      <c r="E445" s="7">
        <f t="shared" si="31"/>
        <v>-1.3826758845058906E-2</v>
      </c>
      <c r="G445" s="6">
        <v>10680.36</v>
      </c>
      <c r="H445" s="7">
        <f t="shared" si="32"/>
        <v>-8.0551012390533971E-3</v>
      </c>
      <c r="I445" s="6">
        <f>MAX($G445:$G$1261)</f>
        <v>10767.09</v>
      </c>
      <c r="J445" s="7">
        <f t="shared" si="33"/>
        <v>-8.0551012390533971E-3</v>
      </c>
      <c r="K445" s="6">
        <f t="shared" si="34"/>
        <v>178.48732080844681</v>
      </c>
    </row>
    <row r="446" spans="1:11" x14ac:dyDescent="0.25">
      <c r="A446" s="2">
        <f>DATE(2020,7,20)</f>
        <v>44032</v>
      </c>
      <c r="B446" s="6">
        <v>98.36</v>
      </c>
      <c r="C446" s="7">
        <f t="shared" si="30"/>
        <v>2.1073393543029173E-2</v>
      </c>
      <c r="D446" s="6">
        <f>MAX($B446:$B$1261)</f>
        <v>98.36</v>
      </c>
      <c r="E446" s="7">
        <f t="shared" si="31"/>
        <v>0</v>
      </c>
      <c r="G446" s="6">
        <v>10767.09</v>
      </c>
      <c r="H446" s="7">
        <f t="shared" si="32"/>
        <v>2.5125699906409338E-2</v>
      </c>
      <c r="I446" s="6">
        <f>MAX($G446:$G$1261)</f>
        <v>10767.09</v>
      </c>
      <c r="J446" s="7">
        <f t="shared" si="33"/>
        <v>0</v>
      </c>
      <c r="K446" s="6">
        <f t="shared" si="34"/>
        <v>179.93672938022871</v>
      </c>
    </row>
    <row r="447" spans="1:11" x14ac:dyDescent="0.25">
      <c r="A447" s="2">
        <f>DATE(2020,7,17)</f>
        <v>44029</v>
      </c>
      <c r="B447" s="6">
        <v>96.33</v>
      </c>
      <c r="C447" s="7">
        <f t="shared" si="30"/>
        <v>-1.9685039370078705E-3</v>
      </c>
      <c r="D447" s="6">
        <f>MAX($B447:$B$1261)</f>
        <v>97.72</v>
      </c>
      <c r="E447" s="7">
        <f t="shared" si="31"/>
        <v>-1.422431436758087E-2</v>
      </c>
      <c r="G447" s="6">
        <v>10503.19</v>
      </c>
      <c r="H447" s="7">
        <f t="shared" si="32"/>
        <v>2.803177061304174E-3</v>
      </c>
      <c r="I447" s="6">
        <f>MAX($G447:$G$1261)</f>
        <v>10617.44</v>
      </c>
      <c r="J447" s="7">
        <f t="shared" si="33"/>
        <v>-1.0760597658192594E-2</v>
      </c>
      <c r="K447" s="6">
        <f t="shared" si="34"/>
        <v>175.52650313679226</v>
      </c>
    </row>
    <row r="448" spans="1:11" x14ac:dyDescent="0.25">
      <c r="A448" s="2">
        <f>DATE(2020,7,16)</f>
        <v>44028</v>
      </c>
      <c r="B448" s="6">
        <v>96.52</v>
      </c>
      <c r="C448" s="7">
        <f t="shared" si="30"/>
        <v>-1.2279983626688473E-2</v>
      </c>
      <c r="D448" s="6">
        <f>MAX($B448:$B$1261)</f>
        <v>97.72</v>
      </c>
      <c r="E448" s="7">
        <f t="shared" si="31"/>
        <v>-1.2279983626688473E-2</v>
      </c>
      <c r="G448" s="6">
        <v>10473.83</v>
      </c>
      <c r="H448" s="7">
        <f t="shared" si="32"/>
        <v>-7.2660132372999175E-3</v>
      </c>
      <c r="I448" s="6">
        <f>MAX($G448:$G$1261)</f>
        <v>10617.44</v>
      </c>
      <c r="J448" s="7">
        <f t="shared" si="33"/>
        <v>-1.3525859340858148E-2</v>
      </c>
      <c r="K448" s="6">
        <f t="shared" si="34"/>
        <v>175.03584666651074</v>
      </c>
    </row>
    <row r="449" spans="1:11" x14ac:dyDescent="0.25">
      <c r="A449" s="2">
        <f>DATE(2020,7,15)</f>
        <v>44027</v>
      </c>
      <c r="B449" s="6">
        <v>97.72</v>
      </c>
      <c r="C449" s="7">
        <f t="shared" si="30"/>
        <v>6.7999175767565756E-3</v>
      </c>
      <c r="D449" s="6">
        <f>MAX($B449:$B$1261)</f>
        <v>97.72</v>
      </c>
      <c r="E449" s="7">
        <f t="shared" si="31"/>
        <v>0</v>
      </c>
      <c r="G449" s="6">
        <v>10550.49</v>
      </c>
      <c r="H449" s="7">
        <f t="shared" si="32"/>
        <v>5.9026102675481251E-3</v>
      </c>
      <c r="I449" s="6">
        <f>MAX($G449:$G$1261)</f>
        <v>10617.44</v>
      </c>
      <c r="J449" s="7">
        <f t="shared" si="33"/>
        <v>-6.3056631353698434E-3</v>
      </c>
      <c r="K449" s="6">
        <f t="shared" si="34"/>
        <v>176.31696809061776</v>
      </c>
    </row>
    <row r="450" spans="1:11" x14ac:dyDescent="0.25">
      <c r="A450" s="2">
        <f>DATE(2020,7,14)</f>
        <v>44026</v>
      </c>
      <c r="B450" s="6">
        <v>97.06</v>
      </c>
      <c r="C450" s="7">
        <f t="shared" ref="C450:C513" si="35">IFERROR(B450/B451-1,0)</f>
        <v>1.654796816087134E-2</v>
      </c>
      <c r="D450" s="6">
        <f>MAX($B450:$B$1261)</f>
        <v>97.06</v>
      </c>
      <c r="E450" s="7">
        <f t="shared" ref="E450:E513" si="36">$B450/$D450-1</f>
        <v>0</v>
      </c>
      <c r="G450" s="6">
        <v>10488.58</v>
      </c>
      <c r="H450" s="7">
        <f t="shared" ref="H450:H513" si="37">IFERROR(G450/G451-1,0)</f>
        <v>9.4063617570860902E-3</v>
      </c>
      <c r="I450" s="6">
        <f>MAX($G450:$G$1261)</f>
        <v>10617.44</v>
      </c>
      <c r="J450" s="7">
        <f t="shared" ref="J450:J513" si="38">$G450/$I450-1</f>
        <v>-1.213663557317024E-2</v>
      </c>
      <c r="K450" s="6">
        <f t="shared" ref="K450:K513" si="39">$K451*(1+H450)</f>
        <v>175.28234472293624</v>
      </c>
    </row>
    <row r="451" spans="1:11" x14ac:dyDescent="0.25">
      <c r="A451" s="2">
        <f>DATE(2020,7,13)</f>
        <v>44025</v>
      </c>
      <c r="B451" s="6">
        <v>95.48</v>
      </c>
      <c r="C451" s="7">
        <f t="shared" si="35"/>
        <v>-4.5871559633027248E-3</v>
      </c>
      <c r="D451" s="6">
        <f>MAX($B451:$B$1261)</f>
        <v>95.92</v>
      </c>
      <c r="E451" s="7">
        <f t="shared" si="36"/>
        <v>-4.5871559633027248E-3</v>
      </c>
      <c r="G451" s="6">
        <v>10390.84</v>
      </c>
      <c r="H451" s="7">
        <f t="shared" si="37"/>
        <v>-2.1342244458174453E-2</v>
      </c>
      <c r="I451" s="6">
        <f>MAX($G451:$G$1261)</f>
        <v>10617.44</v>
      </c>
      <c r="J451" s="7">
        <f t="shared" si="38"/>
        <v>-2.1342244458174453E-2</v>
      </c>
      <c r="K451" s="6">
        <f t="shared" si="39"/>
        <v>173.64893997479876</v>
      </c>
    </row>
    <row r="452" spans="1:11" x14ac:dyDescent="0.25">
      <c r="A452" s="2">
        <f>DATE(2020,7,10)</f>
        <v>44022</v>
      </c>
      <c r="B452" s="6">
        <v>95.92</v>
      </c>
      <c r="C452" s="7">
        <f t="shared" si="35"/>
        <v>1.7754569190600034E-3</v>
      </c>
      <c r="D452" s="6">
        <f>MAX($B452:$B$1261)</f>
        <v>95.92</v>
      </c>
      <c r="E452" s="7">
        <f t="shared" si="36"/>
        <v>0</v>
      </c>
      <c r="G452" s="6">
        <v>10617.44</v>
      </c>
      <c r="H452" s="7">
        <f t="shared" si="37"/>
        <v>6.6070963001587657E-3</v>
      </c>
      <c r="I452" s="6">
        <f>MAX($G452:$G$1261)</f>
        <v>10617.44</v>
      </c>
      <c r="J452" s="7">
        <f t="shared" si="38"/>
        <v>0</v>
      </c>
      <c r="K452" s="6">
        <f t="shared" si="39"/>
        <v>177.4358185907999</v>
      </c>
    </row>
    <row r="453" spans="1:11" x14ac:dyDescent="0.25">
      <c r="A453" s="2">
        <f>DATE(2020,7,9)</f>
        <v>44021</v>
      </c>
      <c r="B453" s="6">
        <v>95.75</v>
      </c>
      <c r="C453" s="7">
        <f t="shared" si="35"/>
        <v>4.3003985735263761E-3</v>
      </c>
      <c r="D453" s="6">
        <f>MAX($B453:$B$1261)</f>
        <v>95.75</v>
      </c>
      <c r="E453" s="7">
        <f t="shared" si="36"/>
        <v>0</v>
      </c>
      <c r="G453" s="6">
        <v>10547.75</v>
      </c>
      <c r="H453" s="7">
        <f t="shared" si="37"/>
        <v>5.2656659518703908E-3</v>
      </c>
      <c r="I453" s="6">
        <f>MAX($G453:$G$1261)</f>
        <v>10547.75</v>
      </c>
      <c r="J453" s="7">
        <f t="shared" si="38"/>
        <v>0</v>
      </c>
      <c r="K453" s="6">
        <f t="shared" si="39"/>
        <v>176.27117794318684</v>
      </c>
    </row>
    <row r="454" spans="1:11" x14ac:dyDescent="0.25">
      <c r="A454" s="2">
        <f>DATE(2020,7,8)</f>
        <v>44020</v>
      </c>
      <c r="B454" s="6">
        <v>95.34</v>
      </c>
      <c r="C454" s="7">
        <f t="shared" si="35"/>
        <v>2.3290758827948954E-2</v>
      </c>
      <c r="D454" s="6">
        <f>MAX($B454:$B$1261)</f>
        <v>95.34</v>
      </c>
      <c r="E454" s="7">
        <f t="shared" si="36"/>
        <v>0</v>
      </c>
      <c r="G454" s="6">
        <v>10492.5</v>
      </c>
      <c r="H454" s="7">
        <f t="shared" si="37"/>
        <v>1.4366935456583629E-2</v>
      </c>
      <c r="I454" s="6">
        <f>MAX($G454:$G$1261)</f>
        <v>10492.5</v>
      </c>
      <c r="J454" s="7">
        <f t="shared" si="38"/>
        <v>0</v>
      </c>
      <c r="K454" s="6">
        <f t="shared" si="39"/>
        <v>175.34785471488118</v>
      </c>
    </row>
    <row r="455" spans="1:11" x14ac:dyDescent="0.25">
      <c r="A455" s="2">
        <f>DATE(2020,7,7)</f>
        <v>44019</v>
      </c>
      <c r="B455" s="6">
        <v>93.17</v>
      </c>
      <c r="C455" s="7">
        <f t="shared" si="35"/>
        <v>-3.1029317355016905E-3</v>
      </c>
      <c r="D455" s="6">
        <f>MAX($B455:$B$1261)</f>
        <v>93.46</v>
      </c>
      <c r="E455" s="7">
        <f t="shared" si="36"/>
        <v>-3.1029317355016905E-3</v>
      </c>
      <c r="G455" s="6">
        <v>10343.89</v>
      </c>
      <c r="H455" s="7">
        <f t="shared" si="37"/>
        <v>-8.6029337767703495E-3</v>
      </c>
      <c r="I455" s="6">
        <f>MAX($G455:$G$1261)</f>
        <v>10433.65</v>
      </c>
      <c r="J455" s="7">
        <f t="shared" si="38"/>
        <v>-8.6029337767703495E-3</v>
      </c>
      <c r="K455" s="6">
        <f t="shared" si="39"/>
        <v>172.86432412739691</v>
      </c>
    </row>
    <row r="456" spans="1:11" x14ac:dyDescent="0.25">
      <c r="A456" s="2">
        <f>DATE(2020,7,6)</f>
        <v>44018</v>
      </c>
      <c r="B456" s="6">
        <v>93.46</v>
      </c>
      <c r="C456" s="7">
        <f t="shared" si="35"/>
        <v>2.6694496319894512E-2</v>
      </c>
      <c r="D456" s="6">
        <f>MAX($B456:$B$1261)</f>
        <v>93.46</v>
      </c>
      <c r="E456" s="7">
        <f t="shared" si="36"/>
        <v>0</v>
      </c>
      <c r="G456" s="6">
        <v>10433.65</v>
      </c>
      <c r="H456" s="7">
        <f t="shared" si="37"/>
        <v>2.2142260250420653E-2</v>
      </c>
      <c r="I456" s="6">
        <f>MAX($G456:$G$1261)</f>
        <v>10433.65</v>
      </c>
      <c r="J456" s="7">
        <f t="shared" si="38"/>
        <v>0</v>
      </c>
      <c r="K456" s="6">
        <f t="shared" si="39"/>
        <v>174.36436924907503</v>
      </c>
    </row>
    <row r="457" spans="1:11" x14ac:dyDescent="0.25">
      <c r="A457" s="2">
        <f>DATE(2020,7,2)</f>
        <v>44014</v>
      </c>
      <c r="B457" s="6">
        <v>91.03</v>
      </c>
      <c r="C457" s="7">
        <f t="shared" si="35"/>
        <v>0</v>
      </c>
      <c r="D457" s="6">
        <f>MAX($B457:$B$1261)</f>
        <v>91.63</v>
      </c>
      <c r="E457" s="7">
        <f t="shared" si="36"/>
        <v>-6.5480737749644691E-3</v>
      </c>
      <c r="G457" s="6">
        <v>10207.629999999999</v>
      </c>
      <c r="H457" s="7">
        <f t="shared" si="37"/>
        <v>5.2192940560118473E-3</v>
      </c>
      <c r="I457" s="6">
        <f>MAX($G457:$G$1261)</f>
        <v>10207.629999999999</v>
      </c>
      <c r="J457" s="7">
        <f t="shared" si="38"/>
        <v>0</v>
      </c>
      <c r="K457" s="6">
        <f t="shared" si="39"/>
        <v>170.58718343800447</v>
      </c>
    </row>
    <row r="458" spans="1:11" x14ac:dyDescent="0.25">
      <c r="A458" s="2">
        <f>DATE(2020,7,1)</f>
        <v>44013</v>
      </c>
      <c r="B458" s="6">
        <v>91.03</v>
      </c>
      <c r="C458" s="7">
        <f t="shared" si="35"/>
        <v>-1.8640350877192624E-3</v>
      </c>
      <c r="D458" s="6">
        <f>MAX($B458:$B$1261)</f>
        <v>91.63</v>
      </c>
      <c r="E458" s="7">
        <f t="shared" si="36"/>
        <v>-6.5480737749644691E-3</v>
      </c>
      <c r="G458" s="6">
        <v>10154.629999999999</v>
      </c>
      <c r="H458" s="7">
        <f t="shared" si="37"/>
        <v>9.5299922356311129E-3</v>
      </c>
      <c r="I458" s="6">
        <f>MAX($G458:$G$1261)</f>
        <v>10154.629999999999</v>
      </c>
      <c r="J458" s="7">
        <f t="shared" si="38"/>
        <v>0</v>
      </c>
      <c r="K458" s="6">
        <f t="shared" si="39"/>
        <v>169.70146160813661</v>
      </c>
    </row>
    <row r="459" spans="1:11" x14ac:dyDescent="0.25">
      <c r="A459" s="2">
        <f>DATE(2020,6,30)</f>
        <v>44012</v>
      </c>
      <c r="B459" s="6">
        <v>91.2</v>
      </c>
      <c r="C459" s="7">
        <f t="shared" si="35"/>
        <v>8.4033613445377853E-3</v>
      </c>
      <c r="D459" s="6">
        <f>MAX($B459:$B$1261)</f>
        <v>91.63</v>
      </c>
      <c r="E459" s="7">
        <f t="shared" si="36"/>
        <v>-4.6927862053911529E-3</v>
      </c>
      <c r="G459" s="6">
        <v>10058.77</v>
      </c>
      <c r="H459" s="7">
        <f t="shared" si="37"/>
        <v>1.8697305590861024E-2</v>
      </c>
      <c r="I459" s="6">
        <f>MAX($G459:$G$1261)</f>
        <v>10131.370000000001</v>
      </c>
      <c r="J459" s="7">
        <f t="shared" si="38"/>
        <v>-7.1658620699865949E-3</v>
      </c>
      <c r="K459" s="6">
        <f t="shared" si="39"/>
        <v>168.09947491736051</v>
      </c>
    </row>
    <row r="460" spans="1:11" x14ac:dyDescent="0.25">
      <c r="A460" s="2">
        <f>DATE(2020,6,29)</f>
        <v>44011</v>
      </c>
      <c r="B460" s="6">
        <v>90.44</v>
      </c>
      <c r="C460" s="7">
        <f t="shared" si="35"/>
        <v>2.2961203483768733E-2</v>
      </c>
      <c r="D460" s="6">
        <f>MAX($B460:$B$1261)</f>
        <v>91.63</v>
      </c>
      <c r="E460" s="7">
        <f t="shared" si="36"/>
        <v>-1.2987012987012991E-2</v>
      </c>
      <c r="G460" s="6">
        <v>9874.15</v>
      </c>
      <c r="H460" s="7">
        <f t="shared" si="37"/>
        <v>1.19839462469844E-2</v>
      </c>
      <c r="I460" s="6">
        <f>MAX($G460:$G$1261)</f>
        <v>10131.370000000001</v>
      </c>
      <c r="J460" s="7">
        <f t="shared" si="38"/>
        <v>-2.5388471647960875E-2</v>
      </c>
      <c r="K460" s="6">
        <f t="shared" si="39"/>
        <v>165.01415483754528</v>
      </c>
    </row>
    <row r="461" spans="1:11" x14ac:dyDescent="0.25">
      <c r="A461" s="2">
        <f>DATE(2020,6,26)</f>
        <v>44008</v>
      </c>
      <c r="B461" s="6">
        <v>88.41</v>
      </c>
      <c r="C461" s="7">
        <f t="shared" si="35"/>
        <v>-3.0698388334612359E-2</v>
      </c>
      <c r="D461" s="6">
        <f>MAX($B461:$B$1261)</f>
        <v>91.63</v>
      </c>
      <c r="E461" s="7">
        <f t="shared" si="36"/>
        <v>-3.5141329258976284E-2</v>
      </c>
      <c r="G461" s="6">
        <v>9757.2199999999993</v>
      </c>
      <c r="H461" s="7">
        <f t="shared" si="37"/>
        <v>-2.5933912349006771E-2</v>
      </c>
      <c r="I461" s="6">
        <f>MAX($G461:$G$1261)</f>
        <v>10131.370000000001</v>
      </c>
      <c r="J461" s="7">
        <f t="shared" si="38"/>
        <v>-3.6929852527348372E-2</v>
      </c>
      <c r="K461" s="6">
        <f t="shared" si="39"/>
        <v>163.06005194006505</v>
      </c>
    </row>
    <row r="462" spans="1:11" x14ac:dyDescent="0.25">
      <c r="A462" s="2">
        <f>DATE(2020,6,25)</f>
        <v>44007</v>
      </c>
      <c r="B462" s="6">
        <v>91.21</v>
      </c>
      <c r="C462" s="7">
        <f t="shared" si="35"/>
        <v>1.3331852016442491E-2</v>
      </c>
      <c r="D462" s="6">
        <f>MAX($B462:$B$1261)</f>
        <v>91.63</v>
      </c>
      <c r="E462" s="7">
        <f t="shared" si="36"/>
        <v>-4.5836516424752061E-3</v>
      </c>
      <c r="G462" s="6">
        <v>10017</v>
      </c>
      <c r="H462" s="7">
        <f t="shared" si="37"/>
        <v>1.0881839750453315E-2</v>
      </c>
      <c r="I462" s="6">
        <f>MAX($G462:$G$1261)</f>
        <v>10131.370000000001</v>
      </c>
      <c r="J462" s="7">
        <f t="shared" si="38"/>
        <v>-1.1288700343586422E-2</v>
      </c>
      <c r="K462" s="6">
        <f t="shared" si="39"/>
        <v>167.4014258450288</v>
      </c>
    </row>
    <row r="463" spans="1:11" x14ac:dyDescent="0.25">
      <c r="A463" s="2">
        <f>DATE(2020,6,24)</f>
        <v>44006</v>
      </c>
      <c r="B463" s="6">
        <v>90.01</v>
      </c>
      <c r="C463" s="7">
        <f t="shared" si="35"/>
        <v>-1.7679799192404144E-2</v>
      </c>
      <c r="D463" s="6">
        <f>MAX($B463:$B$1261)</f>
        <v>91.63</v>
      </c>
      <c r="E463" s="7">
        <f t="shared" si="36"/>
        <v>-1.7679799192404144E-2</v>
      </c>
      <c r="G463" s="6">
        <v>9909.17</v>
      </c>
      <c r="H463" s="7">
        <f t="shared" si="37"/>
        <v>-2.193188088086806E-2</v>
      </c>
      <c r="I463" s="6">
        <f>MAX($G463:$G$1261)</f>
        <v>10131.370000000001</v>
      </c>
      <c r="J463" s="7">
        <f t="shared" si="38"/>
        <v>-2.193188088086806E-2</v>
      </c>
      <c r="K463" s="6">
        <f t="shared" si="39"/>
        <v>165.59939971456365</v>
      </c>
    </row>
    <row r="464" spans="1:11" x14ac:dyDescent="0.25">
      <c r="A464" s="2">
        <f>DATE(2020,6,23)</f>
        <v>44005</v>
      </c>
      <c r="B464" s="6">
        <v>91.63</v>
      </c>
      <c r="C464" s="7">
        <f t="shared" si="35"/>
        <v>2.1288452964779214E-2</v>
      </c>
      <c r="D464" s="6">
        <f>MAX($B464:$B$1261)</f>
        <v>91.63</v>
      </c>
      <c r="E464" s="7">
        <f t="shared" si="36"/>
        <v>0</v>
      </c>
      <c r="G464" s="6">
        <v>10131.370000000001</v>
      </c>
      <c r="H464" s="7">
        <f t="shared" si="37"/>
        <v>7.4469396846612579E-3</v>
      </c>
      <c r="I464" s="6">
        <f>MAX($G464:$G$1261)</f>
        <v>10131.370000000001</v>
      </c>
      <c r="J464" s="7">
        <f t="shared" si="38"/>
        <v>0</v>
      </c>
      <c r="K464" s="6">
        <f t="shared" si="39"/>
        <v>169.31274670695313</v>
      </c>
    </row>
    <row r="465" spans="1:11" x14ac:dyDescent="0.25">
      <c r="A465" s="2">
        <f>DATE(2020,6,22)</f>
        <v>44004</v>
      </c>
      <c r="B465" s="6">
        <v>89.72</v>
      </c>
      <c r="C465" s="7">
        <f t="shared" si="35"/>
        <v>2.6192382477410403E-2</v>
      </c>
      <c r="D465" s="6">
        <f>MAX($B465:$B$1261)</f>
        <v>89.72</v>
      </c>
      <c r="E465" s="7">
        <f t="shared" si="36"/>
        <v>0</v>
      </c>
      <c r="G465" s="6">
        <v>10056.48</v>
      </c>
      <c r="H465" s="7">
        <f t="shared" si="37"/>
        <v>1.1095784084647953E-2</v>
      </c>
      <c r="I465" s="6">
        <f>MAX($G465:$G$1261)</f>
        <v>10056.48</v>
      </c>
      <c r="J465" s="7">
        <f t="shared" si="38"/>
        <v>0</v>
      </c>
      <c r="K465" s="6">
        <f t="shared" si="39"/>
        <v>168.06120504961714</v>
      </c>
    </row>
    <row r="466" spans="1:11" x14ac:dyDescent="0.25">
      <c r="A466" s="2">
        <f>DATE(2020,6,19)</f>
        <v>44001</v>
      </c>
      <c r="B466" s="6">
        <v>87.43</v>
      </c>
      <c r="C466" s="7">
        <f t="shared" si="35"/>
        <v>-5.6863414079381114E-3</v>
      </c>
      <c r="D466" s="6">
        <f>MAX($B466:$B$1261)</f>
        <v>88.21</v>
      </c>
      <c r="E466" s="7">
        <f t="shared" si="36"/>
        <v>-8.8425348599930897E-3</v>
      </c>
      <c r="G466" s="6">
        <v>9946.1200000000008</v>
      </c>
      <c r="H466" s="7">
        <f t="shared" si="37"/>
        <v>3.0875837896848779E-4</v>
      </c>
      <c r="I466" s="6">
        <f>MAX($G466:$G$1261)</f>
        <v>10020.35</v>
      </c>
      <c r="J466" s="7">
        <f t="shared" si="38"/>
        <v>-7.4079248728836644E-3</v>
      </c>
      <c r="K466" s="6">
        <f t="shared" si="39"/>
        <v>166.21689823557529</v>
      </c>
    </row>
    <row r="467" spans="1:11" x14ac:dyDescent="0.25">
      <c r="A467" s="2">
        <f>DATE(2020,6,18)</f>
        <v>44000</v>
      </c>
      <c r="B467" s="6">
        <v>87.93</v>
      </c>
      <c r="C467" s="7">
        <f t="shared" si="35"/>
        <v>3.4129692832762792E-4</v>
      </c>
      <c r="D467" s="6">
        <f>MAX($B467:$B$1261)</f>
        <v>88.21</v>
      </c>
      <c r="E467" s="7">
        <f t="shared" si="36"/>
        <v>-3.1742432830743628E-3</v>
      </c>
      <c r="G467" s="6">
        <v>9943.0499999999993</v>
      </c>
      <c r="H467" s="7">
        <f t="shared" si="37"/>
        <v>3.2813583128246115E-3</v>
      </c>
      <c r="I467" s="6">
        <f>MAX($G467:$G$1261)</f>
        <v>10020.35</v>
      </c>
      <c r="J467" s="7">
        <f t="shared" si="38"/>
        <v>-7.7143013966579632E-3</v>
      </c>
      <c r="K467" s="6">
        <f t="shared" si="39"/>
        <v>166.16559321637345</v>
      </c>
    </row>
    <row r="468" spans="1:11" x14ac:dyDescent="0.25">
      <c r="A468" s="2">
        <f>DATE(2020,6,17)</f>
        <v>43999</v>
      </c>
      <c r="B468" s="6">
        <v>87.9</v>
      </c>
      <c r="C468" s="7">
        <f t="shared" si="35"/>
        <v>-1.3633265167006803E-3</v>
      </c>
      <c r="D468" s="6">
        <f>MAX($B468:$B$1261)</f>
        <v>88.21</v>
      </c>
      <c r="E468" s="7">
        <f t="shared" si="36"/>
        <v>-3.5143407776894175E-3</v>
      </c>
      <c r="G468" s="6">
        <v>9910.5300000000007</v>
      </c>
      <c r="H468" s="7">
        <f t="shared" si="37"/>
        <v>1.481426089873894E-3</v>
      </c>
      <c r="I468" s="6">
        <f>MAX($G468:$G$1261)</f>
        <v>10020.35</v>
      </c>
      <c r="J468" s="7">
        <f t="shared" si="38"/>
        <v>-1.095969701657129E-2</v>
      </c>
      <c r="K468" s="6">
        <f t="shared" si="39"/>
        <v>165.62212767095266</v>
      </c>
    </row>
    <row r="469" spans="1:11" x14ac:dyDescent="0.25">
      <c r="A469" s="2">
        <f>DATE(2020,6,16)</f>
        <v>43998</v>
      </c>
      <c r="B469" s="6">
        <v>88.02</v>
      </c>
      <c r="C469" s="7">
        <f t="shared" si="35"/>
        <v>2.6472303206997116E-2</v>
      </c>
      <c r="D469" s="6">
        <f>MAX($B469:$B$1261)</f>
        <v>88.21</v>
      </c>
      <c r="E469" s="7">
        <f t="shared" si="36"/>
        <v>-2.1539507992290874E-3</v>
      </c>
      <c r="G469" s="6">
        <v>9895.8700000000008</v>
      </c>
      <c r="H469" s="7">
        <f t="shared" si="37"/>
        <v>1.7463463986296501E-2</v>
      </c>
      <c r="I469" s="6">
        <f>MAX($G469:$G$1261)</f>
        <v>10020.35</v>
      </c>
      <c r="J469" s="7">
        <f t="shared" si="38"/>
        <v>-1.2422719765277646E-2</v>
      </c>
      <c r="K469" s="6">
        <f t="shared" si="39"/>
        <v>165.37713367046467</v>
      </c>
    </row>
    <row r="470" spans="1:11" x14ac:dyDescent="0.25">
      <c r="A470" s="2">
        <f>DATE(2020,6,15)</f>
        <v>43997</v>
      </c>
      <c r="B470" s="6">
        <v>85.75</v>
      </c>
      <c r="C470" s="7">
        <f t="shared" si="35"/>
        <v>1.2396694214876103E-2</v>
      </c>
      <c r="D470" s="6">
        <f>MAX($B470:$B$1261)</f>
        <v>88.21</v>
      </c>
      <c r="E470" s="7">
        <f t="shared" si="36"/>
        <v>-2.7887994558440043E-2</v>
      </c>
      <c r="G470" s="6">
        <v>9726.02</v>
      </c>
      <c r="H470" s="7">
        <f t="shared" si="37"/>
        <v>1.4309387713386856E-2</v>
      </c>
      <c r="I470" s="6">
        <f>MAX($G470:$G$1261)</f>
        <v>10020.35</v>
      </c>
      <c r="J470" s="7">
        <f t="shared" si="38"/>
        <v>-2.9373225486135746E-2</v>
      </c>
      <c r="K470" s="6">
        <f t="shared" si="39"/>
        <v>162.53864588172772</v>
      </c>
    </row>
    <row r="471" spans="1:11" x14ac:dyDescent="0.25">
      <c r="A471" s="2">
        <f>DATE(2020,6,12)</f>
        <v>43994</v>
      </c>
      <c r="B471" s="6">
        <v>84.7</v>
      </c>
      <c r="C471" s="7">
        <f t="shared" si="35"/>
        <v>8.6935810408479419E-3</v>
      </c>
      <c r="D471" s="6">
        <f>MAX($B471:$B$1261)</f>
        <v>88.21</v>
      </c>
      <c r="E471" s="7">
        <f t="shared" si="36"/>
        <v>-3.9791406869969292E-2</v>
      </c>
      <c r="G471" s="6">
        <v>9588.81</v>
      </c>
      <c r="H471" s="7">
        <f t="shared" si="37"/>
        <v>1.0121429767832923E-2</v>
      </c>
      <c r="I471" s="6">
        <f>MAX($G471:$G$1261)</f>
        <v>10020.35</v>
      </c>
      <c r="J471" s="7">
        <f t="shared" si="38"/>
        <v>-4.3066359957486644E-2</v>
      </c>
      <c r="K471" s="6">
        <f t="shared" si="39"/>
        <v>160.24562904632825</v>
      </c>
    </row>
    <row r="472" spans="1:11" x14ac:dyDescent="0.25">
      <c r="A472" s="2">
        <f>DATE(2020,6,11)</f>
        <v>43993</v>
      </c>
      <c r="B472" s="6">
        <v>83.97</v>
      </c>
      <c r="C472" s="7">
        <f t="shared" si="35"/>
        <v>-4.8067112572270698E-2</v>
      </c>
      <c r="D472" s="6">
        <f>MAX($B472:$B$1261)</f>
        <v>88.21</v>
      </c>
      <c r="E472" s="7">
        <f t="shared" si="36"/>
        <v>-4.8067112572270698E-2</v>
      </c>
      <c r="G472" s="6">
        <v>9492.73</v>
      </c>
      <c r="H472" s="7">
        <f t="shared" si="37"/>
        <v>-5.2654847385570469E-2</v>
      </c>
      <c r="I472" s="6">
        <f>MAX($G472:$G$1261)</f>
        <v>10020.35</v>
      </c>
      <c r="J472" s="7">
        <f t="shared" si="38"/>
        <v>-5.2654847385570469E-2</v>
      </c>
      <c r="K472" s="6">
        <f t="shared" si="39"/>
        <v>158.63996577437152</v>
      </c>
    </row>
    <row r="473" spans="1:11" x14ac:dyDescent="0.25">
      <c r="A473" s="2">
        <f>DATE(2020,6,10)</f>
        <v>43992</v>
      </c>
      <c r="B473" s="6">
        <v>88.21</v>
      </c>
      <c r="C473" s="7">
        <f t="shared" si="35"/>
        <v>2.5697674418604599E-2</v>
      </c>
      <c r="D473" s="6">
        <f>MAX($B473:$B$1261)</f>
        <v>88.21</v>
      </c>
      <c r="E473" s="7">
        <f t="shared" si="36"/>
        <v>0</v>
      </c>
      <c r="G473" s="6">
        <v>10020.35</v>
      </c>
      <c r="H473" s="7">
        <f t="shared" si="37"/>
        <v>6.6909456235086928E-3</v>
      </c>
      <c r="I473" s="6">
        <f>MAX($G473:$G$1261)</f>
        <v>10020.35</v>
      </c>
      <c r="J473" s="7">
        <f t="shared" si="38"/>
        <v>0</v>
      </c>
      <c r="K473" s="6">
        <f t="shared" si="39"/>
        <v>167.45741014936945</v>
      </c>
    </row>
    <row r="474" spans="1:11" x14ac:dyDescent="0.25">
      <c r="A474" s="2">
        <f>DATE(2020,6,9)</f>
        <v>43991</v>
      </c>
      <c r="B474" s="6">
        <v>86</v>
      </c>
      <c r="C474" s="7">
        <f t="shared" si="35"/>
        <v>3.1669865642994344E-2</v>
      </c>
      <c r="D474" s="6">
        <f>MAX($B474:$B$1261)</f>
        <v>86</v>
      </c>
      <c r="E474" s="7">
        <f t="shared" si="36"/>
        <v>0</v>
      </c>
      <c r="G474" s="6">
        <v>9953.75</v>
      </c>
      <c r="H474" s="7">
        <f t="shared" si="37"/>
        <v>2.9219879593944675E-3</v>
      </c>
      <c r="I474" s="6">
        <f>MAX($G474:$G$1261)</f>
        <v>9953.75</v>
      </c>
      <c r="J474" s="7">
        <f t="shared" si="38"/>
        <v>0</v>
      </c>
      <c r="K474" s="6">
        <f t="shared" si="39"/>
        <v>166.34440875561094</v>
      </c>
    </row>
    <row r="475" spans="1:11" x14ac:dyDescent="0.25">
      <c r="A475" s="2">
        <f>DATE(2020,6,8)</f>
        <v>43990</v>
      </c>
      <c r="B475" s="6">
        <v>83.36</v>
      </c>
      <c r="C475" s="7">
        <f t="shared" si="35"/>
        <v>5.791505791505891E-3</v>
      </c>
      <c r="D475" s="6">
        <f>MAX($B475:$B$1261)</f>
        <v>83.36</v>
      </c>
      <c r="E475" s="7">
        <f t="shared" si="36"/>
        <v>0</v>
      </c>
      <c r="G475" s="6">
        <v>9924.75</v>
      </c>
      <c r="H475" s="7">
        <f t="shared" si="37"/>
        <v>1.1276655580553685E-2</v>
      </c>
      <c r="I475" s="6">
        <f>MAX($G475:$G$1261)</f>
        <v>9924.75</v>
      </c>
      <c r="J475" s="7">
        <f t="shared" si="38"/>
        <v>0</v>
      </c>
      <c r="K475" s="6">
        <f t="shared" si="39"/>
        <v>165.85976850907946</v>
      </c>
    </row>
    <row r="476" spans="1:11" x14ac:dyDescent="0.25">
      <c r="A476" s="2">
        <f>DATE(2020,6,5)</f>
        <v>43987</v>
      </c>
      <c r="B476" s="6">
        <v>82.88</v>
      </c>
      <c r="C476" s="7">
        <f t="shared" si="35"/>
        <v>2.8543062794738061E-2</v>
      </c>
      <c r="D476" s="6">
        <f>MAX($B476:$B$1261)</f>
        <v>82.88</v>
      </c>
      <c r="E476" s="7">
        <f t="shared" si="36"/>
        <v>0</v>
      </c>
      <c r="G476" s="6">
        <v>9814.08</v>
      </c>
      <c r="H476" s="7">
        <f t="shared" si="37"/>
        <v>2.0619167808016314E-2</v>
      </c>
      <c r="I476" s="6">
        <f>MAX($G476:$G$1261)</f>
        <v>9817.18</v>
      </c>
      <c r="J476" s="7">
        <f t="shared" si="38"/>
        <v>-3.1577296127816012E-4</v>
      </c>
      <c r="K476" s="6">
        <f t="shared" si="39"/>
        <v>164.01028105791949</v>
      </c>
    </row>
    <row r="477" spans="1:11" x14ac:dyDescent="0.25">
      <c r="A477" s="2">
        <f>DATE(2020,6,4)</f>
        <v>43986</v>
      </c>
      <c r="B477" s="6">
        <v>80.58</v>
      </c>
      <c r="C477" s="7">
        <f t="shared" si="35"/>
        <v>-8.612204724409489E-3</v>
      </c>
      <c r="D477" s="6">
        <f>MAX($B477:$B$1261)</f>
        <v>81.8</v>
      </c>
      <c r="E477" s="7">
        <f t="shared" si="36"/>
        <v>-1.4914425427872802E-2</v>
      </c>
      <c r="G477" s="6">
        <v>9615.81</v>
      </c>
      <c r="H477" s="7">
        <f t="shared" si="37"/>
        <v>-6.9297349660381036E-3</v>
      </c>
      <c r="I477" s="6">
        <f>MAX($G477:$G$1261)</f>
        <v>9817.18</v>
      </c>
      <c r="J477" s="7">
        <f t="shared" si="38"/>
        <v>-2.0512000391151086E-2</v>
      </c>
      <c r="K477" s="6">
        <f t="shared" si="39"/>
        <v>160.69684582758165</v>
      </c>
    </row>
    <row r="478" spans="1:11" x14ac:dyDescent="0.25">
      <c r="A478" s="2">
        <f>DATE(2020,6,3)</f>
        <v>43985</v>
      </c>
      <c r="B478" s="6">
        <v>81.28</v>
      </c>
      <c r="C478" s="7">
        <f t="shared" si="35"/>
        <v>5.5672398861810191E-3</v>
      </c>
      <c r="D478" s="6">
        <f>MAX($B478:$B$1261)</f>
        <v>81.8</v>
      </c>
      <c r="E478" s="7">
        <f t="shared" si="36"/>
        <v>-6.3569682151588536E-3</v>
      </c>
      <c r="G478" s="6">
        <v>9682.91</v>
      </c>
      <c r="H478" s="7">
        <f t="shared" si="37"/>
        <v>7.7567706522847502E-3</v>
      </c>
      <c r="I478" s="6">
        <f>MAX($G478:$G$1261)</f>
        <v>9817.18</v>
      </c>
      <c r="J478" s="7">
        <f t="shared" si="38"/>
        <v>-1.3677043713164139E-2</v>
      </c>
      <c r="K478" s="6">
        <f t="shared" si="39"/>
        <v>161.81820308765967</v>
      </c>
    </row>
    <row r="479" spans="1:11" x14ac:dyDescent="0.25">
      <c r="A479" s="2">
        <f>DATE(2020,6,2)</f>
        <v>43984</v>
      </c>
      <c r="B479" s="6">
        <v>80.83</v>
      </c>
      <c r="C479" s="7">
        <f t="shared" si="35"/>
        <v>4.5985582898335764E-3</v>
      </c>
      <c r="D479" s="6">
        <f>MAX($B479:$B$1261)</f>
        <v>81.8</v>
      </c>
      <c r="E479" s="7">
        <f t="shared" si="36"/>
        <v>-1.1858190709046479E-2</v>
      </c>
      <c r="G479" s="6">
        <v>9608.3799999999992</v>
      </c>
      <c r="H479" s="7">
        <f t="shared" si="37"/>
        <v>5.8971634361211223E-3</v>
      </c>
      <c r="I479" s="6">
        <f>MAX($G479:$G$1261)</f>
        <v>9817.18</v>
      </c>
      <c r="J479" s="7">
        <f t="shared" si="38"/>
        <v>-2.1268836875762753E-2</v>
      </c>
      <c r="K479" s="6">
        <f t="shared" si="39"/>
        <v>160.57267765407377</v>
      </c>
    </row>
    <row r="480" spans="1:11" x14ac:dyDescent="0.25">
      <c r="A480" s="2">
        <f>DATE(2020,6,1)</f>
        <v>43983</v>
      </c>
      <c r="B480" s="6">
        <v>80.459999999999994</v>
      </c>
      <c r="C480" s="7">
        <f t="shared" si="35"/>
        <v>1.2202792804126394E-2</v>
      </c>
      <c r="D480" s="6">
        <f>MAX($B480:$B$1261)</f>
        <v>81.8</v>
      </c>
      <c r="E480" s="7">
        <f t="shared" si="36"/>
        <v>-1.6381418092909605E-2</v>
      </c>
      <c r="G480" s="6">
        <v>9552.0499999999993</v>
      </c>
      <c r="H480" s="7">
        <f t="shared" si="37"/>
        <v>6.5522499254466737E-3</v>
      </c>
      <c r="I480" s="6">
        <f>MAX($G480:$G$1261)</f>
        <v>9817.18</v>
      </c>
      <c r="J480" s="7">
        <f t="shared" si="38"/>
        <v>-2.7006737168922323E-2</v>
      </c>
      <c r="K480" s="6">
        <f t="shared" si="39"/>
        <v>159.63130575451797</v>
      </c>
    </row>
    <row r="481" spans="1:11" x14ac:dyDescent="0.25">
      <c r="A481" s="2">
        <f>DATE(2020,5,29)</f>
        <v>43980</v>
      </c>
      <c r="B481" s="6">
        <v>79.489999999999995</v>
      </c>
      <c r="C481" s="7">
        <f t="shared" si="35"/>
        <v>-8.7983911513334068E-4</v>
      </c>
      <c r="D481" s="6">
        <f>MAX($B481:$B$1261)</f>
        <v>81.8</v>
      </c>
      <c r="E481" s="7">
        <f t="shared" si="36"/>
        <v>-2.8239608801955973E-2</v>
      </c>
      <c r="G481" s="6">
        <v>9489.8700000000008</v>
      </c>
      <c r="H481" s="7">
        <f t="shared" si="37"/>
        <v>1.2902137797137225E-2</v>
      </c>
      <c r="I481" s="6">
        <f>MAX($G481:$G$1261)</f>
        <v>9817.18</v>
      </c>
      <c r="J481" s="7">
        <f t="shared" si="38"/>
        <v>-3.3340531598687106E-2</v>
      </c>
      <c r="K481" s="6">
        <f t="shared" si="39"/>
        <v>158.59217021902396</v>
      </c>
    </row>
    <row r="482" spans="1:11" x14ac:dyDescent="0.25">
      <c r="A482" s="2">
        <f>DATE(2020,5,28)</f>
        <v>43979</v>
      </c>
      <c r="B482" s="6">
        <v>79.56</v>
      </c>
      <c r="C482" s="7">
        <f t="shared" si="35"/>
        <v>3.772161448509781E-4</v>
      </c>
      <c r="D482" s="6">
        <f>MAX($B482:$B$1261)</f>
        <v>81.8</v>
      </c>
      <c r="E482" s="7">
        <f t="shared" si="36"/>
        <v>-2.7383863080684523E-2</v>
      </c>
      <c r="G482" s="6">
        <v>9368.99</v>
      </c>
      <c r="H482" s="7">
        <f t="shared" si="37"/>
        <v>-4.6077710584806475E-3</v>
      </c>
      <c r="I482" s="6">
        <f>MAX($G482:$G$1261)</f>
        <v>9817.18</v>
      </c>
      <c r="J482" s="7">
        <f t="shared" si="38"/>
        <v>-4.5653639843621141E-2</v>
      </c>
      <c r="K482" s="6">
        <f t="shared" si="39"/>
        <v>156.57205597761961</v>
      </c>
    </row>
    <row r="483" spans="1:11" x14ac:dyDescent="0.25">
      <c r="A483" s="2">
        <f>DATE(2020,5,27)</f>
        <v>43978</v>
      </c>
      <c r="B483" s="6">
        <v>79.53</v>
      </c>
      <c r="C483" s="7">
        <f t="shared" si="35"/>
        <v>4.4203081586258186E-3</v>
      </c>
      <c r="D483" s="6">
        <f>MAX($B483:$B$1261)</f>
        <v>81.8</v>
      </c>
      <c r="E483" s="7">
        <f t="shared" si="36"/>
        <v>-2.7750611246943668E-2</v>
      </c>
      <c r="G483" s="6">
        <v>9412.36</v>
      </c>
      <c r="H483" s="7">
        <f t="shared" si="37"/>
        <v>7.7235868105891559E-3</v>
      </c>
      <c r="I483" s="6">
        <f>MAX($G483:$G$1261)</f>
        <v>9817.18</v>
      </c>
      <c r="J483" s="7">
        <f t="shared" si="38"/>
        <v>-4.1235874253095051E-2</v>
      </c>
      <c r="K483" s="6">
        <f t="shared" si="39"/>
        <v>157.29684382217377</v>
      </c>
    </row>
    <row r="484" spans="1:11" x14ac:dyDescent="0.25">
      <c r="A484" s="2">
        <f>DATE(2020,5,26)</f>
        <v>43977</v>
      </c>
      <c r="B484" s="6">
        <v>79.180000000000007</v>
      </c>
      <c r="C484" s="7">
        <f t="shared" si="35"/>
        <v>-6.7737079779226494E-3</v>
      </c>
      <c r="D484" s="6">
        <f>MAX($B484:$B$1261)</f>
        <v>81.8</v>
      </c>
      <c r="E484" s="7">
        <f t="shared" si="36"/>
        <v>-3.2029339853300587E-2</v>
      </c>
      <c r="G484" s="6">
        <v>9340.2199999999993</v>
      </c>
      <c r="H484" s="7">
        <f t="shared" si="37"/>
        <v>1.6762131096379473E-3</v>
      </c>
      <c r="I484" s="6">
        <f>MAX($G484:$G$1261)</f>
        <v>9817.18</v>
      </c>
      <c r="J484" s="7">
        <f t="shared" si="38"/>
        <v>-4.8584216648772993E-2</v>
      </c>
      <c r="K484" s="6">
        <f t="shared" si="39"/>
        <v>156.09125942959511</v>
      </c>
    </row>
    <row r="485" spans="1:11" x14ac:dyDescent="0.25">
      <c r="A485" s="2">
        <f>DATE(2020,5,22)</f>
        <v>43973</v>
      </c>
      <c r="B485" s="6">
        <v>79.72</v>
      </c>
      <c r="C485" s="7">
        <f t="shared" si="35"/>
        <v>6.4385809872491429E-3</v>
      </c>
      <c r="D485" s="6">
        <f>MAX($B485:$B$1261)</f>
        <v>81.8</v>
      </c>
      <c r="E485" s="7">
        <f t="shared" si="36"/>
        <v>-2.5427872860635636E-2</v>
      </c>
      <c r="G485" s="6">
        <v>9324.59</v>
      </c>
      <c r="H485" s="7">
        <f t="shared" si="37"/>
        <v>4.2768457966071427E-3</v>
      </c>
      <c r="I485" s="6">
        <f>MAX($G485:$G$1261)</f>
        <v>9817.18</v>
      </c>
      <c r="J485" s="7">
        <f t="shared" si="38"/>
        <v>-5.0176323547087898E-2</v>
      </c>
      <c r="K485" s="6">
        <f t="shared" si="39"/>
        <v>155.83005504844729</v>
      </c>
    </row>
    <row r="486" spans="1:11" x14ac:dyDescent="0.25">
      <c r="A486" s="2">
        <f>DATE(2020,5,21)</f>
        <v>43972</v>
      </c>
      <c r="B486" s="6">
        <v>79.209999999999994</v>
      </c>
      <c r="C486" s="7">
        <f t="shared" si="35"/>
        <v>-7.5178549054004673E-3</v>
      </c>
      <c r="D486" s="6">
        <f>MAX($B486:$B$1261)</f>
        <v>81.8</v>
      </c>
      <c r="E486" s="7">
        <f t="shared" si="36"/>
        <v>-3.1662591687041552E-2</v>
      </c>
      <c r="G486" s="6">
        <v>9284.8799999999992</v>
      </c>
      <c r="H486" s="7">
        <f t="shared" si="37"/>
        <v>-9.6951933599126461E-3</v>
      </c>
      <c r="I486" s="6">
        <f>MAX($G486:$G$1261)</f>
        <v>9817.18</v>
      </c>
      <c r="J486" s="7">
        <f t="shared" si="38"/>
        <v>-5.4221273318814656E-2</v>
      </c>
      <c r="K486" s="6">
        <f t="shared" si="39"/>
        <v>155.16643214535191</v>
      </c>
    </row>
    <row r="487" spans="1:11" x14ac:dyDescent="0.25">
      <c r="A487" s="2">
        <f>DATE(2020,5,20)</f>
        <v>43971</v>
      </c>
      <c r="B487" s="6">
        <v>79.81</v>
      </c>
      <c r="C487" s="7">
        <f t="shared" si="35"/>
        <v>1.9414995529441814E-2</v>
      </c>
      <c r="D487" s="6">
        <f>MAX($B487:$B$1261)</f>
        <v>81.8</v>
      </c>
      <c r="E487" s="7">
        <f t="shared" si="36"/>
        <v>-2.4327628361858089E-2</v>
      </c>
      <c r="G487" s="6">
        <v>9375.7800000000007</v>
      </c>
      <c r="H487" s="7">
        <f t="shared" si="37"/>
        <v>2.0759708658588449E-2</v>
      </c>
      <c r="I487" s="6">
        <f>MAX($G487:$G$1261)</f>
        <v>9817.18</v>
      </c>
      <c r="J487" s="7">
        <f t="shared" si="38"/>
        <v>-4.4961995196176496E-2</v>
      </c>
      <c r="K487" s="6">
        <f t="shared" si="39"/>
        <v>156.68552864223855</v>
      </c>
    </row>
    <row r="488" spans="1:11" x14ac:dyDescent="0.25">
      <c r="A488" s="2">
        <f>DATE(2020,5,19)</f>
        <v>43970</v>
      </c>
      <c r="B488" s="6">
        <v>78.290000000000006</v>
      </c>
      <c r="C488" s="7">
        <f t="shared" si="35"/>
        <v>-5.7150114300227317E-3</v>
      </c>
      <c r="D488" s="6">
        <f>MAX($B488:$B$1261)</f>
        <v>81.8</v>
      </c>
      <c r="E488" s="7">
        <f t="shared" si="36"/>
        <v>-4.2909535452322678E-2</v>
      </c>
      <c r="G488" s="6">
        <v>9185.1</v>
      </c>
      <c r="H488" s="7">
        <f t="shared" si="37"/>
        <v>-5.3850476944350412E-3</v>
      </c>
      <c r="I488" s="6">
        <f>MAX($G488:$G$1261)</f>
        <v>9817.18</v>
      </c>
      <c r="J488" s="7">
        <f t="shared" si="38"/>
        <v>-6.4385088182145944E-2</v>
      </c>
      <c r="K488" s="6">
        <f t="shared" si="39"/>
        <v>153.49893546263087</v>
      </c>
    </row>
    <row r="489" spans="1:11" x14ac:dyDescent="0.25">
      <c r="A489" s="2">
        <f>DATE(2020,5,18)</f>
        <v>43969</v>
      </c>
      <c r="B489" s="6">
        <v>78.739999999999995</v>
      </c>
      <c r="C489" s="7">
        <f t="shared" si="35"/>
        <v>2.352788249057558E-2</v>
      </c>
      <c r="D489" s="6">
        <f>MAX($B489:$B$1261)</f>
        <v>81.8</v>
      </c>
      <c r="E489" s="7">
        <f t="shared" si="36"/>
        <v>-3.7408312958435275E-2</v>
      </c>
      <c r="G489" s="6">
        <v>9234.83</v>
      </c>
      <c r="H489" s="7">
        <f t="shared" si="37"/>
        <v>2.4434914183276923E-2</v>
      </c>
      <c r="I489" s="6">
        <f>MAX($G489:$G$1261)</f>
        <v>9817.18</v>
      </c>
      <c r="J489" s="7">
        <f t="shared" si="38"/>
        <v>-5.9319478709772056E-2</v>
      </c>
      <c r="K489" s="6">
        <f t="shared" si="39"/>
        <v>154.33000992676915</v>
      </c>
    </row>
    <row r="490" spans="1:11" x14ac:dyDescent="0.25">
      <c r="A490" s="2">
        <f>DATE(2020,5,15)</f>
        <v>43966</v>
      </c>
      <c r="B490" s="6">
        <v>76.930000000000007</v>
      </c>
      <c r="C490" s="7">
        <f t="shared" si="35"/>
        <v>-5.9439204031528359E-3</v>
      </c>
      <c r="D490" s="6">
        <f>MAX($B490:$B$1261)</f>
        <v>81.8</v>
      </c>
      <c r="E490" s="7">
        <f t="shared" si="36"/>
        <v>-5.9535452322738269E-2</v>
      </c>
      <c r="G490" s="6">
        <v>9014.56</v>
      </c>
      <c r="H490" s="7">
        <f t="shared" si="37"/>
        <v>7.9206415227668359E-3</v>
      </c>
      <c r="I490" s="6">
        <f>MAX($G490:$G$1261)</f>
        <v>9817.18</v>
      </c>
      <c r="J490" s="7">
        <f t="shared" si="38"/>
        <v>-8.1756675542263735E-2</v>
      </c>
      <c r="K490" s="6">
        <f t="shared" si="39"/>
        <v>150.64891657837296</v>
      </c>
    </row>
    <row r="491" spans="1:11" x14ac:dyDescent="0.25">
      <c r="A491" s="2">
        <f>DATE(2020,5,14)</f>
        <v>43965</v>
      </c>
      <c r="B491" s="6">
        <v>77.39</v>
      </c>
      <c r="C491" s="7">
        <f t="shared" si="35"/>
        <v>6.2410609803666972E-3</v>
      </c>
      <c r="D491" s="6">
        <f>MAX($B491:$B$1261)</f>
        <v>81.8</v>
      </c>
      <c r="E491" s="7">
        <f t="shared" si="36"/>
        <v>-5.3911980440097707E-2</v>
      </c>
      <c r="G491" s="6">
        <v>8943.7199999999993</v>
      </c>
      <c r="H491" s="7">
        <f t="shared" si="37"/>
        <v>9.0881704852776579E-3</v>
      </c>
      <c r="I491" s="6">
        <f>MAX($G491:$G$1261)</f>
        <v>9817.18</v>
      </c>
      <c r="J491" s="7">
        <f t="shared" si="38"/>
        <v>-8.8972597018695865E-2</v>
      </c>
      <c r="K491" s="6">
        <f t="shared" si="39"/>
        <v>149.46505743822502</v>
      </c>
    </row>
    <row r="492" spans="1:11" x14ac:dyDescent="0.25">
      <c r="A492" s="2">
        <f>DATE(2020,5,13)</f>
        <v>43964</v>
      </c>
      <c r="B492" s="6">
        <v>76.91</v>
      </c>
      <c r="C492" s="7">
        <f t="shared" si="35"/>
        <v>-1.2074502247912622E-2</v>
      </c>
      <c r="D492" s="6">
        <f>MAX($B492:$B$1261)</f>
        <v>81.8</v>
      </c>
      <c r="E492" s="7">
        <f t="shared" si="36"/>
        <v>-5.9779951100244477E-2</v>
      </c>
      <c r="G492" s="6">
        <v>8863.17</v>
      </c>
      <c r="H492" s="7">
        <f t="shared" si="37"/>
        <v>-1.5482280020660766E-2</v>
      </c>
      <c r="I492" s="6">
        <f>MAX($G492:$G$1261)</f>
        <v>9817.18</v>
      </c>
      <c r="J492" s="7">
        <f t="shared" si="38"/>
        <v>-9.7177600899647332E-2</v>
      </c>
      <c r="K492" s="6">
        <f t="shared" si="39"/>
        <v>148.11892737415226</v>
      </c>
    </row>
    <row r="493" spans="1:11" x14ac:dyDescent="0.25">
      <c r="A493" s="2">
        <f>DATE(2020,5,12)</f>
        <v>43963</v>
      </c>
      <c r="B493" s="6">
        <v>77.849999999999994</v>
      </c>
      <c r="C493" s="7">
        <f t="shared" si="35"/>
        <v>-1.1428571428571455E-2</v>
      </c>
      <c r="D493" s="6">
        <f>MAX($B493:$B$1261)</f>
        <v>81.8</v>
      </c>
      <c r="E493" s="7">
        <f t="shared" si="36"/>
        <v>-4.8288508557457255E-2</v>
      </c>
      <c r="G493" s="6">
        <v>9002.5499999999993</v>
      </c>
      <c r="H493" s="7">
        <f t="shared" si="37"/>
        <v>-2.0646538313421892E-2</v>
      </c>
      <c r="I493" s="6">
        <f>MAX($G493:$G$1261)</f>
        <v>9817.18</v>
      </c>
      <c r="J493" s="7">
        <f t="shared" si="38"/>
        <v>-8.2980041111602398E-2</v>
      </c>
      <c r="K493" s="6">
        <f t="shared" si="39"/>
        <v>150.44820866937837</v>
      </c>
    </row>
    <row r="494" spans="1:11" x14ac:dyDescent="0.25">
      <c r="A494" s="2">
        <f>DATE(2020,5,11)</f>
        <v>43962</v>
      </c>
      <c r="B494" s="6">
        <v>78.75</v>
      </c>
      <c r="C494" s="7">
        <f t="shared" si="35"/>
        <v>1.5735844189346038E-2</v>
      </c>
      <c r="D494" s="6">
        <f>MAX($B494:$B$1261)</f>
        <v>81.8</v>
      </c>
      <c r="E494" s="7">
        <f t="shared" si="36"/>
        <v>-3.7286063569682115E-2</v>
      </c>
      <c r="G494" s="6">
        <v>9192.34</v>
      </c>
      <c r="H494" s="7">
        <f t="shared" si="37"/>
        <v>7.7861537584473783E-3</v>
      </c>
      <c r="I494" s="6">
        <f>MAX($G494:$G$1261)</f>
        <v>9817.18</v>
      </c>
      <c r="J494" s="7">
        <f t="shared" si="38"/>
        <v>-6.3647605524193351E-2</v>
      </c>
      <c r="K494" s="6">
        <f t="shared" si="39"/>
        <v>153.61992840693733</v>
      </c>
    </row>
    <row r="495" spans="1:11" x14ac:dyDescent="0.25">
      <c r="A495" s="2">
        <f>DATE(2020,5,8)</f>
        <v>43959</v>
      </c>
      <c r="B495" s="6">
        <v>77.53</v>
      </c>
      <c r="C495" s="7">
        <f t="shared" si="35"/>
        <v>2.1072040036876016E-2</v>
      </c>
      <c r="D495" s="6">
        <f>MAX($B495:$B$1261)</f>
        <v>81.8</v>
      </c>
      <c r="E495" s="7">
        <f t="shared" si="36"/>
        <v>-5.2200488997554917E-2</v>
      </c>
      <c r="G495" s="6">
        <v>9121.32</v>
      </c>
      <c r="H495" s="7">
        <f t="shared" si="37"/>
        <v>1.5775652975725141E-2</v>
      </c>
      <c r="I495" s="6">
        <f>MAX($G495:$G$1261)</f>
        <v>9817.18</v>
      </c>
      <c r="J495" s="7">
        <f t="shared" si="38"/>
        <v>-7.0881862204828727E-2</v>
      </c>
      <c r="K495" s="6">
        <f t="shared" si="39"/>
        <v>152.43306115491436</v>
      </c>
    </row>
    <row r="496" spans="1:11" x14ac:dyDescent="0.25">
      <c r="A496" s="2">
        <f>DATE(2020,5,7)</f>
        <v>43958</v>
      </c>
      <c r="B496" s="6">
        <v>75.930000000000007</v>
      </c>
      <c r="C496" s="7">
        <f t="shared" si="35"/>
        <v>1.0244811069717974E-2</v>
      </c>
      <c r="D496" s="6">
        <f>MAX($B496:$B$1261)</f>
        <v>81.8</v>
      </c>
      <c r="E496" s="7">
        <f t="shared" si="36"/>
        <v>-7.1760391198043894E-2</v>
      </c>
      <c r="G496" s="6">
        <v>8979.66</v>
      </c>
      <c r="H496" s="7">
        <f t="shared" si="37"/>
        <v>1.4147784319416656E-2</v>
      </c>
      <c r="I496" s="6">
        <f>MAX($G496:$G$1261)</f>
        <v>9817.18</v>
      </c>
      <c r="J496" s="7">
        <f t="shared" si="38"/>
        <v>-8.5311667912781552E-2</v>
      </c>
      <c r="K496" s="6">
        <f t="shared" si="39"/>
        <v>150.06567710927126</v>
      </c>
    </row>
    <row r="497" spans="1:11" x14ac:dyDescent="0.25">
      <c r="A497" s="2">
        <f>DATE(2020,5,6)</f>
        <v>43957</v>
      </c>
      <c r="B497" s="6">
        <v>75.16</v>
      </c>
      <c r="C497" s="7">
        <f t="shared" si="35"/>
        <v>1.0350853609355948E-2</v>
      </c>
      <c r="D497" s="6">
        <f>MAX($B497:$B$1261)</f>
        <v>81.8</v>
      </c>
      <c r="E497" s="7">
        <f t="shared" si="36"/>
        <v>-8.1173594132029403E-2</v>
      </c>
      <c r="G497" s="6">
        <v>8854.39</v>
      </c>
      <c r="H497" s="7">
        <f t="shared" si="37"/>
        <v>5.1389923170530594E-3</v>
      </c>
      <c r="I497" s="6">
        <f>MAX($G497:$G$1261)</f>
        <v>9817.18</v>
      </c>
      <c r="J497" s="7">
        <f t="shared" si="38"/>
        <v>-9.8071951415783398E-2</v>
      </c>
      <c r="K497" s="6">
        <f t="shared" si="39"/>
        <v>147.97219836158166</v>
      </c>
    </row>
    <row r="498" spans="1:11" x14ac:dyDescent="0.25">
      <c r="A498" s="2">
        <f>DATE(2020,5,5)</f>
        <v>43956</v>
      </c>
      <c r="B498" s="6">
        <v>74.39</v>
      </c>
      <c r="C498" s="7">
        <f t="shared" si="35"/>
        <v>1.5008868877063541E-2</v>
      </c>
      <c r="D498" s="6">
        <f>MAX($B498:$B$1261)</f>
        <v>81.8</v>
      </c>
      <c r="E498" s="7">
        <f t="shared" si="36"/>
        <v>-9.0586797066014579E-2</v>
      </c>
      <c r="G498" s="6">
        <v>8809.1200000000008</v>
      </c>
      <c r="H498" s="7">
        <f t="shared" si="37"/>
        <v>1.1297586534278148E-2</v>
      </c>
      <c r="I498" s="6">
        <f>MAX($G498:$G$1261)</f>
        <v>9817.18</v>
      </c>
      <c r="J498" s="7">
        <f t="shared" si="38"/>
        <v>-0.10268325527289912</v>
      </c>
      <c r="K498" s="6">
        <f t="shared" si="39"/>
        <v>147.21565822501341</v>
      </c>
    </row>
    <row r="499" spans="1:11" x14ac:dyDescent="0.25">
      <c r="A499" s="2">
        <f>DATE(2020,5,4)</f>
        <v>43955</v>
      </c>
      <c r="B499" s="6">
        <v>73.290000000000006</v>
      </c>
      <c r="C499" s="7">
        <f t="shared" si="35"/>
        <v>1.4113740141137532E-2</v>
      </c>
      <c r="D499" s="6">
        <f>MAX($B499:$B$1261)</f>
        <v>81.8</v>
      </c>
      <c r="E499" s="7">
        <f t="shared" si="36"/>
        <v>-0.1040342298288508</v>
      </c>
      <c r="G499" s="6">
        <v>8710.7099999999991</v>
      </c>
      <c r="H499" s="7">
        <f t="shared" si="37"/>
        <v>1.2290600177804478E-2</v>
      </c>
      <c r="I499" s="6">
        <f>MAX($G499:$G$1261)</f>
        <v>9817.18</v>
      </c>
      <c r="J499" s="7">
        <f t="shared" si="38"/>
        <v>-0.11270751885979491</v>
      </c>
      <c r="K499" s="6">
        <f t="shared" si="39"/>
        <v>145.57105661600775</v>
      </c>
    </row>
    <row r="500" spans="1:11" x14ac:dyDescent="0.25">
      <c r="A500" s="2">
        <f>DATE(2020,5,1)</f>
        <v>43952</v>
      </c>
      <c r="B500" s="6">
        <v>72.27</v>
      </c>
      <c r="C500" s="7">
        <f t="shared" si="35"/>
        <v>-1.6065350578625015E-2</v>
      </c>
      <c r="D500" s="6">
        <f>MAX($B500:$B$1261)</f>
        <v>81.8</v>
      </c>
      <c r="E500" s="7">
        <f t="shared" si="36"/>
        <v>-0.11650366748166263</v>
      </c>
      <c r="G500" s="6">
        <v>8604.9500000000007</v>
      </c>
      <c r="H500" s="7">
        <f t="shared" si="37"/>
        <v>-3.2015118875533433E-2</v>
      </c>
      <c r="I500" s="6">
        <f>MAX($G500:$G$1261)</f>
        <v>9817.18</v>
      </c>
      <c r="J500" s="7">
        <f t="shared" si="38"/>
        <v>-0.12348046995165618</v>
      </c>
      <c r="K500" s="6">
        <f t="shared" si="39"/>
        <v>143.8036237721054</v>
      </c>
    </row>
    <row r="501" spans="1:11" x14ac:dyDescent="0.25">
      <c r="A501" s="2">
        <f>DATE(2020,4,30)</f>
        <v>43951</v>
      </c>
      <c r="B501" s="6">
        <v>73.45</v>
      </c>
      <c r="C501" s="7">
        <f t="shared" si="35"/>
        <v>2.1131655776449376E-2</v>
      </c>
      <c r="D501" s="6">
        <f>MAX($B501:$B$1261)</f>
        <v>81.8</v>
      </c>
      <c r="E501" s="7">
        <f t="shared" si="36"/>
        <v>-0.10207823960880191</v>
      </c>
      <c r="G501" s="6">
        <v>8889.5499999999993</v>
      </c>
      <c r="H501" s="7">
        <f t="shared" si="37"/>
        <v>-2.8223015667363516E-3</v>
      </c>
      <c r="I501" s="6">
        <f>MAX($G501:$G$1261)</f>
        <v>9817.18</v>
      </c>
      <c r="J501" s="7">
        <f t="shared" si="38"/>
        <v>-9.4490474861416485E-2</v>
      </c>
      <c r="K501" s="6">
        <f t="shared" si="39"/>
        <v>148.55978288116947</v>
      </c>
    </row>
    <row r="502" spans="1:11" x14ac:dyDescent="0.25">
      <c r="A502" s="2">
        <f>DATE(2020,4,29)</f>
        <v>43950</v>
      </c>
      <c r="B502" s="6">
        <v>71.930000000000007</v>
      </c>
      <c r="C502" s="7">
        <f t="shared" si="35"/>
        <v>3.2883400344629665E-2</v>
      </c>
      <c r="D502" s="6">
        <f>MAX($B502:$B$1261)</f>
        <v>81.8</v>
      </c>
      <c r="E502" s="7">
        <f t="shared" si="36"/>
        <v>-0.12066014669926639</v>
      </c>
      <c r="G502" s="6">
        <v>8914.7099999999991</v>
      </c>
      <c r="H502" s="7">
        <f t="shared" si="37"/>
        <v>3.5663293342147018E-2</v>
      </c>
      <c r="I502" s="6">
        <f>MAX($G502:$G$1261)</f>
        <v>9817.18</v>
      </c>
      <c r="J502" s="7">
        <f t="shared" si="38"/>
        <v>-9.1927620762785378E-2</v>
      </c>
      <c r="K502" s="6">
        <f t="shared" si="39"/>
        <v>148.98025007436712</v>
      </c>
    </row>
    <row r="503" spans="1:11" x14ac:dyDescent="0.25">
      <c r="A503" s="2">
        <f>DATE(2020,4,28)</f>
        <v>43949</v>
      </c>
      <c r="B503" s="6">
        <v>69.64</v>
      </c>
      <c r="C503" s="7">
        <f t="shared" si="35"/>
        <v>-1.6245232377454566E-2</v>
      </c>
      <c r="D503" s="6">
        <f>MAX($B503:$B$1261)</f>
        <v>81.8</v>
      </c>
      <c r="E503" s="7">
        <f t="shared" si="36"/>
        <v>-0.14865525672371638</v>
      </c>
      <c r="G503" s="6">
        <v>8607.73</v>
      </c>
      <c r="H503" s="7">
        <f t="shared" si="37"/>
        <v>-1.4023797960174833E-2</v>
      </c>
      <c r="I503" s="6">
        <f>MAX($G503:$G$1261)</f>
        <v>9817.18</v>
      </c>
      <c r="J503" s="7">
        <f t="shared" si="38"/>
        <v>-0.12319729290896175</v>
      </c>
      <c r="K503" s="6">
        <f t="shared" si="39"/>
        <v>143.85008238884183</v>
      </c>
    </row>
    <row r="504" spans="1:11" x14ac:dyDescent="0.25">
      <c r="A504" s="2">
        <f>DATE(2020,4,27)</f>
        <v>43948</v>
      </c>
      <c r="B504" s="6">
        <v>70.790000000000006</v>
      </c>
      <c r="C504" s="7">
        <f t="shared" si="35"/>
        <v>7.0681368391301014E-4</v>
      </c>
      <c r="D504" s="6">
        <f>MAX($B504:$B$1261)</f>
        <v>81.8</v>
      </c>
      <c r="E504" s="7">
        <f t="shared" si="36"/>
        <v>-0.1345965770171148</v>
      </c>
      <c r="G504" s="6">
        <v>8730.16</v>
      </c>
      <c r="H504" s="7">
        <f t="shared" si="37"/>
        <v>1.107646979797372E-2</v>
      </c>
      <c r="I504" s="6">
        <f>MAX($G504:$G$1261)</f>
        <v>9817.18</v>
      </c>
      <c r="J504" s="7">
        <f t="shared" si="38"/>
        <v>-0.11072629818338875</v>
      </c>
      <c r="K504" s="6">
        <f t="shared" si="39"/>
        <v>145.89609981583661</v>
      </c>
    </row>
    <row r="505" spans="1:11" x14ac:dyDescent="0.25">
      <c r="A505" s="2">
        <f>DATE(2020,4,24)</f>
        <v>43945</v>
      </c>
      <c r="B505" s="6">
        <v>70.739999999999995</v>
      </c>
      <c r="C505" s="7">
        <f t="shared" si="35"/>
        <v>2.8795811518324443E-2</v>
      </c>
      <c r="D505" s="6">
        <f>MAX($B505:$B$1261)</f>
        <v>81.8</v>
      </c>
      <c r="E505" s="7">
        <f t="shared" si="36"/>
        <v>-0.13520782396088027</v>
      </c>
      <c r="G505" s="6">
        <v>8634.52</v>
      </c>
      <c r="H505" s="7">
        <f t="shared" si="37"/>
        <v>1.6453691986226815E-2</v>
      </c>
      <c r="I505" s="6">
        <f>MAX($G505:$G$1261)</f>
        <v>9817.18</v>
      </c>
      <c r="J505" s="7">
        <f t="shared" si="38"/>
        <v>-0.12046840335004549</v>
      </c>
      <c r="K505" s="6">
        <f t="shared" si="39"/>
        <v>144.29778970624108</v>
      </c>
    </row>
    <row r="506" spans="1:11" x14ac:dyDescent="0.25">
      <c r="A506" s="2">
        <f>DATE(2020,4,23)</f>
        <v>43944</v>
      </c>
      <c r="B506" s="6">
        <v>68.760000000000005</v>
      </c>
      <c r="C506" s="7">
        <f t="shared" si="35"/>
        <v>-3.9113428943936546E-3</v>
      </c>
      <c r="D506" s="6">
        <f>MAX($B506:$B$1261)</f>
        <v>81.8</v>
      </c>
      <c r="E506" s="7">
        <f t="shared" si="36"/>
        <v>-0.1594132029339852</v>
      </c>
      <c r="G506" s="6">
        <v>8494.75</v>
      </c>
      <c r="H506" s="7">
        <f t="shared" si="37"/>
        <v>-7.4157954087938904E-5</v>
      </c>
      <c r="I506" s="6">
        <f>MAX($G506:$G$1261)</f>
        <v>9817.18</v>
      </c>
      <c r="J506" s="7">
        <f t="shared" si="38"/>
        <v>-0.13470568941386429</v>
      </c>
      <c r="K506" s="6">
        <f t="shared" si="39"/>
        <v>141.96199083528572</v>
      </c>
    </row>
    <row r="507" spans="1:11" x14ac:dyDescent="0.25">
      <c r="A507" s="2">
        <f>DATE(2020,4,22)</f>
        <v>43943</v>
      </c>
      <c r="B507" s="6">
        <v>69.03</v>
      </c>
      <c r="C507" s="7">
        <f t="shared" si="35"/>
        <v>2.8916380980771983E-2</v>
      </c>
      <c r="D507" s="6">
        <f>MAX($B507:$B$1261)</f>
        <v>81.8</v>
      </c>
      <c r="E507" s="7">
        <f t="shared" si="36"/>
        <v>-0.15611246943765278</v>
      </c>
      <c r="G507" s="6">
        <v>8495.3799999999992</v>
      </c>
      <c r="H507" s="7">
        <f t="shared" si="37"/>
        <v>2.8094340832822029E-2</v>
      </c>
      <c r="I507" s="6">
        <f>MAX($G507:$G$1261)</f>
        <v>9817.18</v>
      </c>
      <c r="J507" s="7">
        <f t="shared" si="38"/>
        <v>-0.13464151619915299</v>
      </c>
      <c r="K507" s="6">
        <f t="shared" si="39"/>
        <v>141.97251922684831</v>
      </c>
    </row>
    <row r="508" spans="1:11" x14ac:dyDescent="0.25">
      <c r="A508" s="2">
        <f>DATE(2020,4,21)</f>
        <v>43942</v>
      </c>
      <c r="B508" s="6">
        <v>67.09</v>
      </c>
      <c r="C508" s="7">
        <f t="shared" si="35"/>
        <v>-3.0911454571717512E-2</v>
      </c>
      <c r="D508" s="6">
        <f>MAX($B508:$B$1261)</f>
        <v>81.8</v>
      </c>
      <c r="E508" s="7">
        <f t="shared" si="36"/>
        <v>-0.17982885085574563</v>
      </c>
      <c r="G508" s="6">
        <v>8263.23</v>
      </c>
      <c r="H508" s="7">
        <f t="shared" si="37"/>
        <v>-3.4751709258439401E-2</v>
      </c>
      <c r="I508" s="6">
        <f>MAX($G508:$G$1261)</f>
        <v>9817.18</v>
      </c>
      <c r="J508" s="7">
        <f t="shared" si="38"/>
        <v>-0.15828883650905867</v>
      </c>
      <c r="K508" s="6">
        <f t="shared" si="39"/>
        <v>138.09289049470061</v>
      </c>
    </row>
    <row r="509" spans="1:11" x14ac:dyDescent="0.25">
      <c r="A509" s="2">
        <f>DATE(2020,4,20)</f>
        <v>43941</v>
      </c>
      <c r="B509" s="6">
        <v>69.23</v>
      </c>
      <c r="C509" s="7">
        <f t="shared" si="35"/>
        <v>-2.0792079207920811E-2</v>
      </c>
      <c r="D509" s="6">
        <f>MAX($B509:$B$1261)</f>
        <v>81.8</v>
      </c>
      <c r="E509" s="7">
        <f t="shared" si="36"/>
        <v>-0.15366748166259159</v>
      </c>
      <c r="G509" s="6">
        <v>8560.73</v>
      </c>
      <c r="H509" s="7">
        <f t="shared" si="37"/>
        <v>-1.033624889308149E-2</v>
      </c>
      <c r="I509" s="6">
        <f>MAX($G509:$G$1261)</f>
        <v>9817.18</v>
      </c>
      <c r="J509" s="7">
        <f t="shared" si="38"/>
        <v>-0.1279848184509198</v>
      </c>
      <c r="K509" s="6">
        <f t="shared" si="39"/>
        <v>143.06463095480802</v>
      </c>
    </row>
    <row r="510" spans="1:11" x14ac:dyDescent="0.25">
      <c r="A510" s="2">
        <f>DATE(2020,4,17)</f>
        <v>43938</v>
      </c>
      <c r="B510" s="6">
        <v>70.7</v>
      </c>
      <c r="C510" s="7">
        <f t="shared" si="35"/>
        <v>-1.3534254220733954E-2</v>
      </c>
      <c r="D510" s="6">
        <f>MAX($B510:$B$1261)</f>
        <v>81.8</v>
      </c>
      <c r="E510" s="7">
        <f t="shared" si="36"/>
        <v>-0.13569682151589235</v>
      </c>
      <c r="G510" s="6">
        <v>8650.14</v>
      </c>
      <c r="H510" s="7">
        <f t="shared" si="37"/>
        <v>1.3803918259426284E-2</v>
      </c>
      <c r="I510" s="6">
        <f>MAX($G510:$G$1261)</f>
        <v>9817.18</v>
      </c>
      <c r="J510" s="7">
        <f t="shared" si="38"/>
        <v>-0.11887731507418631</v>
      </c>
      <c r="K510" s="6">
        <f t="shared" si="39"/>
        <v>144.55882697006248</v>
      </c>
    </row>
    <row r="511" spans="1:11" x14ac:dyDescent="0.25">
      <c r="A511" s="2">
        <f>DATE(2020,4,16)</f>
        <v>43937</v>
      </c>
      <c r="B511" s="6">
        <v>71.67</v>
      </c>
      <c r="C511" s="7">
        <f t="shared" si="35"/>
        <v>7.875123048797672E-3</v>
      </c>
      <c r="D511" s="6">
        <f>MAX($B511:$B$1261)</f>
        <v>81.8</v>
      </c>
      <c r="E511" s="7">
        <f t="shared" si="36"/>
        <v>-0.12383863080684587</v>
      </c>
      <c r="G511" s="6">
        <v>8532.36</v>
      </c>
      <c r="H511" s="7">
        <f t="shared" si="37"/>
        <v>1.6582511038724324E-2</v>
      </c>
      <c r="I511" s="6">
        <f>MAX($G511:$G$1261)</f>
        <v>9817.18</v>
      </c>
      <c r="J511" s="7">
        <f t="shared" si="38"/>
        <v>-0.13087465035784207</v>
      </c>
      <c r="K511" s="6">
        <f t="shared" si="39"/>
        <v>142.59051909983913</v>
      </c>
    </row>
    <row r="512" spans="1:11" x14ac:dyDescent="0.25">
      <c r="A512" s="2">
        <f>DATE(2020,4,15)</f>
        <v>43936</v>
      </c>
      <c r="B512" s="6">
        <v>71.11</v>
      </c>
      <c r="C512" s="7">
        <f t="shared" si="35"/>
        <v>-9.0579710144927938E-3</v>
      </c>
      <c r="D512" s="6">
        <f>MAX($B512:$B$1261)</f>
        <v>81.8</v>
      </c>
      <c r="E512" s="7">
        <f t="shared" si="36"/>
        <v>-0.13068459657701714</v>
      </c>
      <c r="G512" s="6">
        <v>8393.18</v>
      </c>
      <c r="H512" s="7">
        <f t="shared" si="37"/>
        <v>-1.4392172612127552E-2</v>
      </c>
      <c r="I512" s="6">
        <f>MAX($G512:$G$1261)</f>
        <v>9817.18</v>
      </c>
      <c r="J512" s="7">
        <f t="shared" si="38"/>
        <v>-0.14505183769677243</v>
      </c>
      <c r="K512" s="6">
        <f t="shared" si="39"/>
        <v>140.26458015114079</v>
      </c>
    </row>
    <row r="513" spans="1:11" x14ac:dyDescent="0.25">
      <c r="A513" s="2">
        <f>DATE(2020,4,14)</f>
        <v>43935</v>
      </c>
      <c r="B513" s="6">
        <v>71.760000000000005</v>
      </c>
      <c r="C513" s="7">
        <f t="shared" si="35"/>
        <v>5.0505050505050608E-2</v>
      </c>
      <c r="D513" s="6">
        <f>MAX($B513:$B$1261)</f>
        <v>81.8</v>
      </c>
      <c r="E513" s="7">
        <f t="shared" si="36"/>
        <v>-0.12273838630806833</v>
      </c>
      <c r="G513" s="6">
        <v>8515.74</v>
      </c>
      <c r="H513" s="7">
        <f t="shared" si="37"/>
        <v>3.9465750046994597E-2</v>
      </c>
      <c r="I513" s="6">
        <f>MAX($G513:$G$1261)</f>
        <v>9817.18</v>
      </c>
      <c r="J513" s="7">
        <f t="shared" si="38"/>
        <v>-0.13256760087927499</v>
      </c>
      <c r="K513" s="6">
        <f t="shared" si="39"/>
        <v>142.31277010337865</v>
      </c>
    </row>
    <row r="514" spans="1:11" x14ac:dyDescent="0.25">
      <c r="A514" s="2">
        <f>DATE(2020,4,13)</f>
        <v>43934</v>
      </c>
      <c r="B514" s="6">
        <v>68.31</v>
      </c>
      <c r="C514" s="7">
        <f t="shared" ref="C514:C577" si="40">IFERROR(B514/B515-1,0)</f>
        <v>1.9552238805970124E-2</v>
      </c>
      <c r="D514" s="6">
        <f>MAX($B514:$B$1261)</f>
        <v>81.8</v>
      </c>
      <c r="E514" s="7">
        <f t="shared" ref="E514:E577" si="41">$B514/$D514-1</f>
        <v>-0.16491442542787282</v>
      </c>
      <c r="G514" s="6">
        <v>8192.42</v>
      </c>
      <c r="H514" s="7">
        <f t="shared" ref="H514:H577" si="42">IFERROR(G514/G515-1,0)</f>
        <v>4.7635517159334562E-3</v>
      </c>
      <c r="I514" s="6">
        <f>MAX($G514:$G$1261)</f>
        <v>9817.18</v>
      </c>
      <c r="J514" s="7">
        <f t="shared" ref="J514:J577" si="43">$G514/$I514-1</f>
        <v>-0.16550170211812354</v>
      </c>
      <c r="K514" s="6">
        <f t="shared" ref="K514:K577" si="44">$K515*(1+H514)</f>
        <v>136.90953270653185</v>
      </c>
    </row>
    <row r="515" spans="1:11" x14ac:dyDescent="0.25">
      <c r="A515" s="2">
        <f>DATE(2020,4,9)</f>
        <v>43930</v>
      </c>
      <c r="B515" s="6">
        <v>67</v>
      </c>
      <c r="C515" s="7">
        <f t="shared" si="40"/>
        <v>7.2158749248347753E-3</v>
      </c>
      <c r="D515" s="6">
        <f>MAX($B515:$B$1261)</f>
        <v>81.8</v>
      </c>
      <c r="E515" s="7">
        <f t="shared" si="41"/>
        <v>-0.18092909535452317</v>
      </c>
      <c r="G515" s="6">
        <v>8153.58</v>
      </c>
      <c r="H515" s="7">
        <f t="shared" si="42"/>
        <v>7.7469749966012635E-3</v>
      </c>
      <c r="I515" s="6">
        <f>MAX($G515:$G$1261)</f>
        <v>9817.18</v>
      </c>
      <c r="J515" s="7">
        <f t="shared" si="43"/>
        <v>-0.16945803173620122</v>
      </c>
      <c r="K515" s="6">
        <f t="shared" si="44"/>
        <v>136.26044901083245</v>
      </c>
    </row>
    <row r="516" spans="1:11" x14ac:dyDescent="0.25">
      <c r="A516" s="2">
        <f>DATE(2020,4,8)</f>
        <v>43929</v>
      </c>
      <c r="B516" s="6">
        <v>66.52</v>
      </c>
      <c r="C516" s="7">
        <f t="shared" si="40"/>
        <v>2.5593586185630457E-2</v>
      </c>
      <c r="D516" s="6">
        <f>MAX($B516:$B$1261)</f>
        <v>81.8</v>
      </c>
      <c r="E516" s="7">
        <f t="shared" si="41"/>
        <v>-0.18679706601466994</v>
      </c>
      <c r="G516" s="6">
        <v>8090.9</v>
      </c>
      <c r="H516" s="7">
        <f t="shared" si="42"/>
        <v>2.5818852174265716E-2</v>
      </c>
      <c r="I516" s="6">
        <f>MAX($G516:$G$1261)</f>
        <v>9817.18</v>
      </c>
      <c r="J516" s="7">
        <f t="shared" si="43"/>
        <v>-0.17584275728875309</v>
      </c>
      <c r="K516" s="6">
        <f t="shared" si="44"/>
        <v>135.21295760901887</v>
      </c>
    </row>
    <row r="517" spans="1:11" x14ac:dyDescent="0.25">
      <c r="A517" s="2">
        <f>DATE(2020,4,7)</f>
        <v>43928</v>
      </c>
      <c r="B517" s="6">
        <v>64.86</v>
      </c>
      <c r="C517" s="7">
        <f t="shared" si="40"/>
        <v>-1.1581834806461577E-2</v>
      </c>
      <c r="D517" s="6">
        <f>MAX($B517:$B$1261)</f>
        <v>81.8</v>
      </c>
      <c r="E517" s="7">
        <f t="shared" si="41"/>
        <v>-0.20709046454767721</v>
      </c>
      <c r="G517" s="6">
        <v>7887.26</v>
      </c>
      <c r="H517" s="7">
        <f t="shared" si="42"/>
        <v>-3.2831052767260394E-3</v>
      </c>
      <c r="I517" s="6">
        <f>MAX($G517:$G$1261)</f>
        <v>9817.18</v>
      </c>
      <c r="J517" s="7">
        <f t="shared" si="43"/>
        <v>-0.19658598497735602</v>
      </c>
      <c r="K517" s="6">
        <f t="shared" si="44"/>
        <v>131.80978037440957</v>
      </c>
    </row>
    <row r="518" spans="1:11" x14ac:dyDescent="0.25">
      <c r="A518" s="2">
        <f>DATE(2020,4,6)</f>
        <v>43927</v>
      </c>
      <c r="B518" s="6">
        <v>65.62</v>
      </c>
      <c r="C518" s="7">
        <f t="shared" si="40"/>
        <v>8.7323943661971937E-2</v>
      </c>
      <c r="D518" s="6">
        <f>MAX($B518:$B$1261)</f>
        <v>81.8</v>
      </c>
      <c r="E518" s="7">
        <f t="shared" si="41"/>
        <v>-0.19779951100244486</v>
      </c>
      <c r="G518" s="6">
        <v>7913.24</v>
      </c>
      <c r="H518" s="7">
        <f t="shared" si="42"/>
        <v>7.3261106620299721E-2</v>
      </c>
      <c r="I518" s="6">
        <f>MAX($G518:$G$1261)</f>
        <v>9817.18</v>
      </c>
      <c r="J518" s="7">
        <f t="shared" si="43"/>
        <v>-0.19393960383735454</v>
      </c>
      <c r="K518" s="6">
        <f t="shared" si="44"/>
        <v>132.2439511883712</v>
      </c>
    </row>
    <row r="519" spans="1:11" x14ac:dyDescent="0.25">
      <c r="A519" s="2">
        <f>DATE(2020,4,3)</f>
        <v>43924</v>
      </c>
      <c r="B519" s="6">
        <v>60.35</v>
      </c>
      <c r="C519" s="7">
        <f t="shared" si="40"/>
        <v>-1.4372039849746776E-2</v>
      </c>
      <c r="D519" s="6">
        <f>MAX($B519:$B$1261)</f>
        <v>81.8</v>
      </c>
      <c r="E519" s="7">
        <f t="shared" si="41"/>
        <v>-0.26222493887530562</v>
      </c>
      <c r="G519" s="6">
        <v>7373.08</v>
      </c>
      <c r="H519" s="7">
        <f t="shared" si="42"/>
        <v>-1.5256480631895886E-2</v>
      </c>
      <c r="I519" s="6">
        <f>MAX($G519:$G$1261)</f>
        <v>9817.18</v>
      </c>
      <c r="J519" s="7">
        <f t="shared" si="43"/>
        <v>-0.24896151440637737</v>
      </c>
      <c r="K519" s="6">
        <f t="shared" si="44"/>
        <v>123.21694168608003</v>
      </c>
    </row>
    <row r="520" spans="1:11" x14ac:dyDescent="0.25">
      <c r="A520" s="2">
        <f>DATE(2020,4,2)</f>
        <v>43923</v>
      </c>
      <c r="B520" s="6">
        <v>61.23</v>
      </c>
      <c r="C520" s="7">
        <f t="shared" si="40"/>
        <v>1.6603021749958424E-2</v>
      </c>
      <c r="D520" s="6">
        <f>MAX($B520:$B$1261)</f>
        <v>81.8</v>
      </c>
      <c r="E520" s="7">
        <f t="shared" si="41"/>
        <v>-0.25146699266503669</v>
      </c>
      <c r="G520" s="6">
        <v>7487.31</v>
      </c>
      <c r="H520" s="7">
        <f t="shared" si="42"/>
        <v>1.7217393194558062E-2</v>
      </c>
      <c r="I520" s="6">
        <f>MAX($G520:$G$1261)</f>
        <v>9817.18</v>
      </c>
      <c r="J520" s="7">
        <f t="shared" si="43"/>
        <v>-0.23732579009450783</v>
      </c>
      <c r="K520" s="6">
        <f t="shared" si="44"/>
        <v>125.1259229054349</v>
      </c>
    </row>
    <row r="521" spans="1:11" x14ac:dyDescent="0.25">
      <c r="A521" s="2">
        <f>DATE(2020,4,1)</f>
        <v>43922</v>
      </c>
      <c r="B521" s="6">
        <v>60.23</v>
      </c>
      <c r="C521" s="7">
        <f t="shared" si="40"/>
        <v>-5.2540506528236608E-2</v>
      </c>
      <c r="D521" s="6">
        <f>MAX($B521:$B$1261)</f>
        <v>81.8</v>
      </c>
      <c r="E521" s="7">
        <f t="shared" si="41"/>
        <v>-0.26369193154034232</v>
      </c>
      <c r="G521" s="6">
        <v>7360.58</v>
      </c>
      <c r="H521" s="7">
        <f t="shared" si="42"/>
        <v>-4.4092933858001948E-2</v>
      </c>
      <c r="I521" s="6">
        <f>MAX($G521:$G$1261)</f>
        <v>9817.18</v>
      </c>
      <c r="J521" s="7">
        <f t="shared" si="43"/>
        <v>-0.25023479247604707</v>
      </c>
      <c r="K521" s="6">
        <f t="shared" si="44"/>
        <v>123.00804502809234</v>
      </c>
    </row>
    <row r="522" spans="1:11" x14ac:dyDescent="0.25">
      <c r="A522" s="2">
        <f>DATE(2020,3,31)</f>
        <v>43921</v>
      </c>
      <c r="B522" s="6">
        <v>63.57</v>
      </c>
      <c r="C522" s="7">
        <f t="shared" si="40"/>
        <v>-2.0408163265306367E-3</v>
      </c>
      <c r="D522" s="6">
        <f>MAX($B522:$B$1261)</f>
        <v>81.8</v>
      </c>
      <c r="E522" s="7">
        <f t="shared" si="41"/>
        <v>-0.22286063569682146</v>
      </c>
      <c r="G522" s="6">
        <v>7700.1</v>
      </c>
      <c r="H522" s="7">
        <f t="shared" si="42"/>
        <v>-9.5251570911288885E-3</v>
      </c>
      <c r="I522" s="6">
        <f>MAX($G522:$G$1261)</f>
        <v>9817.18</v>
      </c>
      <c r="J522" s="7">
        <f t="shared" si="43"/>
        <v>-0.21565052285890651</v>
      </c>
      <c r="K522" s="6">
        <f t="shared" si="44"/>
        <v>128.68201249369125</v>
      </c>
    </row>
    <row r="523" spans="1:11" x14ac:dyDescent="0.25">
      <c r="A523" s="2">
        <f>DATE(2020,3,30)</f>
        <v>43920</v>
      </c>
      <c r="B523" s="6">
        <v>63.7</v>
      </c>
      <c r="C523" s="7">
        <f t="shared" si="40"/>
        <v>2.841459476913144E-2</v>
      </c>
      <c r="D523" s="6">
        <f>MAX($B523:$B$1261)</f>
        <v>81.8</v>
      </c>
      <c r="E523" s="7">
        <f t="shared" si="41"/>
        <v>-0.22127139364303172</v>
      </c>
      <c r="G523" s="6">
        <v>7774.15</v>
      </c>
      <c r="H523" s="7">
        <f t="shared" si="42"/>
        <v>3.6224504757156994E-2</v>
      </c>
      <c r="I523" s="6">
        <f>MAX($G523:$G$1261)</f>
        <v>9817.18</v>
      </c>
      <c r="J523" s="7">
        <f t="shared" si="43"/>
        <v>-0.20810762357418333</v>
      </c>
      <c r="K523" s="6">
        <f t="shared" si="44"/>
        <v>129.91951629561041</v>
      </c>
    </row>
    <row r="524" spans="1:11" x14ac:dyDescent="0.25">
      <c r="A524" s="2">
        <f>DATE(2020,3,27)</f>
        <v>43917</v>
      </c>
      <c r="B524" s="6">
        <v>61.94</v>
      </c>
      <c r="C524" s="7">
        <f t="shared" si="40"/>
        <v>-4.1324872310787852E-2</v>
      </c>
      <c r="D524" s="6">
        <f>MAX($B524:$B$1261)</f>
        <v>81.8</v>
      </c>
      <c r="E524" s="7">
        <f t="shared" si="41"/>
        <v>-0.2427872860635697</v>
      </c>
      <c r="G524" s="6">
        <v>7502.38</v>
      </c>
      <c r="H524" s="7">
        <f t="shared" si="42"/>
        <v>-3.7852963883481139E-2</v>
      </c>
      <c r="I524" s="6">
        <f>MAX($G524:$G$1261)</f>
        <v>9817.18</v>
      </c>
      <c r="J524" s="7">
        <f t="shared" si="43"/>
        <v>-0.23579072605371398</v>
      </c>
      <c r="K524" s="6">
        <f t="shared" si="44"/>
        <v>125.37776871630489</v>
      </c>
    </row>
    <row r="525" spans="1:11" x14ac:dyDescent="0.25">
      <c r="A525" s="2">
        <f>DATE(2020,3,26)</f>
        <v>43916</v>
      </c>
      <c r="B525" s="6">
        <v>64.61</v>
      </c>
      <c r="C525" s="7">
        <f t="shared" si="40"/>
        <v>5.2623004235907489E-2</v>
      </c>
      <c r="D525" s="6">
        <f>MAX($B525:$B$1261)</f>
        <v>81.8</v>
      </c>
      <c r="E525" s="7">
        <f t="shared" si="41"/>
        <v>-0.21014669926650364</v>
      </c>
      <c r="G525" s="6">
        <v>7797.54</v>
      </c>
      <c r="H525" s="7">
        <f t="shared" si="42"/>
        <v>5.5961973375946217E-2</v>
      </c>
      <c r="I525" s="6">
        <f>MAX($G525:$G$1261)</f>
        <v>9817.18</v>
      </c>
      <c r="J525" s="7">
        <f t="shared" si="43"/>
        <v>-0.20572506565021731</v>
      </c>
      <c r="K525" s="6">
        <f t="shared" si="44"/>
        <v>130.31040372203699</v>
      </c>
    </row>
    <row r="526" spans="1:11" x14ac:dyDescent="0.25">
      <c r="A526" s="2">
        <f>DATE(2020,3,25)</f>
        <v>43915</v>
      </c>
      <c r="B526" s="6">
        <v>61.38</v>
      </c>
      <c r="C526" s="7">
        <f t="shared" si="40"/>
        <v>-5.50874918988975E-3</v>
      </c>
      <c r="D526" s="6">
        <f>MAX($B526:$B$1261)</f>
        <v>81.8</v>
      </c>
      <c r="E526" s="7">
        <f t="shared" si="41"/>
        <v>-0.24963325183374074</v>
      </c>
      <c r="G526" s="6">
        <v>7384.3</v>
      </c>
      <c r="H526" s="7">
        <f t="shared" si="42"/>
        <v>-4.5242158789731146E-3</v>
      </c>
      <c r="I526" s="6">
        <f>MAX($G526:$G$1261)</f>
        <v>9817.18</v>
      </c>
      <c r="J526" s="7">
        <f t="shared" si="43"/>
        <v>-0.24781862001104182</v>
      </c>
      <c r="K526" s="6">
        <f t="shared" si="44"/>
        <v>123.40444732628981</v>
      </c>
    </row>
    <row r="527" spans="1:11" x14ac:dyDescent="0.25">
      <c r="A527" s="2">
        <f>DATE(2020,3,24)</f>
        <v>43914</v>
      </c>
      <c r="B527" s="6">
        <v>61.72</v>
      </c>
      <c r="C527" s="7">
        <f t="shared" si="40"/>
        <v>0.10037439828846484</v>
      </c>
      <c r="D527" s="6">
        <f>MAX($B527:$B$1261)</f>
        <v>81.8</v>
      </c>
      <c r="E527" s="7">
        <f t="shared" si="41"/>
        <v>-0.24547677261613687</v>
      </c>
      <c r="G527" s="6">
        <v>7417.86</v>
      </c>
      <c r="H527" s="7">
        <f t="shared" si="42"/>
        <v>8.1215099982946182E-2</v>
      </c>
      <c r="I527" s="6">
        <f>MAX($G527:$G$1261)</f>
        <v>9817.18</v>
      </c>
      <c r="J527" s="7">
        <f t="shared" si="43"/>
        <v>-0.24440012304959269</v>
      </c>
      <c r="K527" s="6">
        <f t="shared" si="44"/>
        <v>123.9652930736552</v>
      </c>
    </row>
    <row r="528" spans="1:11" x14ac:dyDescent="0.25">
      <c r="A528" s="2">
        <f>DATE(2020,3,23)</f>
        <v>43913</v>
      </c>
      <c r="B528" s="6">
        <v>56.09</v>
      </c>
      <c r="C528" s="7">
        <f t="shared" si="40"/>
        <v>-2.1287733379863893E-2</v>
      </c>
      <c r="D528" s="6">
        <f>MAX($B528:$B$1261)</f>
        <v>81.8</v>
      </c>
      <c r="E528" s="7">
        <f t="shared" si="41"/>
        <v>-0.31430317848410749</v>
      </c>
      <c r="G528" s="6">
        <v>6860.67</v>
      </c>
      <c r="H528" s="7">
        <f t="shared" si="42"/>
        <v>-2.7400167453544011E-3</v>
      </c>
      <c r="I528" s="6">
        <f>MAX($G528:$G$1261)</f>
        <v>9817.18</v>
      </c>
      <c r="J528" s="7">
        <f t="shared" si="43"/>
        <v>-0.30115674766073353</v>
      </c>
      <c r="K528" s="6">
        <f t="shared" si="44"/>
        <v>114.65368276452159</v>
      </c>
    </row>
    <row r="529" spans="1:11" x14ac:dyDescent="0.25">
      <c r="A529" s="2">
        <f>DATE(2020,3,20)</f>
        <v>43910</v>
      </c>
      <c r="B529" s="6">
        <v>57.31</v>
      </c>
      <c r="C529" s="7">
        <f t="shared" si="40"/>
        <v>-6.356209150326797E-2</v>
      </c>
      <c r="D529" s="6">
        <f>MAX($B529:$B$1261)</f>
        <v>81.8</v>
      </c>
      <c r="E529" s="7">
        <f t="shared" si="41"/>
        <v>-0.29938875305623469</v>
      </c>
      <c r="G529" s="6">
        <v>6879.52</v>
      </c>
      <c r="H529" s="7">
        <f t="shared" si="42"/>
        <v>-3.7907414503438819E-2</v>
      </c>
      <c r="I529" s="6">
        <f>MAX($G529:$G$1261)</f>
        <v>9817.18</v>
      </c>
      <c r="J529" s="7">
        <f t="shared" si="43"/>
        <v>-0.29923664433167163</v>
      </c>
      <c r="K529" s="6">
        <f t="shared" si="44"/>
        <v>114.96869892476707</v>
      </c>
    </row>
    <row r="530" spans="1:11" x14ac:dyDescent="0.25">
      <c r="A530" s="2">
        <f>DATE(2020,3,19)</f>
        <v>43909</v>
      </c>
      <c r="B530" s="6">
        <v>61.2</v>
      </c>
      <c r="C530" s="7">
        <f t="shared" si="40"/>
        <v>-7.6212096643424321E-3</v>
      </c>
      <c r="D530" s="6">
        <f>MAX($B530:$B$1261)</f>
        <v>81.8</v>
      </c>
      <c r="E530" s="7">
        <f t="shared" si="41"/>
        <v>-0.25183374083129584</v>
      </c>
      <c r="G530" s="6">
        <v>7150.58</v>
      </c>
      <c r="H530" s="7">
        <f t="shared" si="42"/>
        <v>2.2996234534696125E-2</v>
      </c>
      <c r="I530" s="6">
        <f>MAX($G530:$G$1261)</f>
        <v>9817.18</v>
      </c>
      <c r="J530" s="7">
        <f t="shared" si="43"/>
        <v>-0.27162586404649813</v>
      </c>
      <c r="K530" s="6">
        <f t="shared" si="44"/>
        <v>119.49858117389888</v>
      </c>
    </row>
    <row r="531" spans="1:11" x14ac:dyDescent="0.25">
      <c r="A531" s="2">
        <f>DATE(2020,3,18)</f>
        <v>43908</v>
      </c>
      <c r="B531" s="6">
        <v>61.67</v>
      </c>
      <c r="C531" s="7">
        <f t="shared" si="40"/>
        <v>-2.4517557734893947E-2</v>
      </c>
      <c r="D531" s="6">
        <f>MAX($B531:$B$1261)</f>
        <v>81.8</v>
      </c>
      <c r="E531" s="7">
        <f t="shared" si="41"/>
        <v>-0.24608801955990212</v>
      </c>
      <c r="G531" s="6">
        <v>6989.84</v>
      </c>
      <c r="H531" s="7">
        <f t="shared" si="42"/>
        <v>-4.7027995386364596E-2</v>
      </c>
      <c r="I531" s="6">
        <f>MAX($G531:$G$1261)</f>
        <v>9817.18</v>
      </c>
      <c r="J531" s="7">
        <f t="shared" si="43"/>
        <v>-0.28799920139999469</v>
      </c>
      <c r="K531" s="6">
        <f t="shared" si="44"/>
        <v>116.81233726950336</v>
      </c>
    </row>
    <row r="532" spans="1:11" x14ac:dyDescent="0.25">
      <c r="A532" s="2">
        <f>DATE(2020,3,17)</f>
        <v>43907</v>
      </c>
      <c r="B532" s="6">
        <v>63.22</v>
      </c>
      <c r="C532" s="7">
        <f t="shared" si="40"/>
        <v>4.4095788604459063E-2</v>
      </c>
      <c r="D532" s="6">
        <f>MAX($B532:$B$1261)</f>
        <v>81.8</v>
      </c>
      <c r="E532" s="7">
        <f t="shared" si="41"/>
        <v>-0.22713936430317849</v>
      </c>
      <c r="G532" s="6">
        <v>7334.78</v>
      </c>
      <c r="H532" s="7">
        <f t="shared" si="42"/>
        <v>6.2304930488269239E-2</v>
      </c>
      <c r="I532" s="6">
        <f>MAX($G532:$G$1261)</f>
        <v>9817.18</v>
      </c>
      <c r="J532" s="7">
        <f t="shared" si="43"/>
        <v>-0.25286283841184543</v>
      </c>
      <c r="K532" s="6">
        <f t="shared" si="44"/>
        <v>122.57688232600572</v>
      </c>
    </row>
    <row r="533" spans="1:11" x14ac:dyDescent="0.25">
      <c r="A533" s="2">
        <f>DATE(2020,3,16)</f>
        <v>43906</v>
      </c>
      <c r="B533" s="6">
        <v>60.55</v>
      </c>
      <c r="C533" s="7">
        <f t="shared" si="40"/>
        <v>-0.12865160454741686</v>
      </c>
      <c r="D533" s="6">
        <f>MAX($B533:$B$1261)</f>
        <v>81.8</v>
      </c>
      <c r="E533" s="7">
        <f t="shared" si="41"/>
        <v>-0.25977995110024454</v>
      </c>
      <c r="G533" s="6">
        <v>6904.59</v>
      </c>
      <c r="H533" s="7">
        <f t="shared" si="42"/>
        <v>-0.12321330610752168</v>
      </c>
      <c r="I533" s="6">
        <f>MAX($G533:$G$1261)</f>
        <v>9817.18</v>
      </c>
      <c r="J533" s="7">
        <f t="shared" si="43"/>
        <v>-0.29668295783514209</v>
      </c>
      <c r="K533" s="6">
        <f t="shared" si="44"/>
        <v>115.3876620620272</v>
      </c>
    </row>
    <row r="534" spans="1:11" x14ac:dyDescent="0.25">
      <c r="A534" s="2">
        <f>DATE(2020,3,13)</f>
        <v>43903</v>
      </c>
      <c r="B534" s="6">
        <v>69.489999999999995</v>
      </c>
      <c r="C534" s="7">
        <f t="shared" si="40"/>
        <v>0.11972284885594564</v>
      </c>
      <c r="D534" s="6">
        <f>MAX($B534:$B$1261)</f>
        <v>81.8</v>
      </c>
      <c r="E534" s="7">
        <f t="shared" si="41"/>
        <v>-0.15048899755501222</v>
      </c>
      <c r="G534" s="6">
        <v>7874.88</v>
      </c>
      <c r="H534" s="7">
        <f t="shared" si="42"/>
        <v>9.3459968341248034E-2</v>
      </c>
      <c r="I534" s="6">
        <f>MAX($G534:$G$1261)</f>
        <v>9817.18</v>
      </c>
      <c r="J534" s="7">
        <f t="shared" si="43"/>
        <v>-0.19784703957755689</v>
      </c>
      <c r="K534" s="6">
        <f t="shared" si="44"/>
        <v>131.60288912433856</v>
      </c>
    </row>
    <row r="535" spans="1:11" x14ac:dyDescent="0.25">
      <c r="A535" s="2">
        <f>DATE(2020,3,12)</f>
        <v>43902</v>
      </c>
      <c r="B535" s="6">
        <v>62.06</v>
      </c>
      <c r="C535" s="7">
        <f t="shared" si="40"/>
        <v>-9.875108916642461E-2</v>
      </c>
      <c r="D535" s="6">
        <f>MAX($B535:$B$1261)</f>
        <v>81.8</v>
      </c>
      <c r="E535" s="7">
        <f t="shared" si="41"/>
        <v>-0.241320293398533</v>
      </c>
      <c r="G535" s="6">
        <v>7201.8</v>
      </c>
      <c r="H535" s="7">
        <f t="shared" si="42"/>
        <v>-9.4346740777535354E-2</v>
      </c>
      <c r="I535" s="6">
        <f>MAX($G535:$G$1261)</f>
        <v>9817.18</v>
      </c>
      <c r="J535" s="7">
        <f t="shared" si="43"/>
        <v>-0.26640847982821947</v>
      </c>
      <c r="K535" s="6">
        <f t="shared" si="44"/>
        <v>120.35455611966931</v>
      </c>
    </row>
    <row r="536" spans="1:11" x14ac:dyDescent="0.25">
      <c r="A536" s="2">
        <f>DATE(2020,3,11)</f>
        <v>43901</v>
      </c>
      <c r="B536" s="6">
        <v>68.86</v>
      </c>
      <c r="C536" s="7">
        <f t="shared" si="40"/>
        <v>-3.4627786345156286E-2</v>
      </c>
      <c r="D536" s="6">
        <f>MAX($B536:$B$1261)</f>
        <v>81.8</v>
      </c>
      <c r="E536" s="7">
        <f t="shared" si="41"/>
        <v>-0.15819070904645471</v>
      </c>
      <c r="G536" s="6">
        <v>7952.05</v>
      </c>
      <c r="H536" s="7">
        <f t="shared" si="42"/>
        <v>-4.700242682086464E-2</v>
      </c>
      <c r="I536" s="6">
        <f>MAX($G536:$G$1261)</f>
        <v>9817.18</v>
      </c>
      <c r="J536" s="7">
        <f t="shared" si="43"/>
        <v>-0.18998633008664401</v>
      </c>
      <c r="K536" s="6">
        <f t="shared" si="44"/>
        <v>132.89253353209148</v>
      </c>
    </row>
    <row r="537" spans="1:11" x14ac:dyDescent="0.25">
      <c r="A537" s="2">
        <f>DATE(2020,3,10)</f>
        <v>43900</v>
      </c>
      <c r="B537" s="6">
        <v>71.33</v>
      </c>
      <c r="C537" s="7">
        <f t="shared" si="40"/>
        <v>7.1986774872257131E-2</v>
      </c>
      <c r="D537" s="6">
        <f>MAX($B537:$B$1261)</f>
        <v>81.8</v>
      </c>
      <c r="E537" s="7">
        <f t="shared" si="41"/>
        <v>-0.12799511002444985</v>
      </c>
      <c r="G537" s="6">
        <v>8344.25</v>
      </c>
      <c r="H537" s="7">
        <f t="shared" si="42"/>
        <v>4.950142629309684E-2</v>
      </c>
      <c r="I537" s="6">
        <f>MAX($G537:$G$1261)</f>
        <v>9817.18</v>
      </c>
      <c r="J537" s="7">
        <f t="shared" si="43"/>
        <v>-0.15003595737268749</v>
      </c>
      <c r="K537" s="6">
        <f t="shared" si="44"/>
        <v>139.44687507311377</v>
      </c>
    </row>
    <row r="538" spans="1:11" x14ac:dyDescent="0.25">
      <c r="A538" s="2">
        <f>DATE(2020,3,9)</f>
        <v>43899</v>
      </c>
      <c r="B538" s="6">
        <v>66.540000000000006</v>
      </c>
      <c r="C538" s="7">
        <f t="shared" si="40"/>
        <v>-7.9158593966233037E-2</v>
      </c>
      <c r="D538" s="6">
        <f>MAX($B538:$B$1261)</f>
        <v>81.8</v>
      </c>
      <c r="E538" s="7">
        <f t="shared" si="41"/>
        <v>-0.18655256723716374</v>
      </c>
      <c r="G538" s="6">
        <v>7950.68</v>
      </c>
      <c r="H538" s="7">
        <f t="shared" si="42"/>
        <v>-7.2874031265377948E-2</v>
      </c>
      <c r="I538" s="6">
        <f>MAX($G538:$G$1261)</f>
        <v>9817.18</v>
      </c>
      <c r="J538" s="7">
        <f t="shared" si="43"/>
        <v>-0.19012588136307984</v>
      </c>
      <c r="K538" s="6">
        <f t="shared" si="44"/>
        <v>132.86963845837604</v>
      </c>
    </row>
    <row r="539" spans="1:11" x14ac:dyDescent="0.25">
      <c r="A539" s="2">
        <f>DATE(2020,3,6)</f>
        <v>43896</v>
      </c>
      <c r="B539" s="6">
        <v>72.260000000000005</v>
      </c>
      <c r="C539" s="7">
        <f t="shared" si="40"/>
        <v>-1.3245937457326162E-2</v>
      </c>
      <c r="D539" s="6">
        <f>MAX($B539:$B$1261)</f>
        <v>81.8</v>
      </c>
      <c r="E539" s="7">
        <f t="shared" si="41"/>
        <v>-0.11662591687041557</v>
      </c>
      <c r="G539" s="6">
        <v>8575.6200000000008</v>
      </c>
      <c r="H539" s="7">
        <f t="shared" si="42"/>
        <v>-1.8649461755271601E-2</v>
      </c>
      <c r="I539" s="6">
        <f>MAX($G539:$G$1261)</f>
        <v>9817.18</v>
      </c>
      <c r="J539" s="7">
        <f t="shared" si="43"/>
        <v>-0.12646808961432909</v>
      </c>
      <c r="K539" s="6">
        <f t="shared" si="44"/>
        <v>143.31346865380306</v>
      </c>
    </row>
    <row r="540" spans="1:11" x14ac:dyDescent="0.25">
      <c r="A540" s="2">
        <f>DATE(2020,3,5)</f>
        <v>43895</v>
      </c>
      <c r="B540" s="6">
        <v>73.23</v>
      </c>
      <c r="C540" s="7">
        <f t="shared" si="40"/>
        <v>-3.2373150105708293E-2</v>
      </c>
      <c r="D540" s="6">
        <f>MAX($B540:$B$1261)</f>
        <v>81.8</v>
      </c>
      <c r="E540" s="7">
        <f t="shared" si="41"/>
        <v>-0.10476772616136909</v>
      </c>
      <c r="G540" s="6">
        <v>8738.59</v>
      </c>
      <c r="H540" s="7">
        <f t="shared" si="42"/>
        <v>-3.0993259104755033E-2</v>
      </c>
      <c r="I540" s="6">
        <f>MAX($G540:$G$1261)</f>
        <v>9817.18</v>
      </c>
      <c r="J540" s="7">
        <f t="shared" si="43"/>
        <v>-0.10986759945320346</v>
      </c>
      <c r="K540" s="6">
        <f t="shared" si="44"/>
        <v>146.03697972198356</v>
      </c>
    </row>
    <row r="541" spans="1:11" x14ac:dyDescent="0.25">
      <c r="A541" s="2">
        <f>DATE(2020,3,4)</f>
        <v>43894</v>
      </c>
      <c r="B541" s="6">
        <v>75.680000000000007</v>
      </c>
      <c r="C541" s="7">
        <f t="shared" si="40"/>
        <v>4.6315498410065103E-2</v>
      </c>
      <c r="D541" s="6">
        <f>MAX($B541:$B$1261)</f>
        <v>81.8</v>
      </c>
      <c r="E541" s="7">
        <f t="shared" si="41"/>
        <v>-7.4816625916870327E-2</v>
      </c>
      <c r="G541" s="6">
        <v>9018.09</v>
      </c>
      <c r="H541" s="7">
        <f t="shared" si="42"/>
        <v>3.8461139854607751E-2</v>
      </c>
      <c r="I541" s="6">
        <f>MAX($G541:$G$1261)</f>
        <v>9817.18</v>
      </c>
      <c r="J541" s="7">
        <f t="shared" si="43"/>
        <v>-8.139710181538895E-2</v>
      </c>
      <c r="K541" s="6">
        <f t="shared" si="44"/>
        <v>150.70790899458868</v>
      </c>
    </row>
    <row r="542" spans="1:11" x14ac:dyDescent="0.25">
      <c r="A542" s="2">
        <f>DATE(2020,3,3)</f>
        <v>43893</v>
      </c>
      <c r="B542" s="6">
        <v>72.33</v>
      </c>
      <c r="C542" s="7">
        <f t="shared" si="40"/>
        <v>-3.1726907630522105E-2</v>
      </c>
      <c r="D542" s="6">
        <f>MAX($B542:$B$1261)</f>
        <v>81.8</v>
      </c>
      <c r="E542" s="7">
        <f t="shared" si="41"/>
        <v>-0.11577017114914423</v>
      </c>
      <c r="G542" s="6">
        <v>8684.09</v>
      </c>
      <c r="H542" s="7">
        <f t="shared" si="42"/>
        <v>-2.9945812020995999E-2</v>
      </c>
      <c r="I542" s="6">
        <f>MAX($G542:$G$1261)</f>
        <v>9817.18</v>
      </c>
      <c r="J542" s="7">
        <f t="shared" si="43"/>
        <v>-0.11541909183696342</v>
      </c>
      <c r="K542" s="6">
        <f t="shared" si="44"/>
        <v>145.12619029315715</v>
      </c>
    </row>
    <row r="543" spans="1:11" x14ac:dyDescent="0.25">
      <c r="A543" s="2">
        <f>DATE(2020,3,2)</f>
        <v>43892</v>
      </c>
      <c r="B543" s="6">
        <v>74.7</v>
      </c>
      <c r="C543" s="7">
        <f t="shared" si="40"/>
        <v>9.3064091308165064E-2</v>
      </c>
      <c r="D543" s="6">
        <f>MAX($B543:$B$1261)</f>
        <v>81.8</v>
      </c>
      <c r="E543" s="7">
        <f t="shared" si="41"/>
        <v>-8.6797066014669855E-2</v>
      </c>
      <c r="G543" s="6">
        <v>8952.17</v>
      </c>
      <c r="H543" s="7">
        <f t="shared" si="42"/>
        <v>4.4914600396620985E-2</v>
      </c>
      <c r="I543" s="6">
        <f>MAX($G543:$G$1261)</f>
        <v>9817.18</v>
      </c>
      <c r="J543" s="7">
        <f t="shared" si="43"/>
        <v>-8.8111861043599138E-2</v>
      </c>
      <c r="K543" s="6">
        <f t="shared" si="44"/>
        <v>149.60627157902471</v>
      </c>
    </row>
    <row r="544" spans="1:11" x14ac:dyDescent="0.25">
      <c r="A544" s="2">
        <f>DATE(2020,2,28)</f>
        <v>43889</v>
      </c>
      <c r="B544" s="6">
        <v>68.34</v>
      </c>
      <c r="C544" s="7">
        <f t="shared" si="40"/>
        <v>-5.8496636443394756E-4</v>
      </c>
      <c r="D544" s="6">
        <f>MAX($B544:$B$1261)</f>
        <v>81.8</v>
      </c>
      <c r="E544" s="7">
        <f t="shared" si="41"/>
        <v>-0.16454767726161357</v>
      </c>
      <c r="G544" s="6">
        <v>8567.3700000000008</v>
      </c>
      <c r="H544" s="7">
        <f t="shared" si="42"/>
        <v>1.038933144070775E-4</v>
      </c>
      <c r="I544" s="6">
        <f>MAX($G544:$G$1261)</f>
        <v>9817.18</v>
      </c>
      <c r="J544" s="7">
        <f t="shared" si="43"/>
        <v>-0.12730845314031114</v>
      </c>
      <c r="K544" s="6">
        <f t="shared" si="44"/>
        <v>143.17559685953117</v>
      </c>
    </row>
    <row r="545" spans="1:11" x14ac:dyDescent="0.25">
      <c r="A545" s="2">
        <f>DATE(2020,2,27)</f>
        <v>43888</v>
      </c>
      <c r="B545" s="6">
        <v>68.38</v>
      </c>
      <c r="C545" s="7">
        <f t="shared" si="40"/>
        <v>-6.5336249316566453E-2</v>
      </c>
      <c r="D545" s="6">
        <f>MAX($B545:$B$1261)</f>
        <v>81.8</v>
      </c>
      <c r="E545" s="7">
        <f t="shared" si="41"/>
        <v>-0.16405867970660148</v>
      </c>
      <c r="G545" s="6">
        <v>8566.48</v>
      </c>
      <c r="H545" s="7">
        <f t="shared" si="42"/>
        <v>-4.6131850462877488E-2</v>
      </c>
      <c r="I545" s="6">
        <f>MAX($G545:$G$1261)</f>
        <v>9817.18</v>
      </c>
      <c r="J545" s="7">
        <f t="shared" si="43"/>
        <v>-0.12739911053887176</v>
      </c>
      <c r="K545" s="6">
        <f t="shared" si="44"/>
        <v>143.16072341748242</v>
      </c>
    </row>
    <row r="546" spans="1:11" x14ac:dyDescent="0.25">
      <c r="A546" s="2">
        <f>DATE(2020,2,26)</f>
        <v>43887</v>
      </c>
      <c r="B546" s="6">
        <v>73.16</v>
      </c>
      <c r="C546" s="7">
        <f t="shared" si="40"/>
        <v>1.5828936406553806E-2</v>
      </c>
      <c r="D546" s="6">
        <f>MAX($B546:$B$1261)</f>
        <v>81.8</v>
      </c>
      <c r="E546" s="7">
        <f t="shared" si="41"/>
        <v>-0.10562347188264065</v>
      </c>
      <c r="G546" s="6">
        <v>8980.7800000000007</v>
      </c>
      <c r="H546" s="7">
        <f t="shared" si="42"/>
        <v>1.6920209556292587E-3</v>
      </c>
      <c r="I546" s="6">
        <f>MAX($G546:$G$1261)</f>
        <v>9817.18</v>
      </c>
      <c r="J546" s="7">
        <f t="shared" si="43"/>
        <v>-8.5197582197738986E-2</v>
      </c>
      <c r="K546" s="6">
        <f t="shared" si="44"/>
        <v>150.08439424982697</v>
      </c>
    </row>
    <row r="547" spans="1:11" x14ac:dyDescent="0.25">
      <c r="A547" s="2">
        <f>DATE(2020,2,25)</f>
        <v>43886</v>
      </c>
      <c r="B547" s="6">
        <v>72.02</v>
      </c>
      <c r="C547" s="7">
        <f t="shared" si="40"/>
        <v>-3.3807351757445758E-2</v>
      </c>
      <c r="D547" s="6">
        <f>MAX($B547:$B$1261)</f>
        <v>81.8</v>
      </c>
      <c r="E547" s="7">
        <f t="shared" si="41"/>
        <v>-0.11955990220048907</v>
      </c>
      <c r="G547" s="6">
        <v>8965.61</v>
      </c>
      <c r="H547" s="7">
        <f t="shared" si="42"/>
        <v>-2.7726085749483764E-2</v>
      </c>
      <c r="I547" s="6">
        <f>MAX($G547:$G$1261)</f>
        <v>9817.18</v>
      </c>
      <c r="J547" s="7">
        <f t="shared" si="43"/>
        <v>-8.6742832463090225E-2</v>
      </c>
      <c r="K547" s="6">
        <f t="shared" si="44"/>
        <v>149.83087726569309</v>
      </c>
    </row>
    <row r="548" spans="1:11" x14ac:dyDescent="0.25">
      <c r="A548" s="2">
        <f>DATE(2020,2,24)</f>
        <v>43885</v>
      </c>
      <c r="B548" s="6">
        <v>74.540000000000006</v>
      </c>
      <c r="C548" s="7">
        <f t="shared" si="40"/>
        <v>-4.7533861487349838E-2</v>
      </c>
      <c r="D548" s="6">
        <f>MAX($B548:$B$1261)</f>
        <v>81.8</v>
      </c>
      <c r="E548" s="7">
        <f t="shared" si="41"/>
        <v>-8.8753056234718741E-2</v>
      </c>
      <c r="G548" s="6">
        <v>9221.2800000000007</v>
      </c>
      <c r="H548" s="7">
        <f t="shared" si="42"/>
        <v>-3.7101932942728011E-2</v>
      </c>
      <c r="I548" s="6">
        <f>MAX($G548:$G$1261)</f>
        <v>9817.18</v>
      </c>
      <c r="J548" s="7">
        <f t="shared" si="43"/>
        <v>-6.0699712137293971E-2</v>
      </c>
      <c r="K548" s="6">
        <f t="shared" si="44"/>
        <v>154.10356594951045</v>
      </c>
    </row>
    <row r="549" spans="1:11" x14ac:dyDescent="0.25">
      <c r="A549" s="2">
        <f>DATE(2020,2,21)</f>
        <v>43882</v>
      </c>
      <c r="B549" s="6">
        <v>78.260000000000005</v>
      </c>
      <c r="C549" s="7">
        <f t="shared" si="40"/>
        <v>-2.2605220432121764E-2</v>
      </c>
      <c r="D549" s="6">
        <f>MAX($B549:$B$1261)</f>
        <v>81.8</v>
      </c>
      <c r="E549" s="7">
        <f t="shared" si="41"/>
        <v>-4.3276283618581823E-2</v>
      </c>
      <c r="G549" s="6">
        <v>9576.59</v>
      </c>
      <c r="H549" s="7">
        <f t="shared" si="42"/>
        <v>-1.7883349041172281E-2</v>
      </c>
      <c r="I549" s="6">
        <f>MAX($G549:$G$1261)</f>
        <v>9817.18</v>
      </c>
      <c r="J549" s="7">
        <f t="shared" si="43"/>
        <v>-2.4507037662546693E-2</v>
      </c>
      <c r="K549" s="6">
        <f t="shared" si="44"/>
        <v>160.04141167347942</v>
      </c>
    </row>
    <row r="550" spans="1:11" x14ac:dyDescent="0.25">
      <c r="A550" s="2">
        <f>DATE(2020,2,20)</f>
        <v>43881</v>
      </c>
      <c r="B550" s="6">
        <v>80.069999999999993</v>
      </c>
      <c r="C550" s="7">
        <f t="shared" si="40"/>
        <v>-1.0259579728059465E-2</v>
      </c>
      <c r="D550" s="6">
        <f>MAX($B550:$B$1261)</f>
        <v>81.8</v>
      </c>
      <c r="E550" s="7">
        <f t="shared" si="41"/>
        <v>-2.1149144254278829E-2</v>
      </c>
      <c r="G550" s="6">
        <v>9750.9699999999993</v>
      </c>
      <c r="H550" s="7">
        <f t="shared" si="42"/>
        <v>-6.7442992794265466E-3</v>
      </c>
      <c r="I550" s="6">
        <f>MAX($G550:$G$1261)</f>
        <v>9817.18</v>
      </c>
      <c r="J550" s="7">
        <f t="shared" si="43"/>
        <v>-6.7442992794265466E-3</v>
      </c>
      <c r="K550" s="6">
        <f t="shared" si="44"/>
        <v>162.95560361107113</v>
      </c>
    </row>
    <row r="551" spans="1:11" x14ac:dyDescent="0.25">
      <c r="A551" s="2">
        <f>DATE(2020,2,19)</f>
        <v>43880</v>
      </c>
      <c r="B551" s="6">
        <v>80.900000000000006</v>
      </c>
      <c r="C551" s="7">
        <f t="shared" si="40"/>
        <v>1.4420062695924774E-2</v>
      </c>
      <c r="D551" s="6">
        <f>MAX($B551:$B$1261)</f>
        <v>81.8</v>
      </c>
      <c r="E551" s="7">
        <f t="shared" si="41"/>
        <v>-1.1002444987774918E-2</v>
      </c>
      <c r="G551" s="6">
        <v>9817.18</v>
      </c>
      <c r="H551" s="7">
        <f t="shared" si="42"/>
        <v>8.675871337362473E-3</v>
      </c>
      <c r="I551" s="6">
        <f>MAX($G551:$G$1261)</f>
        <v>9817.18</v>
      </c>
      <c r="J551" s="7">
        <f t="shared" si="43"/>
        <v>0</v>
      </c>
      <c r="K551" s="6">
        <f t="shared" si="44"/>
        <v>164.06208742910042</v>
      </c>
    </row>
    <row r="552" spans="1:11" x14ac:dyDescent="0.25">
      <c r="A552" s="2">
        <f>DATE(2020,2,18)</f>
        <v>43879</v>
      </c>
      <c r="B552" s="6">
        <v>79.75</v>
      </c>
      <c r="C552" s="7">
        <f t="shared" si="40"/>
        <v>-1.8340718857705496E-2</v>
      </c>
      <c r="D552" s="6">
        <f>MAX($B552:$B$1261)</f>
        <v>81.8</v>
      </c>
      <c r="E552" s="7">
        <f t="shared" si="41"/>
        <v>-2.5061124694376491E-2</v>
      </c>
      <c r="G552" s="6">
        <v>9732.74</v>
      </c>
      <c r="H552" s="7">
        <f t="shared" si="42"/>
        <v>1.6030943832090472E-4</v>
      </c>
      <c r="I552" s="6">
        <f>MAX($G552:$G$1261)</f>
        <v>9732.74</v>
      </c>
      <c r="J552" s="7">
        <f t="shared" si="43"/>
        <v>0</v>
      </c>
      <c r="K552" s="6">
        <f t="shared" si="44"/>
        <v>162.65094872506185</v>
      </c>
    </row>
    <row r="553" spans="1:11" x14ac:dyDescent="0.25">
      <c r="A553" s="2">
        <f>DATE(2020,2,14)</f>
        <v>43875</v>
      </c>
      <c r="B553" s="6">
        <v>81.239999999999995</v>
      </c>
      <c r="C553" s="7">
        <f t="shared" si="40"/>
        <v>2.462447672986201E-4</v>
      </c>
      <c r="D553" s="6">
        <f>MAX($B553:$B$1261)</f>
        <v>81.8</v>
      </c>
      <c r="E553" s="7">
        <f t="shared" si="41"/>
        <v>-6.8459657701711585E-3</v>
      </c>
      <c r="G553" s="6">
        <v>9731.18</v>
      </c>
      <c r="H553" s="7">
        <f t="shared" si="42"/>
        <v>1.9779715135035403E-3</v>
      </c>
      <c r="I553" s="6">
        <f>MAX($G553:$G$1261)</f>
        <v>9731.18</v>
      </c>
      <c r="J553" s="7">
        <f t="shared" si="43"/>
        <v>0</v>
      </c>
      <c r="K553" s="6">
        <f t="shared" si="44"/>
        <v>162.624878422145</v>
      </c>
    </row>
    <row r="554" spans="1:11" x14ac:dyDescent="0.25">
      <c r="A554" s="2">
        <f>DATE(2020,2,13)</f>
        <v>43874</v>
      </c>
      <c r="B554" s="6">
        <v>81.22</v>
      </c>
      <c r="C554" s="7">
        <f t="shared" si="40"/>
        <v>-7.0904645476772554E-3</v>
      </c>
      <c r="D554" s="6">
        <f>MAX($B554:$B$1261)</f>
        <v>81.8</v>
      </c>
      <c r="E554" s="7">
        <f t="shared" si="41"/>
        <v>-7.0904645476772554E-3</v>
      </c>
      <c r="G554" s="6">
        <v>9711.9699999999993</v>
      </c>
      <c r="H554" s="7">
        <f t="shared" si="42"/>
        <v>-1.4384184183360293E-3</v>
      </c>
      <c r="I554" s="6">
        <f>MAX($G554:$G$1261)</f>
        <v>9725.9599999999991</v>
      </c>
      <c r="J554" s="7">
        <f t="shared" si="43"/>
        <v>-1.4384184183360293E-3</v>
      </c>
      <c r="K554" s="6">
        <f t="shared" si="44"/>
        <v>162.30384603814949</v>
      </c>
    </row>
    <row r="555" spans="1:11" x14ac:dyDescent="0.25">
      <c r="A555" s="2">
        <f>DATE(2020,2,12)</f>
        <v>43873</v>
      </c>
      <c r="B555" s="6">
        <v>81.8</v>
      </c>
      <c r="C555" s="7">
        <f t="shared" si="40"/>
        <v>2.3779724655819567E-2</v>
      </c>
      <c r="D555" s="6">
        <f>MAX($B555:$B$1261)</f>
        <v>81.8</v>
      </c>
      <c r="E555" s="7">
        <f t="shared" si="41"/>
        <v>0</v>
      </c>
      <c r="G555" s="6">
        <v>9725.9599999999991</v>
      </c>
      <c r="H555" s="7">
        <f t="shared" si="42"/>
        <v>9.027963655754645E-3</v>
      </c>
      <c r="I555" s="6">
        <f>MAX($G555:$G$1261)</f>
        <v>9725.9599999999991</v>
      </c>
      <c r="J555" s="7">
        <f t="shared" si="43"/>
        <v>0</v>
      </c>
      <c r="K555" s="6">
        <f t="shared" si="44"/>
        <v>162.53764317776933</v>
      </c>
    </row>
    <row r="556" spans="1:11" x14ac:dyDescent="0.25">
      <c r="A556" s="2">
        <f>DATE(2020,2,11)</f>
        <v>43872</v>
      </c>
      <c r="B556" s="6">
        <v>79.900000000000006</v>
      </c>
      <c r="C556" s="7">
        <f t="shared" si="40"/>
        <v>-6.0952854832689862E-3</v>
      </c>
      <c r="D556" s="6">
        <f>MAX($B556:$B$1261)</f>
        <v>81.3</v>
      </c>
      <c r="E556" s="7">
        <f t="shared" si="41"/>
        <v>-1.7220172201721895E-2</v>
      </c>
      <c r="G556" s="6">
        <v>9638.94</v>
      </c>
      <c r="H556" s="7">
        <f t="shared" si="42"/>
        <v>1.0957179756949653E-3</v>
      </c>
      <c r="I556" s="6">
        <f>MAX($G556:$G$1261)</f>
        <v>9638.94</v>
      </c>
      <c r="J556" s="7">
        <f t="shared" si="43"/>
        <v>0</v>
      </c>
      <c r="K556" s="6">
        <f t="shared" si="44"/>
        <v>161.08338820352211</v>
      </c>
    </row>
    <row r="557" spans="1:11" x14ac:dyDescent="0.25">
      <c r="A557" s="2">
        <f>DATE(2020,2,10)</f>
        <v>43871</v>
      </c>
      <c r="B557" s="6">
        <v>80.39</v>
      </c>
      <c r="C557" s="7">
        <f t="shared" si="40"/>
        <v>4.7494063242095041E-3</v>
      </c>
      <c r="D557" s="6">
        <f>MAX($B557:$B$1261)</f>
        <v>81.3</v>
      </c>
      <c r="E557" s="7">
        <f t="shared" si="41"/>
        <v>-1.1193111931119271E-2</v>
      </c>
      <c r="G557" s="6">
        <v>9628.39</v>
      </c>
      <c r="H557" s="7">
        <f t="shared" si="42"/>
        <v>1.1331325737801823E-2</v>
      </c>
      <c r="I557" s="6">
        <f>MAX($G557:$G$1261)</f>
        <v>9628.39</v>
      </c>
      <c r="J557" s="7">
        <f t="shared" si="43"/>
        <v>0</v>
      </c>
      <c r="K557" s="6">
        <f t="shared" si="44"/>
        <v>160.90707942418047</v>
      </c>
    </row>
    <row r="558" spans="1:11" x14ac:dyDescent="0.25">
      <c r="A558" s="2">
        <f>DATE(2020,2,7)</f>
        <v>43868</v>
      </c>
      <c r="B558" s="6">
        <v>80.010000000000005</v>
      </c>
      <c r="C558" s="7">
        <f t="shared" si="40"/>
        <v>-1.5867158671586612E-2</v>
      </c>
      <c r="D558" s="6">
        <f>MAX($B558:$B$1261)</f>
        <v>81.3</v>
      </c>
      <c r="E558" s="7">
        <f t="shared" si="41"/>
        <v>-1.5867158671586612E-2</v>
      </c>
      <c r="G558" s="6">
        <v>9520.51</v>
      </c>
      <c r="H558" s="7">
        <f t="shared" si="42"/>
        <v>-5.3948172563111907E-3</v>
      </c>
      <c r="I558" s="6">
        <f>MAX($G558:$G$1261)</f>
        <v>9572.15</v>
      </c>
      <c r="J558" s="7">
        <f t="shared" si="43"/>
        <v>-5.3948172563111907E-3</v>
      </c>
      <c r="K558" s="6">
        <f t="shared" si="44"/>
        <v>159.10421770708336</v>
      </c>
    </row>
    <row r="559" spans="1:11" x14ac:dyDescent="0.25">
      <c r="A559" s="2">
        <f>DATE(2020,2,6)</f>
        <v>43867</v>
      </c>
      <c r="B559" s="6">
        <v>81.3</v>
      </c>
      <c r="C559" s="7">
        <f t="shared" si="40"/>
        <v>1.1697361871577883E-2</v>
      </c>
      <c r="D559" s="6">
        <f>MAX($B559:$B$1261)</f>
        <v>81.3</v>
      </c>
      <c r="E559" s="7">
        <f t="shared" si="41"/>
        <v>0</v>
      </c>
      <c r="G559" s="6">
        <v>9572.15</v>
      </c>
      <c r="H559" s="7">
        <f t="shared" si="42"/>
        <v>6.674953831656838E-3</v>
      </c>
      <c r="I559" s="6">
        <f>MAX($G559:$G$1261)</f>
        <v>9572.15</v>
      </c>
      <c r="J559" s="7">
        <f t="shared" si="43"/>
        <v>0</v>
      </c>
      <c r="K559" s="6">
        <f t="shared" si="44"/>
        <v>159.96721158056218</v>
      </c>
    </row>
    <row r="560" spans="1:11" x14ac:dyDescent="0.25">
      <c r="A560" s="2">
        <f>DATE(2020,2,5)</f>
        <v>43866</v>
      </c>
      <c r="B560" s="6">
        <v>80.36</v>
      </c>
      <c r="C560" s="7">
        <f t="shared" si="40"/>
        <v>8.1545602810186857E-3</v>
      </c>
      <c r="D560" s="6">
        <f>MAX($B560:$B$1261)</f>
        <v>81.08</v>
      </c>
      <c r="E560" s="7">
        <f t="shared" si="41"/>
        <v>-8.8801184015786516E-3</v>
      </c>
      <c r="G560" s="6">
        <v>9508.68</v>
      </c>
      <c r="H560" s="7">
        <f t="shared" si="42"/>
        <v>4.2997601386569606E-3</v>
      </c>
      <c r="I560" s="6">
        <f>MAX($G560:$G$1261)</f>
        <v>9508.68</v>
      </c>
      <c r="J560" s="7">
        <f t="shared" si="43"/>
        <v>0</v>
      </c>
      <c r="K560" s="6">
        <f t="shared" si="44"/>
        <v>158.90651790996381</v>
      </c>
    </row>
    <row r="561" spans="1:11" x14ac:dyDescent="0.25">
      <c r="A561" s="2">
        <f>DATE(2020,2,4)</f>
        <v>43865</v>
      </c>
      <c r="B561" s="6">
        <v>79.709999999999994</v>
      </c>
      <c r="C561" s="7">
        <f t="shared" si="40"/>
        <v>3.2914344952701624E-2</v>
      </c>
      <c r="D561" s="6">
        <f>MAX($B561:$B$1261)</f>
        <v>81.08</v>
      </c>
      <c r="E561" s="7">
        <f t="shared" si="41"/>
        <v>-1.6896891958559479E-2</v>
      </c>
      <c r="G561" s="6">
        <v>9467.9699999999993</v>
      </c>
      <c r="H561" s="7">
        <f t="shared" si="42"/>
        <v>2.0981517027196084E-2</v>
      </c>
      <c r="I561" s="6">
        <f>MAX($G561:$G$1261)</f>
        <v>9467.9699999999993</v>
      </c>
      <c r="J561" s="7">
        <f t="shared" si="43"/>
        <v>0</v>
      </c>
      <c r="K561" s="6">
        <f t="shared" si="44"/>
        <v>158.22618327422944</v>
      </c>
    </row>
    <row r="562" spans="1:11" x14ac:dyDescent="0.25">
      <c r="A562" s="2">
        <f>DATE(2020,2,3)</f>
        <v>43864</v>
      </c>
      <c r="B562" s="6">
        <v>77.17</v>
      </c>
      <c r="C562" s="7">
        <f t="shared" si="40"/>
        <v>-2.713879555440557E-3</v>
      </c>
      <c r="D562" s="6">
        <f>MAX($B562:$B$1261)</f>
        <v>81.08</v>
      </c>
      <c r="E562" s="7">
        <f t="shared" si="41"/>
        <v>-4.8223976319684225E-2</v>
      </c>
      <c r="G562" s="6">
        <v>9273.4</v>
      </c>
      <c r="H562" s="7">
        <f t="shared" si="42"/>
        <v>1.3382231770725062E-2</v>
      </c>
      <c r="I562" s="6">
        <f>MAX($G562:$G$1261)</f>
        <v>9402.48</v>
      </c>
      <c r="J562" s="7">
        <f t="shared" si="43"/>
        <v>-1.3728292961005972E-2</v>
      </c>
      <c r="K562" s="6">
        <f t="shared" si="44"/>
        <v>154.974581454656</v>
      </c>
    </row>
    <row r="563" spans="1:11" x14ac:dyDescent="0.25">
      <c r="A563" s="2">
        <f>DATE(2020,1,31)</f>
        <v>43861</v>
      </c>
      <c r="B563" s="6">
        <v>77.38</v>
      </c>
      <c r="C563" s="7">
        <f t="shared" si="40"/>
        <v>-4.433740891688287E-2</v>
      </c>
      <c r="D563" s="6">
        <f>MAX($B563:$B$1261)</f>
        <v>81.08</v>
      </c>
      <c r="E563" s="7">
        <f t="shared" si="41"/>
        <v>-4.5633941785890531E-2</v>
      </c>
      <c r="G563" s="6">
        <v>9150.94</v>
      </c>
      <c r="H563" s="7">
        <f t="shared" si="42"/>
        <v>-1.5914734275879083E-2</v>
      </c>
      <c r="I563" s="6">
        <f>MAX($G563:$G$1261)</f>
        <v>9402.48</v>
      </c>
      <c r="J563" s="7">
        <f t="shared" si="43"/>
        <v>-2.6752516357386513E-2</v>
      </c>
      <c r="K563" s="6">
        <f t="shared" si="44"/>
        <v>152.92806267568207</v>
      </c>
    </row>
    <row r="564" spans="1:11" x14ac:dyDescent="0.25">
      <c r="A564" s="2">
        <f>DATE(2020,1,30)</f>
        <v>43860</v>
      </c>
      <c r="B564" s="6">
        <v>80.97</v>
      </c>
      <c r="C564" s="7">
        <f t="shared" si="40"/>
        <v>-1.3566847557967554E-3</v>
      </c>
      <c r="D564" s="6">
        <f>MAX($B564:$B$1261)</f>
        <v>81.08</v>
      </c>
      <c r="E564" s="7">
        <f t="shared" si="41"/>
        <v>-1.3566847557967554E-3</v>
      </c>
      <c r="G564" s="6">
        <v>9298.93</v>
      </c>
      <c r="H564" s="7">
        <f t="shared" si="42"/>
        <v>2.562759025181327E-3</v>
      </c>
      <c r="I564" s="6">
        <f>MAX($G564:$G$1261)</f>
        <v>9402.48</v>
      </c>
      <c r="J564" s="7">
        <f t="shared" si="43"/>
        <v>-1.101305187567525E-2</v>
      </c>
      <c r="K564" s="6">
        <f t="shared" si="44"/>
        <v>155.40123198893014</v>
      </c>
    </row>
    <row r="565" spans="1:11" x14ac:dyDescent="0.25">
      <c r="A565" s="2">
        <f>DATE(2020,1,29)</f>
        <v>43859</v>
      </c>
      <c r="B565" s="6">
        <v>81.08</v>
      </c>
      <c r="C565" s="7">
        <f t="shared" si="40"/>
        <v>2.0901536136993082E-2</v>
      </c>
      <c r="D565" s="6">
        <f>MAX($B565:$B$1261)</f>
        <v>81.08</v>
      </c>
      <c r="E565" s="7">
        <f t="shared" si="41"/>
        <v>0</v>
      </c>
      <c r="G565" s="6">
        <v>9275.16</v>
      </c>
      <c r="H565" s="7">
        <f t="shared" si="42"/>
        <v>5.9117466838110033E-4</v>
      </c>
      <c r="I565" s="6">
        <f>MAX($G565:$G$1261)</f>
        <v>9402.48</v>
      </c>
      <c r="J565" s="7">
        <f t="shared" si="43"/>
        <v>-1.3541108303341209E-2</v>
      </c>
      <c r="K565" s="6">
        <f t="shared" si="44"/>
        <v>155.00399410410068</v>
      </c>
    </row>
    <row r="566" spans="1:11" x14ac:dyDescent="0.25">
      <c r="A566" s="2">
        <f>DATE(2020,1,28)</f>
        <v>43858</v>
      </c>
      <c r="B566" s="6">
        <v>79.42</v>
      </c>
      <c r="C566" s="7">
        <f t="shared" si="40"/>
        <v>2.8223718280683707E-2</v>
      </c>
      <c r="D566" s="6">
        <f>MAX($B566:$B$1261)</f>
        <v>79.81</v>
      </c>
      <c r="E566" s="7">
        <f t="shared" si="41"/>
        <v>-4.8866056885101816E-3</v>
      </c>
      <c r="G566" s="6">
        <v>9269.68</v>
      </c>
      <c r="H566" s="7">
        <f t="shared" si="42"/>
        <v>1.4264753028401467E-2</v>
      </c>
      <c r="I566" s="6">
        <f>MAX($G566:$G$1261)</f>
        <v>9402.48</v>
      </c>
      <c r="J566" s="7">
        <f t="shared" si="43"/>
        <v>-1.4123933260161037E-2</v>
      </c>
      <c r="K566" s="6">
        <f t="shared" si="44"/>
        <v>154.9124138092389</v>
      </c>
    </row>
    <row r="567" spans="1:11" x14ac:dyDescent="0.25">
      <c r="A567" s="2">
        <f>DATE(2020,1,27)</f>
        <v>43857</v>
      </c>
      <c r="B567" s="6">
        <v>77.239999999999995</v>
      </c>
      <c r="C567" s="7">
        <f t="shared" si="40"/>
        <v>-2.9404372958029668E-2</v>
      </c>
      <c r="D567" s="6">
        <f>MAX($B567:$B$1261)</f>
        <v>79.81</v>
      </c>
      <c r="E567" s="7">
        <f t="shared" si="41"/>
        <v>-3.2201478511464821E-2</v>
      </c>
      <c r="G567" s="6">
        <v>9139.31</v>
      </c>
      <c r="H567" s="7">
        <f t="shared" si="42"/>
        <v>-1.8851497223268954E-2</v>
      </c>
      <c r="I567" s="6">
        <f>MAX($G567:$G$1261)</f>
        <v>9402.48</v>
      </c>
      <c r="J567" s="7">
        <f t="shared" si="43"/>
        <v>-2.7989424066841906E-2</v>
      </c>
      <c r="K567" s="6">
        <f t="shared" si="44"/>
        <v>152.73370522509032</v>
      </c>
    </row>
    <row r="568" spans="1:11" x14ac:dyDescent="0.25">
      <c r="A568" s="2">
        <f>DATE(2020,1,24)</f>
        <v>43854</v>
      </c>
      <c r="B568" s="6">
        <v>79.58</v>
      </c>
      <c r="C568" s="7">
        <f t="shared" si="40"/>
        <v>-2.8818443804035088E-3</v>
      </c>
      <c r="D568" s="6">
        <f>MAX($B568:$B$1261)</f>
        <v>79.81</v>
      </c>
      <c r="E568" s="7">
        <f t="shared" si="41"/>
        <v>-2.8818443804035088E-3</v>
      </c>
      <c r="G568" s="6">
        <v>9314.91</v>
      </c>
      <c r="H568" s="7">
        <f t="shared" si="42"/>
        <v>-9.313500268014363E-3</v>
      </c>
      <c r="I568" s="6">
        <f>MAX($G568:$G$1261)</f>
        <v>9402.48</v>
      </c>
      <c r="J568" s="7">
        <f t="shared" si="43"/>
        <v>-9.313500268014363E-3</v>
      </c>
      <c r="K568" s="6">
        <f t="shared" si="44"/>
        <v>155.66828547650164</v>
      </c>
    </row>
    <row r="569" spans="1:11" x14ac:dyDescent="0.25">
      <c r="A569" s="2">
        <f>DATE(2020,1,23)</f>
        <v>43853</v>
      </c>
      <c r="B569" s="6">
        <v>79.81</v>
      </c>
      <c r="C569" s="7">
        <f t="shared" si="40"/>
        <v>4.7840866171471319E-3</v>
      </c>
      <c r="D569" s="6">
        <f>MAX($B569:$B$1261)</f>
        <v>79.81</v>
      </c>
      <c r="E569" s="7">
        <f t="shared" si="41"/>
        <v>0</v>
      </c>
      <c r="G569" s="6">
        <v>9402.48</v>
      </c>
      <c r="H569" s="7">
        <f t="shared" si="42"/>
        <v>1.9938681361542088E-3</v>
      </c>
      <c r="I569" s="6">
        <f>MAX($G569:$G$1261)</f>
        <v>9402.48</v>
      </c>
      <c r="J569" s="7">
        <f t="shared" si="43"/>
        <v>0</v>
      </c>
      <c r="K569" s="6">
        <f t="shared" si="44"/>
        <v>157.13173190370031</v>
      </c>
    </row>
    <row r="570" spans="1:11" x14ac:dyDescent="0.25">
      <c r="A570" s="2">
        <f>DATE(2020,1,22)</f>
        <v>43852</v>
      </c>
      <c r="B570" s="6">
        <v>79.430000000000007</v>
      </c>
      <c r="C570" s="7">
        <f t="shared" si="40"/>
        <v>3.6643922163255294E-3</v>
      </c>
      <c r="D570" s="6">
        <f>MAX($B570:$B$1261)</f>
        <v>79.680000000000007</v>
      </c>
      <c r="E570" s="7">
        <f t="shared" si="41"/>
        <v>-3.1375502008031964E-3</v>
      </c>
      <c r="G570" s="6">
        <v>9383.77</v>
      </c>
      <c r="H570" s="7">
        <f t="shared" si="42"/>
        <v>1.3830181168972278E-3</v>
      </c>
      <c r="I570" s="6">
        <f>MAX($G570:$G$1261)</f>
        <v>9388.94</v>
      </c>
      <c r="J570" s="7">
        <f t="shared" si="43"/>
        <v>-5.5064788996417313E-4</v>
      </c>
      <c r="K570" s="6">
        <f t="shared" si="44"/>
        <v>156.81905538602433</v>
      </c>
    </row>
    <row r="571" spans="1:11" x14ac:dyDescent="0.25">
      <c r="A571" s="2">
        <f>DATE(2020,1,21)</f>
        <v>43851</v>
      </c>
      <c r="B571" s="6">
        <v>79.14</v>
      </c>
      <c r="C571" s="7">
        <f t="shared" si="40"/>
        <v>-6.777108433735024E-3</v>
      </c>
      <c r="D571" s="6">
        <f>MAX($B571:$B$1261)</f>
        <v>79.680000000000007</v>
      </c>
      <c r="E571" s="7">
        <f t="shared" si="41"/>
        <v>-6.777108433735024E-3</v>
      </c>
      <c r="G571" s="6">
        <v>9370.81</v>
      </c>
      <c r="H571" s="7">
        <f t="shared" si="42"/>
        <v>-1.9309954052322276E-3</v>
      </c>
      <c r="I571" s="6">
        <f>MAX($G571:$G$1261)</f>
        <v>9388.94</v>
      </c>
      <c r="J571" s="7">
        <f t="shared" si="43"/>
        <v>-1.9309954052322276E-3</v>
      </c>
      <c r="K571" s="6">
        <f t="shared" si="44"/>
        <v>156.60247133102266</v>
      </c>
    </row>
    <row r="572" spans="1:11" x14ac:dyDescent="0.25">
      <c r="A572" s="2">
        <f>DATE(2020,1,17)</f>
        <v>43847</v>
      </c>
      <c r="B572" s="6">
        <v>79.680000000000007</v>
      </c>
      <c r="C572" s="7">
        <f t="shared" si="40"/>
        <v>1.1039208222306973E-2</v>
      </c>
      <c r="D572" s="6">
        <f>MAX($B572:$B$1261)</f>
        <v>79.680000000000007</v>
      </c>
      <c r="E572" s="7">
        <f t="shared" si="41"/>
        <v>0</v>
      </c>
      <c r="G572" s="6">
        <v>9388.94</v>
      </c>
      <c r="H572" s="7">
        <f t="shared" si="42"/>
        <v>3.3995466558658372E-3</v>
      </c>
      <c r="I572" s="6">
        <f>MAX($G572:$G$1261)</f>
        <v>9388.94</v>
      </c>
      <c r="J572" s="7">
        <f t="shared" si="43"/>
        <v>0</v>
      </c>
      <c r="K572" s="6">
        <f t="shared" si="44"/>
        <v>156.90545504376806</v>
      </c>
    </row>
    <row r="573" spans="1:11" x14ac:dyDescent="0.25">
      <c r="A573" s="2">
        <f>DATE(2020,1,16)</f>
        <v>43846</v>
      </c>
      <c r="B573" s="6">
        <v>78.81</v>
      </c>
      <c r="C573" s="7">
        <f t="shared" si="40"/>
        <v>1.2591545676474469E-2</v>
      </c>
      <c r="D573" s="6">
        <f>MAX($B573:$B$1261)</f>
        <v>79.239999999999995</v>
      </c>
      <c r="E573" s="7">
        <f t="shared" si="41"/>
        <v>-5.4265522463401439E-3</v>
      </c>
      <c r="G573" s="6">
        <v>9357.1299999999992</v>
      </c>
      <c r="H573" s="7">
        <f t="shared" si="42"/>
        <v>1.0631082117359636E-2</v>
      </c>
      <c r="I573" s="6">
        <f>MAX($G573:$G$1261)</f>
        <v>9357.1299999999992</v>
      </c>
      <c r="J573" s="7">
        <f t="shared" si="43"/>
        <v>0</v>
      </c>
      <c r="K573" s="6">
        <f t="shared" si="44"/>
        <v>156.3738548285209</v>
      </c>
    </row>
    <row r="574" spans="1:11" x14ac:dyDescent="0.25">
      <c r="A574" s="2">
        <f>DATE(2020,1,15)</f>
        <v>43845</v>
      </c>
      <c r="B574" s="6">
        <v>77.83</v>
      </c>
      <c r="C574" s="7">
        <f t="shared" si="40"/>
        <v>-4.3494946910579424E-3</v>
      </c>
      <c r="D574" s="6">
        <f>MAX($B574:$B$1261)</f>
        <v>79.239999999999995</v>
      </c>
      <c r="E574" s="7">
        <f t="shared" si="41"/>
        <v>-1.779404341241797E-2</v>
      </c>
      <c r="G574" s="6">
        <v>9258.7000000000007</v>
      </c>
      <c r="H574" s="7">
        <f t="shared" si="42"/>
        <v>7.9664221252517819E-4</v>
      </c>
      <c r="I574" s="6">
        <f>MAX($G574:$G$1261)</f>
        <v>9273.93</v>
      </c>
      <c r="J574" s="7">
        <f t="shared" si="43"/>
        <v>-1.6422379724668756E-3</v>
      </c>
      <c r="K574" s="6">
        <f t="shared" si="44"/>
        <v>154.72891898486253</v>
      </c>
    </row>
    <row r="575" spans="1:11" x14ac:dyDescent="0.25">
      <c r="A575" s="2">
        <f>DATE(2020,1,14)</f>
        <v>43844</v>
      </c>
      <c r="B575" s="6">
        <v>78.17</v>
      </c>
      <c r="C575" s="7">
        <f t="shared" si="40"/>
        <v>-1.3503281171125647E-2</v>
      </c>
      <c r="D575" s="6">
        <f>MAX($B575:$B$1261)</f>
        <v>79.239999999999995</v>
      </c>
      <c r="E575" s="7">
        <f t="shared" si="41"/>
        <v>-1.3503281171125647E-2</v>
      </c>
      <c r="G575" s="6">
        <v>9251.33</v>
      </c>
      <c r="H575" s="7">
        <f t="shared" si="42"/>
        <v>-2.4369388166614048E-3</v>
      </c>
      <c r="I575" s="6">
        <f>MAX($G575:$G$1261)</f>
        <v>9273.93</v>
      </c>
      <c r="J575" s="7">
        <f t="shared" si="43"/>
        <v>-2.4369388166614048E-3</v>
      </c>
      <c r="K575" s="6">
        <f t="shared" si="44"/>
        <v>154.60575351531298</v>
      </c>
    </row>
    <row r="576" spans="1:11" x14ac:dyDescent="0.25">
      <c r="A576" s="2">
        <f>DATE(2020,1,13)</f>
        <v>43843</v>
      </c>
      <c r="B576" s="6">
        <v>79.239999999999995</v>
      </c>
      <c r="C576" s="7">
        <f t="shared" si="40"/>
        <v>2.1397267336942472E-2</v>
      </c>
      <c r="D576" s="6">
        <f>MAX($B576:$B$1261)</f>
        <v>79.239999999999995</v>
      </c>
      <c r="E576" s="7">
        <f t="shared" si="41"/>
        <v>0</v>
      </c>
      <c r="G576" s="6">
        <v>9273.93</v>
      </c>
      <c r="H576" s="7">
        <f t="shared" si="42"/>
        <v>1.0357495375242554E-2</v>
      </c>
      <c r="I576" s="6">
        <f>MAX($G576:$G$1261)</f>
        <v>9273.93</v>
      </c>
      <c r="J576" s="7">
        <f t="shared" si="43"/>
        <v>0</v>
      </c>
      <c r="K576" s="6">
        <f t="shared" si="44"/>
        <v>154.98343867295478</v>
      </c>
    </row>
    <row r="577" spans="1:11" x14ac:dyDescent="0.25">
      <c r="A577" s="2">
        <f>DATE(2020,1,10)</f>
        <v>43840</v>
      </c>
      <c r="B577" s="6">
        <v>77.58</v>
      </c>
      <c r="C577" s="7">
        <f t="shared" si="40"/>
        <v>2.1960986952589412E-3</v>
      </c>
      <c r="D577" s="6">
        <f>MAX($B577:$B$1261)</f>
        <v>77.58</v>
      </c>
      <c r="E577" s="7">
        <f t="shared" si="41"/>
        <v>0</v>
      </c>
      <c r="G577" s="6">
        <v>9178.86</v>
      </c>
      <c r="H577" s="7">
        <f t="shared" si="42"/>
        <v>-2.6696568561938028E-3</v>
      </c>
      <c r="I577" s="6">
        <f>MAX($G577:$G$1261)</f>
        <v>9203.43</v>
      </c>
      <c r="J577" s="7">
        <f t="shared" si="43"/>
        <v>-2.6696568561938028E-3</v>
      </c>
      <c r="K577" s="6">
        <f t="shared" si="44"/>
        <v>153.3946542509635</v>
      </c>
    </row>
    <row r="578" spans="1:11" x14ac:dyDescent="0.25">
      <c r="A578" s="2">
        <f>DATE(2020,1,9)</f>
        <v>43839</v>
      </c>
      <c r="B578" s="6">
        <v>77.41</v>
      </c>
      <c r="C578" s="7">
        <f t="shared" ref="C578:C641" si="45">IFERROR(B578/B579-1,0)</f>
        <v>2.1240105540897058E-2</v>
      </c>
      <c r="D578" s="6">
        <f>MAX($B578:$B$1261)</f>
        <v>77.41</v>
      </c>
      <c r="E578" s="7">
        <f t="shared" ref="E578:E641" si="46">$B578/$D578-1</f>
        <v>0</v>
      </c>
      <c r="G578" s="6">
        <v>9203.43</v>
      </c>
      <c r="H578" s="7">
        <f t="shared" ref="H578:H641" si="47">IFERROR(G578/G579-1,0)</f>
        <v>8.1266348567898827E-3</v>
      </c>
      <c r="I578" s="6">
        <f>MAX($G578:$G$1261)</f>
        <v>9203.43</v>
      </c>
      <c r="J578" s="7">
        <f t="shared" ref="J578:J641" si="48">$G578/$I578-1</f>
        <v>0</v>
      </c>
      <c r="K578" s="6">
        <f t="shared" ref="K578:K641" si="49">$K579*(1+H578)</f>
        <v>153.80526152190413</v>
      </c>
    </row>
    <row r="579" spans="1:11" x14ac:dyDescent="0.25">
      <c r="A579" s="2">
        <f>DATE(2020,1,8)</f>
        <v>43838</v>
      </c>
      <c r="B579" s="6">
        <v>75.8</v>
      </c>
      <c r="C579" s="7">
        <f t="shared" si="45"/>
        <v>1.6085790884718509E-2</v>
      </c>
      <c r="D579" s="6">
        <f>MAX($B579:$B$1261)</f>
        <v>75.8</v>
      </c>
      <c r="E579" s="7">
        <f t="shared" si="46"/>
        <v>0</v>
      </c>
      <c r="G579" s="6">
        <v>9129.24</v>
      </c>
      <c r="H579" s="7">
        <f t="shared" si="47"/>
        <v>6.6890295944899147E-3</v>
      </c>
      <c r="I579" s="6">
        <f>MAX($G579:$G$1261)</f>
        <v>9129.24</v>
      </c>
      <c r="J579" s="7">
        <f t="shared" si="48"/>
        <v>0</v>
      </c>
      <c r="K579" s="6">
        <f t="shared" si="49"/>
        <v>152.56541807741547</v>
      </c>
    </row>
    <row r="580" spans="1:11" x14ac:dyDescent="0.25">
      <c r="A580" s="2">
        <f>DATE(2020,1,7)</f>
        <v>43837</v>
      </c>
      <c r="B580" s="6">
        <v>74.599999999999994</v>
      </c>
      <c r="C580" s="7">
        <f t="shared" si="45"/>
        <v>-4.6697798532355783E-3</v>
      </c>
      <c r="D580" s="6">
        <f>MAX($B580:$B$1261)</f>
        <v>75.09</v>
      </c>
      <c r="E580" s="7">
        <f t="shared" si="46"/>
        <v>-6.5255027300573643E-3</v>
      </c>
      <c r="G580" s="6">
        <v>9068.58</v>
      </c>
      <c r="H580" s="7">
        <f t="shared" si="47"/>
        <v>-3.1858122222738761E-4</v>
      </c>
      <c r="I580" s="6">
        <f>MAX($G580:$G$1261)</f>
        <v>9092.19</v>
      </c>
      <c r="J580" s="7">
        <f t="shared" si="48"/>
        <v>-2.5967341201624805E-3</v>
      </c>
      <c r="K580" s="6">
        <f t="shared" si="49"/>
        <v>151.55168437553274</v>
      </c>
    </row>
    <row r="581" spans="1:11" x14ac:dyDescent="0.25">
      <c r="A581" s="2">
        <f>DATE(2020,1,6)</f>
        <v>43836</v>
      </c>
      <c r="B581" s="6">
        <v>74.95</v>
      </c>
      <c r="C581" s="7">
        <f t="shared" si="45"/>
        <v>7.9343733189887189E-3</v>
      </c>
      <c r="D581" s="6">
        <f>MAX($B581:$B$1261)</f>
        <v>75.09</v>
      </c>
      <c r="E581" s="7">
        <f t="shared" si="46"/>
        <v>-1.8644293514449295E-3</v>
      </c>
      <c r="G581" s="6">
        <v>9071.4699999999993</v>
      </c>
      <c r="H581" s="7">
        <f t="shared" si="47"/>
        <v>5.6203627849948923E-3</v>
      </c>
      <c r="I581" s="6">
        <f>MAX($G581:$G$1261)</f>
        <v>9092.19</v>
      </c>
      <c r="J581" s="7">
        <f t="shared" si="48"/>
        <v>-2.2788789059622339E-3</v>
      </c>
      <c r="K581" s="6">
        <f t="shared" si="49"/>
        <v>151.59998128285949</v>
      </c>
    </row>
    <row r="582" spans="1:11" x14ac:dyDescent="0.25">
      <c r="A582" s="2">
        <f>DATE(2020,1,3)</f>
        <v>43833</v>
      </c>
      <c r="B582" s="6">
        <v>74.36</v>
      </c>
      <c r="C582" s="7">
        <f t="shared" si="45"/>
        <v>-9.7216673325343228E-3</v>
      </c>
      <c r="D582" s="6">
        <f>MAX($B582:$B$1261)</f>
        <v>75.09</v>
      </c>
      <c r="E582" s="7">
        <f t="shared" si="46"/>
        <v>-9.7216673325343228E-3</v>
      </c>
      <c r="G582" s="6">
        <v>9020.77</v>
      </c>
      <c r="H582" s="7">
        <f t="shared" si="47"/>
        <v>-7.8550932173656607E-3</v>
      </c>
      <c r="I582" s="6">
        <f>MAX($G582:$G$1261)</f>
        <v>9092.19</v>
      </c>
      <c r="J582" s="7">
        <f t="shared" si="48"/>
        <v>-7.8550932173656607E-3</v>
      </c>
      <c r="K582" s="6">
        <f t="shared" si="49"/>
        <v>150.75269643806138</v>
      </c>
    </row>
    <row r="583" spans="1:11" x14ac:dyDescent="0.25">
      <c r="A583" s="2">
        <f>DATE(2020,1,2)</f>
        <v>43832</v>
      </c>
      <c r="B583" s="6">
        <v>75.09</v>
      </c>
      <c r="C583" s="7">
        <f t="shared" si="45"/>
        <v>2.2885165508786276E-2</v>
      </c>
      <c r="D583" s="6">
        <f>MAX($B583:$B$1261)</f>
        <v>75.09</v>
      </c>
      <c r="E583" s="7">
        <f t="shared" si="46"/>
        <v>0</v>
      </c>
      <c r="G583" s="6">
        <v>9092.19</v>
      </c>
      <c r="H583" s="7">
        <f t="shared" si="47"/>
        <v>1.3328355214764942E-2</v>
      </c>
      <c r="I583" s="6">
        <f>MAX($G583:$G$1261)</f>
        <v>9092.19</v>
      </c>
      <c r="J583" s="7">
        <f t="shared" si="48"/>
        <v>0</v>
      </c>
      <c r="K583" s="6">
        <f t="shared" si="49"/>
        <v>151.94624838313993</v>
      </c>
    </row>
    <row r="584" spans="1:11" x14ac:dyDescent="0.25">
      <c r="A584" s="2">
        <f>DATE(2019,12,31)</f>
        <v>43830</v>
      </c>
      <c r="B584" s="6">
        <v>73.41</v>
      </c>
      <c r="C584" s="7">
        <f t="shared" si="45"/>
        <v>7.2722283205268745E-3</v>
      </c>
      <c r="D584" s="6">
        <f>MAX($B584:$B$1261)</f>
        <v>73.41</v>
      </c>
      <c r="E584" s="7">
        <f t="shared" si="46"/>
        <v>0</v>
      </c>
      <c r="G584" s="6">
        <v>8972.6</v>
      </c>
      <c r="H584" s="7">
        <f t="shared" si="47"/>
        <v>2.9745170741304339E-3</v>
      </c>
      <c r="I584" s="6">
        <f>MAX($G584:$G$1261)</f>
        <v>9022.39</v>
      </c>
      <c r="J584" s="7">
        <f t="shared" si="48"/>
        <v>-5.5184934368830429E-3</v>
      </c>
      <c r="K584" s="6">
        <f t="shared" si="49"/>
        <v>149.94769227683994</v>
      </c>
    </row>
    <row r="585" spans="1:11" x14ac:dyDescent="0.25">
      <c r="A585" s="2">
        <f>DATE(2019,12,30)</f>
        <v>43829</v>
      </c>
      <c r="B585" s="6">
        <v>72.88</v>
      </c>
      <c r="C585" s="7">
        <f t="shared" si="45"/>
        <v>5.9351276742580783E-3</v>
      </c>
      <c r="D585" s="6">
        <f>MAX($B585:$B$1261)</f>
        <v>72.88</v>
      </c>
      <c r="E585" s="7">
        <f t="shared" si="46"/>
        <v>0</v>
      </c>
      <c r="G585" s="6">
        <v>8945.99</v>
      </c>
      <c r="H585" s="7">
        <f t="shared" si="47"/>
        <v>-6.7317151162146205E-3</v>
      </c>
      <c r="I585" s="6">
        <f>MAX($G585:$G$1261)</f>
        <v>9022.39</v>
      </c>
      <c r="J585" s="7">
        <f t="shared" si="48"/>
        <v>-8.4678228274326361E-3</v>
      </c>
      <c r="K585" s="6">
        <f t="shared" si="49"/>
        <v>149.5029930713157</v>
      </c>
    </row>
    <row r="586" spans="1:11" x14ac:dyDescent="0.25">
      <c r="A586" s="2">
        <f>DATE(2019,12,27)</f>
        <v>43826</v>
      </c>
      <c r="B586" s="6">
        <v>72.45</v>
      </c>
      <c r="C586" s="7">
        <f t="shared" si="45"/>
        <v>-4.1390728476820016E-4</v>
      </c>
      <c r="D586" s="6">
        <f>MAX($B586:$B$1261)</f>
        <v>72.48</v>
      </c>
      <c r="E586" s="7">
        <f t="shared" si="46"/>
        <v>-4.1390728476820016E-4</v>
      </c>
      <c r="G586" s="6">
        <v>9006.6200000000008</v>
      </c>
      <c r="H586" s="7">
        <f t="shared" si="47"/>
        <v>-1.7478739003743415E-3</v>
      </c>
      <c r="I586" s="6">
        <f>MAX($G586:$G$1261)</f>
        <v>9022.39</v>
      </c>
      <c r="J586" s="7">
        <f t="shared" si="48"/>
        <v>-1.7478739003743415E-3</v>
      </c>
      <c r="K586" s="6">
        <f t="shared" si="49"/>
        <v>150.51622542121927</v>
      </c>
    </row>
    <row r="587" spans="1:11" x14ac:dyDescent="0.25">
      <c r="A587" s="2">
        <f>DATE(2019,12,26)</f>
        <v>43825</v>
      </c>
      <c r="B587" s="6">
        <v>72.48</v>
      </c>
      <c r="C587" s="7">
        <f t="shared" si="45"/>
        <v>1.9839594765724167E-2</v>
      </c>
      <c r="D587" s="6">
        <f>MAX($B587:$B$1261)</f>
        <v>72.48</v>
      </c>
      <c r="E587" s="7">
        <f t="shared" si="46"/>
        <v>0</v>
      </c>
      <c r="G587" s="6">
        <v>9022.39</v>
      </c>
      <c r="H587" s="7">
        <f t="shared" si="47"/>
        <v>7.7639820929131798E-3</v>
      </c>
      <c r="I587" s="6">
        <f>MAX($G587:$G$1261)</f>
        <v>9022.39</v>
      </c>
      <c r="J587" s="7">
        <f t="shared" si="48"/>
        <v>0</v>
      </c>
      <c r="K587" s="6">
        <f t="shared" si="49"/>
        <v>150.77976944493653</v>
      </c>
    </row>
    <row r="588" spans="1:11" x14ac:dyDescent="0.25">
      <c r="A588" s="2">
        <f>DATE(2019,12,24)</f>
        <v>43823</v>
      </c>
      <c r="B588" s="6">
        <v>71.069999999999993</v>
      </c>
      <c r="C588" s="7">
        <f t="shared" si="45"/>
        <v>9.8591549295767855E-4</v>
      </c>
      <c r="D588" s="6">
        <f>MAX($B588:$B$1261)</f>
        <v>71.069999999999993</v>
      </c>
      <c r="E588" s="7">
        <f t="shared" si="46"/>
        <v>0</v>
      </c>
      <c r="G588" s="6">
        <v>8952.8799999999992</v>
      </c>
      <c r="H588" s="7">
        <f t="shared" si="47"/>
        <v>8.0821404816866504E-4</v>
      </c>
      <c r="I588" s="6">
        <f>MAX($G588:$G$1261)</f>
        <v>8952.8799999999992</v>
      </c>
      <c r="J588" s="7">
        <f t="shared" si="48"/>
        <v>0</v>
      </c>
      <c r="K588" s="6">
        <f t="shared" si="49"/>
        <v>149.61813690919848</v>
      </c>
    </row>
    <row r="589" spans="1:11" x14ac:dyDescent="0.25">
      <c r="A589" s="2">
        <f>DATE(2019,12,23)</f>
        <v>43822</v>
      </c>
      <c r="B589" s="6">
        <v>71</v>
      </c>
      <c r="C589" s="7">
        <f t="shared" si="45"/>
        <v>1.6318350987689634E-2</v>
      </c>
      <c r="D589" s="6">
        <f>MAX($B589:$B$1261)</f>
        <v>71</v>
      </c>
      <c r="E589" s="7">
        <f t="shared" si="46"/>
        <v>0</v>
      </c>
      <c r="G589" s="6">
        <v>8945.65</v>
      </c>
      <c r="H589" s="7">
        <f t="shared" si="47"/>
        <v>2.318217672684364E-3</v>
      </c>
      <c r="I589" s="6">
        <f>MAX($G589:$G$1261)</f>
        <v>8945.65</v>
      </c>
      <c r="J589" s="7">
        <f t="shared" si="48"/>
        <v>0</v>
      </c>
      <c r="K589" s="6">
        <f t="shared" si="49"/>
        <v>149.4973110822184</v>
      </c>
    </row>
    <row r="590" spans="1:11" x14ac:dyDescent="0.25">
      <c r="A590" s="2">
        <f>DATE(2019,12,20)</f>
        <v>43819</v>
      </c>
      <c r="B590" s="6">
        <v>69.86</v>
      </c>
      <c r="C590" s="7">
        <f t="shared" si="45"/>
        <v>-2.0000000000000018E-3</v>
      </c>
      <c r="D590" s="6">
        <f>MAX($B590:$B$1261)</f>
        <v>70.099999999999994</v>
      </c>
      <c r="E590" s="7">
        <f t="shared" si="46"/>
        <v>-3.4236804564906631E-3</v>
      </c>
      <c r="G590" s="6">
        <v>8924.9599999999991</v>
      </c>
      <c r="H590" s="7">
        <f t="shared" si="47"/>
        <v>4.2465472892534439E-3</v>
      </c>
      <c r="I590" s="6">
        <f>MAX($G590:$G$1261)</f>
        <v>8924.9599999999991</v>
      </c>
      <c r="J590" s="7">
        <f t="shared" si="48"/>
        <v>0</v>
      </c>
      <c r="K590" s="6">
        <f t="shared" si="49"/>
        <v>149.15154533391714</v>
      </c>
    </row>
    <row r="591" spans="1:11" x14ac:dyDescent="0.25">
      <c r="A591" s="2">
        <f>DATE(2019,12,19)</f>
        <v>43818</v>
      </c>
      <c r="B591" s="6">
        <v>70</v>
      </c>
      <c r="C591" s="7">
        <f t="shared" si="45"/>
        <v>1.0010010010008674E-3</v>
      </c>
      <c r="D591" s="6">
        <f>MAX($B591:$B$1261)</f>
        <v>70.099999999999994</v>
      </c>
      <c r="E591" s="7">
        <f t="shared" si="46"/>
        <v>-1.4265335235377208E-3</v>
      </c>
      <c r="G591" s="6">
        <v>8887.2199999999993</v>
      </c>
      <c r="H591" s="7">
        <f t="shared" si="47"/>
        <v>6.7378513639957394E-3</v>
      </c>
      <c r="I591" s="6">
        <f>MAX($G591:$G$1261)</f>
        <v>8887.2199999999993</v>
      </c>
      <c r="J591" s="7">
        <f t="shared" si="48"/>
        <v>0</v>
      </c>
      <c r="K591" s="6">
        <f t="shared" si="49"/>
        <v>148.52084454412068</v>
      </c>
    </row>
    <row r="592" spans="1:11" x14ac:dyDescent="0.25">
      <c r="A592" s="2">
        <f>DATE(2019,12,18)</f>
        <v>43817</v>
      </c>
      <c r="B592" s="6">
        <v>69.930000000000007</v>
      </c>
      <c r="C592" s="7">
        <f t="shared" si="45"/>
        <v>-2.4251069900140809E-3</v>
      </c>
      <c r="D592" s="6">
        <f>MAX($B592:$B$1261)</f>
        <v>70.099999999999994</v>
      </c>
      <c r="E592" s="7">
        <f t="shared" si="46"/>
        <v>-2.4251069900140809E-3</v>
      </c>
      <c r="G592" s="6">
        <v>8827.74</v>
      </c>
      <c r="H592" s="7">
        <f t="shared" si="47"/>
        <v>4.9640953106289132E-4</v>
      </c>
      <c r="I592" s="6">
        <f>MAX($G592:$G$1261)</f>
        <v>8827.74</v>
      </c>
      <c r="J592" s="7">
        <f t="shared" si="48"/>
        <v>0</v>
      </c>
      <c r="K592" s="6">
        <f t="shared" si="49"/>
        <v>147.52683068675196</v>
      </c>
    </row>
    <row r="593" spans="1:11" x14ac:dyDescent="0.25">
      <c r="A593" s="2">
        <f>DATE(2019,12,17)</f>
        <v>43816</v>
      </c>
      <c r="B593" s="6">
        <v>70.099999999999994</v>
      </c>
      <c r="C593" s="7">
        <f t="shared" si="45"/>
        <v>2.0011435105775632E-3</v>
      </c>
      <c r="D593" s="6">
        <f>MAX($B593:$B$1261)</f>
        <v>70.099999999999994</v>
      </c>
      <c r="E593" s="7">
        <f t="shared" si="46"/>
        <v>0</v>
      </c>
      <c r="G593" s="6">
        <v>8823.36</v>
      </c>
      <c r="H593" s="7">
        <f t="shared" si="47"/>
        <v>1.035825023853576E-3</v>
      </c>
      <c r="I593" s="6">
        <f>MAX($G593:$G$1261)</f>
        <v>8823.36</v>
      </c>
      <c r="J593" s="7">
        <f t="shared" si="48"/>
        <v>0</v>
      </c>
      <c r="K593" s="6">
        <f t="shared" si="49"/>
        <v>147.45363329779309</v>
      </c>
    </row>
    <row r="594" spans="1:11" x14ac:dyDescent="0.25">
      <c r="A594" s="2">
        <f>DATE(2019,12,16)</f>
        <v>43815</v>
      </c>
      <c r="B594" s="6">
        <v>69.959999999999994</v>
      </c>
      <c r="C594" s="7">
        <f t="shared" si="45"/>
        <v>1.7008286088094016E-2</v>
      </c>
      <c r="D594" s="6">
        <f>MAX($B594:$B$1261)</f>
        <v>69.959999999999994</v>
      </c>
      <c r="E594" s="7">
        <f t="shared" si="46"/>
        <v>0</v>
      </c>
      <c r="G594" s="6">
        <v>8814.23</v>
      </c>
      <c r="H594" s="7">
        <f t="shared" si="47"/>
        <v>9.0842690454819852E-3</v>
      </c>
      <c r="I594" s="6">
        <f>MAX($G594:$G$1261)</f>
        <v>8814.23</v>
      </c>
      <c r="J594" s="7">
        <f t="shared" si="48"/>
        <v>0</v>
      </c>
      <c r="K594" s="6">
        <f t="shared" si="49"/>
        <v>147.30105517879886</v>
      </c>
    </row>
    <row r="595" spans="1:11" x14ac:dyDescent="0.25">
      <c r="A595" s="2">
        <f>DATE(2019,12,13)</f>
        <v>43812</v>
      </c>
      <c r="B595" s="6">
        <v>68.790000000000006</v>
      </c>
      <c r="C595" s="7">
        <f t="shared" si="45"/>
        <v>1.3704686118479303E-2</v>
      </c>
      <c r="D595" s="6">
        <f>MAX($B595:$B$1261)</f>
        <v>68.790000000000006</v>
      </c>
      <c r="E595" s="7">
        <f t="shared" si="46"/>
        <v>0</v>
      </c>
      <c r="G595" s="6">
        <v>8734.8799999999992</v>
      </c>
      <c r="H595" s="7">
        <f t="shared" si="47"/>
        <v>2.0143805665042702E-3</v>
      </c>
      <c r="I595" s="6">
        <f>MAX($G595:$G$1261)</f>
        <v>8734.8799999999992</v>
      </c>
      <c r="J595" s="7">
        <f t="shared" si="48"/>
        <v>0</v>
      </c>
      <c r="K595" s="6">
        <f t="shared" si="49"/>
        <v>145.97497919389289</v>
      </c>
    </row>
    <row r="596" spans="1:11" x14ac:dyDescent="0.25">
      <c r="A596" s="2">
        <f>DATE(2019,12,12)</f>
        <v>43811</v>
      </c>
      <c r="B596" s="6">
        <v>67.86</v>
      </c>
      <c r="C596" s="7">
        <f t="shared" si="45"/>
        <v>2.5114492539519695E-3</v>
      </c>
      <c r="D596" s="6">
        <f>MAX($B596:$B$1261)</f>
        <v>67.86</v>
      </c>
      <c r="E596" s="7">
        <f t="shared" si="46"/>
        <v>0</v>
      </c>
      <c r="G596" s="6">
        <v>8717.32</v>
      </c>
      <c r="H596" s="7">
        <f t="shared" si="47"/>
        <v>7.3110277846788474E-3</v>
      </c>
      <c r="I596" s="6">
        <f>MAX($G596:$G$1261)</f>
        <v>8717.32</v>
      </c>
      <c r="J596" s="7">
        <f t="shared" si="48"/>
        <v>0</v>
      </c>
      <c r="K596" s="6">
        <f t="shared" si="49"/>
        <v>145.68152116875177</v>
      </c>
    </row>
    <row r="597" spans="1:11" x14ac:dyDescent="0.25">
      <c r="A597" s="2">
        <f>DATE(2019,12,11)</f>
        <v>43810</v>
      </c>
      <c r="B597" s="6">
        <v>67.69</v>
      </c>
      <c r="C597" s="7">
        <f t="shared" si="45"/>
        <v>8.492252681763901E-3</v>
      </c>
      <c r="D597" s="6">
        <f>MAX($B597:$B$1261)</f>
        <v>67.69</v>
      </c>
      <c r="E597" s="7">
        <f t="shared" si="46"/>
        <v>0</v>
      </c>
      <c r="G597" s="6">
        <v>8654.0499999999993</v>
      </c>
      <c r="H597" s="7">
        <f t="shared" si="47"/>
        <v>4.3952192270819701E-3</v>
      </c>
      <c r="I597" s="6">
        <f>MAX($G597:$G$1261)</f>
        <v>8705.18</v>
      </c>
      <c r="J597" s="7">
        <f t="shared" si="48"/>
        <v>-5.8735143902827192E-3</v>
      </c>
      <c r="K597" s="6">
        <f t="shared" si="49"/>
        <v>144.62416984468121</v>
      </c>
    </row>
    <row r="598" spans="1:11" x14ac:dyDescent="0.25">
      <c r="A598" s="2">
        <f>DATE(2019,12,10)</f>
        <v>43809</v>
      </c>
      <c r="B598" s="6">
        <v>67.12</v>
      </c>
      <c r="C598" s="7">
        <f t="shared" si="45"/>
        <v>5.8444477746140144E-3</v>
      </c>
      <c r="D598" s="6">
        <f>MAX($B598:$B$1261)</f>
        <v>67.680000000000007</v>
      </c>
      <c r="E598" s="7">
        <f t="shared" si="46"/>
        <v>-8.2742316784870651E-3</v>
      </c>
      <c r="G598" s="6">
        <v>8616.18</v>
      </c>
      <c r="H598" s="7">
        <f t="shared" si="47"/>
        <v>-6.5531331515467084E-4</v>
      </c>
      <c r="I598" s="6">
        <f>MAX($G598:$G$1261)</f>
        <v>8705.18</v>
      </c>
      <c r="J598" s="7">
        <f t="shared" si="48"/>
        <v>-1.022379778476723E-2</v>
      </c>
      <c r="K598" s="6">
        <f t="shared" si="49"/>
        <v>143.99129652964166</v>
      </c>
    </row>
    <row r="599" spans="1:11" x14ac:dyDescent="0.25">
      <c r="A599" s="2">
        <f>DATE(2019,12,9)</f>
        <v>43808</v>
      </c>
      <c r="B599" s="6">
        <v>66.73</v>
      </c>
      <c r="C599" s="7">
        <f t="shared" si="45"/>
        <v>-1.4036643026004714E-2</v>
      </c>
      <c r="D599" s="6">
        <f>MAX($B599:$B$1261)</f>
        <v>67.680000000000007</v>
      </c>
      <c r="E599" s="7">
        <f t="shared" si="46"/>
        <v>-1.4036643026004714E-2</v>
      </c>
      <c r="G599" s="6">
        <v>8621.83</v>
      </c>
      <c r="H599" s="7">
        <f t="shared" si="47"/>
        <v>-4.0085345975813258E-3</v>
      </c>
      <c r="I599" s="6">
        <f>MAX($G599:$G$1261)</f>
        <v>8705.18</v>
      </c>
      <c r="J599" s="7">
        <f t="shared" si="48"/>
        <v>-9.5747589366331765E-3</v>
      </c>
      <c r="K599" s="6">
        <f t="shared" si="49"/>
        <v>144.08571781905209</v>
      </c>
    </row>
    <row r="600" spans="1:11" x14ac:dyDescent="0.25">
      <c r="A600" s="2">
        <f>DATE(2019,12,6)</f>
        <v>43805</v>
      </c>
      <c r="B600" s="6">
        <v>67.680000000000007</v>
      </c>
      <c r="C600" s="7">
        <f t="shared" si="45"/>
        <v>1.9430637144148388E-2</v>
      </c>
      <c r="D600" s="6">
        <f>MAX($B600:$B$1261)</f>
        <v>67.680000000000007</v>
      </c>
      <c r="E600" s="7">
        <f t="shared" si="46"/>
        <v>0</v>
      </c>
      <c r="G600" s="6">
        <v>8656.5300000000007</v>
      </c>
      <c r="H600" s="7">
        <f t="shared" si="47"/>
        <v>1.0014351219853612E-2</v>
      </c>
      <c r="I600" s="6">
        <f>MAX($G600:$G$1261)</f>
        <v>8705.18</v>
      </c>
      <c r="J600" s="7">
        <f t="shared" si="48"/>
        <v>-5.5886265418979564E-3</v>
      </c>
      <c r="K600" s="6">
        <f t="shared" si="49"/>
        <v>144.66561494162599</v>
      </c>
    </row>
    <row r="601" spans="1:11" x14ac:dyDescent="0.25">
      <c r="A601" s="2">
        <f>DATE(2019,12,5)</f>
        <v>43804</v>
      </c>
      <c r="B601" s="6">
        <v>66.39</v>
      </c>
      <c r="C601" s="7">
        <f t="shared" si="45"/>
        <v>1.467216872994026E-2</v>
      </c>
      <c r="D601" s="6">
        <f>MAX($B601:$B$1261)</f>
        <v>66.959999999999994</v>
      </c>
      <c r="E601" s="7">
        <f t="shared" si="46"/>
        <v>-8.5125448028672279E-3</v>
      </c>
      <c r="G601" s="6">
        <v>8570.7000000000007</v>
      </c>
      <c r="H601" s="7">
        <f t="shared" si="47"/>
        <v>4.7042783251849407E-4</v>
      </c>
      <c r="I601" s="6">
        <f>MAX($G601:$G$1261)</f>
        <v>8705.18</v>
      </c>
      <c r="J601" s="7">
        <f t="shared" si="48"/>
        <v>-1.5448273326915674E-2</v>
      </c>
      <c r="K601" s="6">
        <f t="shared" si="49"/>
        <v>143.2312469292192</v>
      </c>
    </row>
    <row r="602" spans="1:11" x14ac:dyDescent="0.25">
      <c r="A602" s="2">
        <f>DATE(2019,12,4)</f>
        <v>43803</v>
      </c>
      <c r="B602" s="6">
        <v>65.430000000000007</v>
      </c>
      <c r="C602" s="7">
        <f t="shared" si="45"/>
        <v>8.7881591119334246E-3</v>
      </c>
      <c r="D602" s="6">
        <f>MAX($B602:$B$1261)</f>
        <v>66.959999999999994</v>
      </c>
      <c r="E602" s="7">
        <f t="shared" si="46"/>
        <v>-2.2849462365591156E-2</v>
      </c>
      <c r="G602" s="6">
        <v>8566.67</v>
      </c>
      <c r="H602" s="7">
        <f t="shared" si="47"/>
        <v>5.4021763623390839E-3</v>
      </c>
      <c r="I602" s="6">
        <f>MAX($G602:$G$1261)</f>
        <v>8705.18</v>
      </c>
      <c r="J602" s="7">
        <f t="shared" si="48"/>
        <v>-1.591121608054058E-2</v>
      </c>
      <c r="K602" s="6">
        <f t="shared" si="49"/>
        <v>143.16389864668395</v>
      </c>
    </row>
    <row r="603" spans="1:11" x14ac:dyDescent="0.25">
      <c r="A603" s="2">
        <f>DATE(2019,12,3)</f>
        <v>43802</v>
      </c>
      <c r="B603" s="6">
        <v>64.86</v>
      </c>
      <c r="C603" s="7">
        <f t="shared" si="45"/>
        <v>-1.7867958812840756E-2</v>
      </c>
      <c r="D603" s="6">
        <f>MAX($B603:$B$1261)</f>
        <v>66.959999999999994</v>
      </c>
      <c r="E603" s="7">
        <f t="shared" si="46"/>
        <v>-3.1362007168458716E-2</v>
      </c>
      <c r="G603" s="6">
        <v>8520.64</v>
      </c>
      <c r="H603" s="7">
        <f t="shared" si="47"/>
        <v>-5.5263836675814026E-3</v>
      </c>
      <c r="I603" s="6">
        <f>MAX($G603:$G$1261)</f>
        <v>8705.18</v>
      </c>
      <c r="J603" s="7">
        <f t="shared" si="48"/>
        <v>-2.1198872395516322E-2</v>
      </c>
      <c r="K603" s="6">
        <f t="shared" si="49"/>
        <v>142.39465759331</v>
      </c>
    </row>
    <row r="604" spans="1:11" x14ac:dyDescent="0.25">
      <c r="A604" s="2">
        <f>DATE(2019,12,2)</f>
        <v>43801</v>
      </c>
      <c r="B604" s="6">
        <v>66.040000000000006</v>
      </c>
      <c r="C604" s="7">
        <f t="shared" si="45"/>
        <v>-1.1525220775333023E-2</v>
      </c>
      <c r="D604" s="6">
        <f>MAX($B604:$B$1261)</f>
        <v>66.959999999999994</v>
      </c>
      <c r="E604" s="7">
        <f t="shared" si="46"/>
        <v>-1.3739545997610292E-2</v>
      </c>
      <c r="G604" s="6">
        <v>8567.99</v>
      </c>
      <c r="H604" s="7">
        <f t="shared" si="47"/>
        <v>-1.1249245568907384E-2</v>
      </c>
      <c r="I604" s="6">
        <f>MAX($G604:$G$1261)</f>
        <v>8705.18</v>
      </c>
      <c r="J604" s="7">
        <f t="shared" si="48"/>
        <v>-1.5759582225755353E-2</v>
      </c>
      <c r="K604" s="6">
        <f t="shared" si="49"/>
        <v>143.18595813376746</v>
      </c>
    </row>
    <row r="605" spans="1:11" x14ac:dyDescent="0.25">
      <c r="A605" s="2">
        <f>DATE(2019,11,29)</f>
        <v>43798</v>
      </c>
      <c r="B605" s="6">
        <v>66.81</v>
      </c>
      <c r="C605" s="7">
        <f t="shared" si="45"/>
        <v>-2.2401433691755512E-3</v>
      </c>
      <c r="D605" s="6">
        <f>MAX($B605:$B$1261)</f>
        <v>66.959999999999994</v>
      </c>
      <c r="E605" s="7">
        <f t="shared" si="46"/>
        <v>-2.2401433691755512E-3</v>
      </c>
      <c r="G605" s="6">
        <v>8665.4699999999993</v>
      </c>
      <c r="H605" s="7">
        <f t="shared" si="47"/>
        <v>-4.5616517981249549E-3</v>
      </c>
      <c r="I605" s="6">
        <f>MAX($G605:$G$1261)</f>
        <v>8705.18</v>
      </c>
      <c r="J605" s="7">
        <f t="shared" si="48"/>
        <v>-4.5616517981249549E-3</v>
      </c>
      <c r="K605" s="6">
        <f t="shared" si="49"/>
        <v>144.8150178314188</v>
      </c>
    </row>
    <row r="606" spans="1:11" x14ac:dyDescent="0.25">
      <c r="A606" s="2">
        <f>DATE(2019,11,27)</f>
        <v>43796</v>
      </c>
      <c r="B606" s="6">
        <v>66.959999999999994</v>
      </c>
      <c r="C606" s="7">
        <f t="shared" si="45"/>
        <v>1.3470561525654512E-2</v>
      </c>
      <c r="D606" s="6">
        <f>MAX($B606:$B$1261)</f>
        <v>66.959999999999994</v>
      </c>
      <c r="E606" s="7">
        <f t="shared" si="46"/>
        <v>0</v>
      </c>
      <c r="G606" s="6">
        <v>8705.18</v>
      </c>
      <c r="H606" s="7">
        <f t="shared" si="47"/>
        <v>6.6200813373835654E-3</v>
      </c>
      <c r="I606" s="6">
        <f>MAX($G606:$G$1261)</f>
        <v>8705.18</v>
      </c>
      <c r="J606" s="7">
        <f t="shared" si="48"/>
        <v>0</v>
      </c>
      <c r="K606" s="6">
        <f t="shared" si="49"/>
        <v>145.47864073451416</v>
      </c>
    </row>
    <row r="607" spans="1:11" x14ac:dyDescent="0.25">
      <c r="A607" s="2">
        <f>DATE(2019,11,26)</f>
        <v>43795</v>
      </c>
      <c r="B607" s="6">
        <v>66.069999999999993</v>
      </c>
      <c r="C607" s="7">
        <f t="shared" si="45"/>
        <v>-7.8089803273766467E-3</v>
      </c>
      <c r="D607" s="6">
        <f>MAX($B607:$B$1261)</f>
        <v>66.78</v>
      </c>
      <c r="E607" s="7">
        <f t="shared" si="46"/>
        <v>-1.0631925726265479E-2</v>
      </c>
      <c r="G607" s="6">
        <v>8647.93</v>
      </c>
      <c r="H607" s="7">
        <f t="shared" si="47"/>
        <v>1.7885917041318145E-3</v>
      </c>
      <c r="I607" s="6">
        <f>MAX($G607:$G$1261)</f>
        <v>8647.93</v>
      </c>
      <c r="J607" s="7">
        <f t="shared" si="48"/>
        <v>0</v>
      </c>
      <c r="K607" s="6">
        <f t="shared" si="49"/>
        <v>144.52189404093048</v>
      </c>
    </row>
    <row r="608" spans="1:11" x14ac:dyDescent="0.25">
      <c r="A608" s="2">
        <f>DATE(2019,11,25)</f>
        <v>43794</v>
      </c>
      <c r="B608" s="6">
        <v>66.59</v>
      </c>
      <c r="C608" s="7">
        <f t="shared" si="45"/>
        <v>1.7573349633251967E-2</v>
      </c>
      <c r="D608" s="6">
        <f>MAX($B608:$B$1261)</f>
        <v>66.78</v>
      </c>
      <c r="E608" s="7">
        <f t="shared" si="46"/>
        <v>-2.8451632225217072E-3</v>
      </c>
      <c r="G608" s="6">
        <v>8632.49</v>
      </c>
      <c r="H608" s="7">
        <f t="shared" si="47"/>
        <v>1.3217322309704072E-2</v>
      </c>
      <c r="I608" s="6">
        <f>MAX($G608:$G$1261)</f>
        <v>8632.49</v>
      </c>
      <c r="J608" s="7">
        <f t="shared" si="48"/>
        <v>0</v>
      </c>
      <c r="K608" s="6">
        <f t="shared" si="49"/>
        <v>144.26386488898405</v>
      </c>
    </row>
    <row r="609" spans="1:11" x14ac:dyDescent="0.25">
      <c r="A609" s="2">
        <f>DATE(2019,11,22)</f>
        <v>43791</v>
      </c>
      <c r="B609" s="6">
        <v>65.44</v>
      </c>
      <c r="C609" s="7">
        <f t="shared" si="45"/>
        <v>-9.1603053435118653E-4</v>
      </c>
      <c r="D609" s="6">
        <f>MAX($B609:$B$1261)</f>
        <v>66.78</v>
      </c>
      <c r="E609" s="7">
        <f t="shared" si="46"/>
        <v>-2.0065887990416309E-2</v>
      </c>
      <c r="G609" s="6">
        <v>8519.8799999999992</v>
      </c>
      <c r="H609" s="7">
        <f t="shared" si="47"/>
        <v>1.6070611941159108E-3</v>
      </c>
      <c r="I609" s="6">
        <f>MAX($G609:$G$1261)</f>
        <v>8570.66</v>
      </c>
      <c r="J609" s="7">
        <f t="shared" si="48"/>
        <v>-5.9248645961922364E-3</v>
      </c>
      <c r="K609" s="6">
        <f t="shared" si="49"/>
        <v>142.38195667650436</v>
      </c>
    </row>
    <row r="610" spans="1:11" x14ac:dyDescent="0.25">
      <c r="A610" s="2">
        <f>DATE(2019,11,21)</f>
        <v>43790</v>
      </c>
      <c r="B610" s="6">
        <v>65.5</v>
      </c>
      <c r="C610" s="7">
        <f t="shared" si="45"/>
        <v>-4.5592705167172287E-3</v>
      </c>
      <c r="D610" s="6">
        <f>MAX($B610:$B$1261)</f>
        <v>66.78</v>
      </c>
      <c r="E610" s="7">
        <f t="shared" si="46"/>
        <v>-1.9167415393830489E-2</v>
      </c>
      <c r="G610" s="6">
        <v>8506.2099999999991</v>
      </c>
      <c r="H610" s="7">
        <f t="shared" si="47"/>
        <v>-2.4065497558853899E-3</v>
      </c>
      <c r="I610" s="6">
        <f>MAX($G610:$G$1261)</f>
        <v>8570.66</v>
      </c>
      <c r="J610" s="7">
        <f t="shared" si="48"/>
        <v>-7.5198409457382098E-3</v>
      </c>
      <c r="K610" s="6">
        <f t="shared" si="49"/>
        <v>142.15350729132899</v>
      </c>
    </row>
    <row r="611" spans="1:11" x14ac:dyDescent="0.25">
      <c r="A611" s="2">
        <f>DATE(2019,11,20)</f>
        <v>43789</v>
      </c>
      <c r="B611" s="6">
        <v>65.8</v>
      </c>
      <c r="C611" s="7">
        <f t="shared" si="45"/>
        <v>-1.1566771819137678E-2</v>
      </c>
      <c r="D611" s="6">
        <f>MAX($B611:$B$1261)</f>
        <v>66.78</v>
      </c>
      <c r="E611" s="7">
        <f t="shared" si="46"/>
        <v>-1.4675052410901501E-2</v>
      </c>
      <c r="G611" s="6">
        <v>8526.73</v>
      </c>
      <c r="H611" s="7">
        <f t="shared" si="47"/>
        <v>-5.1256262644884254E-3</v>
      </c>
      <c r="I611" s="6">
        <f>MAX($G611:$G$1261)</f>
        <v>8570.66</v>
      </c>
      <c r="J611" s="7">
        <f t="shared" si="48"/>
        <v>-5.1256262644884254E-3</v>
      </c>
      <c r="K611" s="6">
        <f t="shared" si="49"/>
        <v>142.49643204508163</v>
      </c>
    </row>
    <row r="612" spans="1:11" x14ac:dyDescent="0.25">
      <c r="A612" s="2">
        <f>DATE(2019,11,19)</f>
        <v>43788</v>
      </c>
      <c r="B612" s="6">
        <v>66.569999999999993</v>
      </c>
      <c r="C612" s="7">
        <f t="shared" si="45"/>
        <v>-3.1446540880504248E-3</v>
      </c>
      <c r="D612" s="6">
        <f>MAX($B612:$B$1261)</f>
        <v>66.78</v>
      </c>
      <c r="E612" s="7">
        <f t="shared" si="46"/>
        <v>-3.1446540880504248E-3</v>
      </c>
      <c r="G612" s="6">
        <v>8570.66</v>
      </c>
      <c r="H612" s="7">
        <f t="shared" si="47"/>
        <v>2.4234088192431891E-3</v>
      </c>
      <c r="I612" s="6">
        <f>MAX($G612:$G$1261)</f>
        <v>8570.66</v>
      </c>
      <c r="J612" s="7">
        <f t="shared" si="48"/>
        <v>0</v>
      </c>
      <c r="K612" s="6">
        <f t="shared" si="49"/>
        <v>143.23057845991363</v>
      </c>
    </row>
    <row r="613" spans="1:11" x14ac:dyDescent="0.25">
      <c r="A613" s="2">
        <f>DATE(2019,11,18)</f>
        <v>43787</v>
      </c>
      <c r="B613" s="6">
        <v>66.78</v>
      </c>
      <c r="C613" s="7">
        <f t="shared" si="45"/>
        <v>5.1173991571342725E-3</v>
      </c>
      <c r="D613" s="6">
        <f>MAX($B613:$B$1261)</f>
        <v>66.78</v>
      </c>
      <c r="E613" s="7">
        <f t="shared" si="46"/>
        <v>0</v>
      </c>
      <c r="G613" s="6">
        <v>8549.94</v>
      </c>
      <c r="H613" s="7">
        <f t="shared" si="47"/>
        <v>1.0666410641588797E-3</v>
      </c>
      <c r="I613" s="6">
        <f>MAX($G613:$G$1261)</f>
        <v>8549.94</v>
      </c>
      <c r="J613" s="7">
        <f t="shared" si="48"/>
        <v>0</v>
      </c>
      <c r="K613" s="6">
        <f t="shared" si="49"/>
        <v>142.88431135963322</v>
      </c>
    </row>
    <row r="614" spans="1:11" x14ac:dyDescent="0.25">
      <c r="A614" s="2">
        <f>DATE(2019,11,15)</f>
        <v>43784</v>
      </c>
      <c r="B614" s="6">
        <v>66.44</v>
      </c>
      <c r="C614" s="7">
        <f t="shared" si="45"/>
        <v>1.1879378617118519E-2</v>
      </c>
      <c r="D614" s="6">
        <f>MAX($B614:$B$1261)</f>
        <v>66.44</v>
      </c>
      <c r="E614" s="7">
        <f t="shared" si="46"/>
        <v>0</v>
      </c>
      <c r="G614" s="6">
        <v>8540.83</v>
      </c>
      <c r="H614" s="7">
        <f t="shared" si="47"/>
        <v>7.2897575427348649E-3</v>
      </c>
      <c r="I614" s="6">
        <f>MAX($G614:$G$1261)</f>
        <v>8540.83</v>
      </c>
      <c r="J614" s="7">
        <f t="shared" si="48"/>
        <v>0</v>
      </c>
      <c r="K614" s="6">
        <f t="shared" si="49"/>
        <v>142.73206747529179</v>
      </c>
    </row>
    <row r="615" spans="1:11" x14ac:dyDescent="0.25">
      <c r="A615" s="2">
        <f>DATE(2019,11,14)</f>
        <v>43783</v>
      </c>
      <c r="B615" s="6">
        <v>65.66</v>
      </c>
      <c r="C615" s="7">
        <f t="shared" si="45"/>
        <v>-6.9570477918936557E-3</v>
      </c>
      <c r="D615" s="6">
        <f>MAX($B615:$B$1261)</f>
        <v>66.12</v>
      </c>
      <c r="E615" s="7">
        <f t="shared" si="46"/>
        <v>-6.9570477918936557E-3</v>
      </c>
      <c r="G615" s="6">
        <v>8479.02</v>
      </c>
      <c r="H615" s="7">
        <f t="shared" si="47"/>
        <v>-3.6311762417329252E-4</v>
      </c>
      <c r="I615" s="6">
        <f>MAX($G615:$G$1261)</f>
        <v>8486.09</v>
      </c>
      <c r="J615" s="7">
        <f t="shared" si="48"/>
        <v>-8.3312809550684097E-4</v>
      </c>
      <c r="K615" s="6">
        <f t="shared" si="49"/>
        <v>141.69911528087417</v>
      </c>
    </row>
    <row r="616" spans="1:11" x14ac:dyDescent="0.25">
      <c r="A616" s="2">
        <f>DATE(2019,11,13)</f>
        <v>43782</v>
      </c>
      <c r="B616" s="6">
        <v>66.12</v>
      </c>
      <c r="C616" s="7">
        <f t="shared" si="45"/>
        <v>9.6197892808063123E-3</v>
      </c>
      <c r="D616" s="6">
        <f>MAX($B616:$B$1261)</f>
        <v>66.12</v>
      </c>
      <c r="E616" s="7">
        <f t="shared" si="46"/>
        <v>0</v>
      </c>
      <c r="G616" s="6">
        <v>8482.1</v>
      </c>
      <c r="H616" s="7">
        <f t="shared" si="47"/>
        <v>-4.7018120241471006E-4</v>
      </c>
      <c r="I616" s="6">
        <f>MAX($G616:$G$1261)</f>
        <v>8486.09</v>
      </c>
      <c r="J616" s="7">
        <f t="shared" si="48"/>
        <v>-4.7018120241471006E-4</v>
      </c>
      <c r="K616" s="6">
        <f t="shared" si="49"/>
        <v>141.75058741740233</v>
      </c>
    </row>
    <row r="617" spans="1:11" x14ac:dyDescent="0.25">
      <c r="A617" s="2">
        <f>DATE(2019,11,12)</f>
        <v>43781</v>
      </c>
      <c r="B617" s="6">
        <v>65.489999999999995</v>
      </c>
      <c r="C617" s="7">
        <f t="shared" si="45"/>
        <v>-9.1533180778036183E-4</v>
      </c>
      <c r="D617" s="6">
        <f>MAX($B617:$B$1261)</f>
        <v>65.55</v>
      </c>
      <c r="E617" s="7">
        <f t="shared" si="46"/>
        <v>-9.1533180778036183E-4</v>
      </c>
      <c r="G617" s="6">
        <v>8486.09</v>
      </c>
      <c r="H617" s="7">
        <f t="shared" si="47"/>
        <v>2.5767106003109497E-3</v>
      </c>
      <c r="I617" s="6">
        <f>MAX($G617:$G$1261)</f>
        <v>8486.09</v>
      </c>
      <c r="J617" s="7">
        <f t="shared" si="48"/>
        <v>0</v>
      </c>
      <c r="K617" s="6">
        <f t="shared" si="49"/>
        <v>141.81726723063198</v>
      </c>
    </row>
    <row r="618" spans="1:11" x14ac:dyDescent="0.25">
      <c r="A618" s="2">
        <f>DATE(2019,11,11)</f>
        <v>43780</v>
      </c>
      <c r="B618" s="6">
        <v>65.55</v>
      </c>
      <c r="C618" s="7">
        <f t="shared" si="45"/>
        <v>7.8413284132838879E-3</v>
      </c>
      <c r="D618" s="6">
        <f>MAX($B618:$B$1261)</f>
        <v>65.55</v>
      </c>
      <c r="E618" s="7">
        <f t="shared" si="46"/>
        <v>0</v>
      </c>
      <c r="G618" s="6">
        <v>8464.2800000000007</v>
      </c>
      <c r="H618" s="7">
        <f t="shared" si="47"/>
        <v>-1.3014273224223327E-3</v>
      </c>
      <c r="I618" s="6">
        <f>MAX($G618:$G$1261)</f>
        <v>8475.31</v>
      </c>
      <c r="J618" s="7">
        <f t="shared" si="48"/>
        <v>-1.3014273224223327E-3</v>
      </c>
      <c r="K618" s="6">
        <f t="shared" si="49"/>
        <v>141.45278434177504</v>
      </c>
    </row>
    <row r="619" spans="1:11" x14ac:dyDescent="0.25">
      <c r="A619" s="2">
        <f>DATE(2019,11,8)</f>
        <v>43777</v>
      </c>
      <c r="B619" s="6">
        <v>65.040000000000006</v>
      </c>
      <c r="C619" s="7">
        <f t="shared" si="45"/>
        <v>2.7752081406107187E-3</v>
      </c>
      <c r="D619" s="6">
        <f>MAX($B619:$B$1261)</f>
        <v>65.040000000000006</v>
      </c>
      <c r="E619" s="7">
        <f t="shared" si="46"/>
        <v>0</v>
      </c>
      <c r="G619" s="6">
        <v>8475.31</v>
      </c>
      <c r="H619" s="7">
        <f t="shared" si="47"/>
        <v>4.8360784016161507E-3</v>
      </c>
      <c r="I619" s="6">
        <f>MAX($G619:$G$1261)</f>
        <v>8475.31</v>
      </c>
      <c r="J619" s="7">
        <f t="shared" si="48"/>
        <v>0</v>
      </c>
      <c r="K619" s="6">
        <f t="shared" si="49"/>
        <v>141.63711475278339</v>
      </c>
    </row>
    <row r="620" spans="1:11" x14ac:dyDescent="0.25">
      <c r="A620" s="2">
        <f>DATE(2019,11,7)</f>
        <v>43776</v>
      </c>
      <c r="B620" s="6">
        <v>64.86</v>
      </c>
      <c r="C620" s="7">
        <f t="shared" si="45"/>
        <v>8.5523246773440142E-3</v>
      </c>
      <c r="D620" s="6">
        <f>MAX($B620:$B$1261)</f>
        <v>64.86</v>
      </c>
      <c r="E620" s="7">
        <f t="shared" si="46"/>
        <v>0</v>
      </c>
      <c r="G620" s="6">
        <v>8434.52</v>
      </c>
      <c r="H620" s="7">
        <f t="shared" si="47"/>
        <v>2.8404530932879535E-3</v>
      </c>
      <c r="I620" s="6">
        <f>MAX($G620:$G$1261)</f>
        <v>8434.68</v>
      </c>
      <c r="J620" s="7">
        <f t="shared" si="48"/>
        <v>-1.8969302925553322E-5</v>
      </c>
      <c r="K620" s="6">
        <f t="shared" si="49"/>
        <v>140.95544317843792</v>
      </c>
    </row>
    <row r="621" spans="1:11" x14ac:dyDescent="0.25">
      <c r="A621" s="2">
        <f>DATE(2019,11,6)</f>
        <v>43775</v>
      </c>
      <c r="B621" s="6">
        <v>64.31</v>
      </c>
      <c r="C621" s="7">
        <f t="shared" si="45"/>
        <v>4.6670815183569303E-4</v>
      </c>
      <c r="D621" s="6">
        <f>MAX($B621:$B$1261)</f>
        <v>64.38</v>
      </c>
      <c r="E621" s="7">
        <f t="shared" si="46"/>
        <v>-1.0872941907423828E-3</v>
      </c>
      <c r="G621" s="6">
        <v>8410.6299999999992</v>
      </c>
      <c r="H621" s="7">
        <f t="shared" si="47"/>
        <v>-2.8513233459954712E-3</v>
      </c>
      <c r="I621" s="6">
        <f>MAX($G621:$G$1261)</f>
        <v>8434.68</v>
      </c>
      <c r="J621" s="7">
        <f t="shared" si="48"/>
        <v>-2.8513233459954712E-3</v>
      </c>
      <c r="K621" s="6">
        <f t="shared" si="49"/>
        <v>140.5561998856918</v>
      </c>
    </row>
    <row r="622" spans="1:11" x14ac:dyDescent="0.25">
      <c r="A622" s="2">
        <f>DATE(2019,11,5)</f>
        <v>43774</v>
      </c>
      <c r="B622" s="6">
        <v>64.28</v>
      </c>
      <c r="C622" s="7">
        <f t="shared" si="45"/>
        <v>-1.5532774153462769E-3</v>
      </c>
      <c r="D622" s="6">
        <f>MAX($B622:$B$1261)</f>
        <v>64.38</v>
      </c>
      <c r="E622" s="7">
        <f t="shared" si="46"/>
        <v>-1.5532774153462769E-3</v>
      </c>
      <c r="G622" s="6">
        <v>8434.68</v>
      </c>
      <c r="H622" s="7">
        <f t="shared" si="47"/>
        <v>1.7549684579987179E-4</v>
      </c>
      <c r="I622" s="6">
        <f>MAX($G622:$G$1261)</f>
        <v>8434.68</v>
      </c>
      <c r="J622" s="7">
        <f t="shared" si="48"/>
        <v>0</v>
      </c>
      <c r="K622" s="6">
        <f t="shared" si="49"/>
        <v>140.95811705566015</v>
      </c>
    </row>
    <row r="623" spans="1:11" x14ac:dyDescent="0.25">
      <c r="A623" s="2">
        <f>DATE(2019,11,4)</f>
        <v>43773</v>
      </c>
      <c r="B623" s="6">
        <v>64.38</v>
      </c>
      <c r="C623" s="7">
        <f t="shared" si="45"/>
        <v>6.5666041275795894E-3</v>
      </c>
      <c r="D623" s="6">
        <f>MAX($B623:$B$1261)</f>
        <v>64.38</v>
      </c>
      <c r="E623" s="7">
        <f t="shared" si="46"/>
        <v>0</v>
      </c>
      <c r="G623" s="6">
        <v>8433.2000000000007</v>
      </c>
      <c r="H623" s="7">
        <f t="shared" si="47"/>
        <v>5.5804636077461112E-3</v>
      </c>
      <c r="I623" s="6">
        <f>MAX($G623:$G$1261)</f>
        <v>8433.2000000000007</v>
      </c>
      <c r="J623" s="7">
        <f t="shared" si="48"/>
        <v>0</v>
      </c>
      <c r="K623" s="6">
        <f t="shared" si="49"/>
        <v>140.93338369135441</v>
      </c>
    </row>
    <row r="624" spans="1:11" x14ac:dyDescent="0.25">
      <c r="A624" s="2">
        <f>DATE(2019,11,1)</f>
        <v>43770</v>
      </c>
      <c r="B624" s="6">
        <v>63.96</v>
      </c>
      <c r="C624" s="7">
        <f t="shared" si="45"/>
        <v>2.8461167390255726E-2</v>
      </c>
      <c r="D624" s="6">
        <f>MAX($B624:$B$1261)</f>
        <v>63.96</v>
      </c>
      <c r="E624" s="7">
        <f t="shared" si="46"/>
        <v>0</v>
      </c>
      <c r="G624" s="6">
        <v>8386.4</v>
      </c>
      <c r="H624" s="7">
        <f t="shared" si="47"/>
        <v>1.1340559261778127E-2</v>
      </c>
      <c r="I624" s="6">
        <f>MAX($G624:$G$1261)</f>
        <v>8386.4</v>
      </c>
      <c r="J624" s="7">
        <f t="shared" si="48"/>
        <v>0</v>
      </c>
      <c r="K624" s="6">
        <f t="shared" si="49"/>
        <v>140.15127460384841</v>
      </c>
    </row>
    <row r="625" spans="1:11" x14ac:dyDescent="0.25">
      <c r="A625" s="2">
        <f>DATE(2019,10,31)</f>
        <v>43769</v>
      </c>
      <c r="B625" s="6">
        <v>62.19</v>
      </c>
      <c r="C625" s="7">
        <f t="shared" si="45"/>
        <v>2.2693635915145505E-2</v>
      </c>
      <c r="D625" s="6">
        <f>MAX($B625:$B$1261)</f>
        <v>62.26</v>
      </c>
      <c r="E625" s="7">
        <f t="shared" si="46"/>
        <v>-1.1243173787343075E-3</v>
      </c>
      <c r="G625" s="6">
        <v>8292.36</v>
      </c>
      <c r="H625" s="7">
        <f t="shared" si="47"/>
        <v>-1.3993289964570055E-3</v>
      </c>
      <c r="I625" s="6">
        <f>MAX($G625:$G$1261)</f>
        <v>8330.2099999999991</v>
      </c>
      <c r="J625" s="7">
        <f t="shared" si="48"/>
        <v>-4.5437029798767181E-3</v>
      </c>
      <c r="K625" s="6">
        <f t="shared" si="49"/>
        <v>138.57970326647532</v>
      </c>
    </row>
    <row r="626" spans="1:11" x14ac:dyDescent="0.25">
      <c r="A626" s="2">
        <f>DATE(2019,10,30)</f>
        <v>43768</v>
      </c>
      <c r="B626" s="6">
        <v>60.81</v>
      </c>
      <c r="C626" s="7">
        <f t="shared" si="45"/>
        <v>-1.6441959881619006E-4</v>
      </c>
      <c r="D626" s="6">
        <f>MAX($B626:$B$1261)</f>
        <v>62.26</v>
      </c>
      <c r="E626" s="7">
        <f t="shared" si="46"/>
        <v>-2.3289431416639861E-2</v>
      </c>
      <c r="G626" s="6">
        <v>8303.98</v>
      </c>
      <c r="H626" s="7">
        <f t="shared" si="47"/>
        <v>3.2778170439236032E-3</v>
      </c>
      <c r="I626" s="6">
        <f>MAX($G626:$G$1261)</f>
        <v>8330.2099999999991</v>
      </c>
      <c r="J626" s="7">
        <f t="shared" si="48"/>
        <v>-3.1487801628049539E-3</v>
      </c>
      <c r="K626" s="6">
        <f t="shared" si="49"/>
        <v>138.77389359974069</v>
      </c>
    </row>
    <row r="627" spans="1:11" x14ac:dyDescent="0.25">
      <c r="A627" s="2">
        <f>DATE(2019,10,29)</f>
        <v>43767</v>
      </c>
      <c r="B627" s="6">
        <v>60.82</v>
      </c>
      <c r="C627" s="7">
        <f t="shared" si="45"/>
        <v>-2.312881464824923E-2</v>
      </c>
      <c r="D627" s="6">
        <f>MAX($B627:$B$1261)</f>
        <v>62.26</v>
      </c>
      <c r="E627" s="7">
        <f t="shared" si="46"/>
        <v>-2.312881464824923E-2</v>
      </c>
      <c r="G627" s="6">
        <v>8276.85</v>
      </c>
      <c r="H627" s="7">
        <f t="shared" si="47"/>
        <v>-5.9020008431429627E-3</v>
      </c>
      <c r="I627" s="6">
        <f>MAX($G627:$G$1261)</f>
        <v>8330.2099999999991</v>
      </c>
      <c r="J627" s="7">
        <f t="shared" si="48"/>
        <v>-6.4056008191868408E-3</v>
      </c>
      <c r="K627" s="6">
        <f t="shared" si="49"/>
        <v>138.3205042932442</v>
      </c>
    </row>
    <row r="628" spans="1:11" x14ac:dyDescent="0.25">
      <c r="A628" s="2">
        <f>DATE(2019,10,28)</f>
        <v>43766</v>
      </c>
      <c r="B628" s="6">
        <v>62.26</v>
      </c>
      <c r="C628" s="7">
        <f t="shared" si="45"/>
        <v>9.8945660989455675E-3</v>
      </c>
      <c r="D628" s="6">
        <f>MAX($B628:$B$1261)</f>
        <v>62.26</v>
      </c>
      <c r="E628" s="7">
        <f t="shared" si="46"/>
        <v>0</v>
      </c>
      <c r="G628" s="6">
        <v>8325.99</v>
      </c>
      <c r="H628" s="7">
        <f t="shared" si="47"/>
        <v>1.0053232271275858E-2</v>
      </c>
      <c r="I628" s="6">
        <f>MAX($G628:$G$1261)</f>
        <v>8330.2099999999991</v>
      </c>
      <c r="J628" s="7">
        <f t="shared" si="48"/>
        <v>-5.0658986988316723E-4</v>
      </c>
      <c r="K628" s="6">
        <f t="shared" si="49"/>
        <v>139.14171883512546</v>
      </c>
    </row>
    <row r="629" spans="1:11" x14ac:dyDescent="0.25">
      <c r="A629" s="2">
        <f>DATE(2019,10,25)</f>
        <v>43763</v>
      </c>
      <c r="B629" s="6">
        <v>61.65</v>
      </c>
      <c r="C629" s="7">
        <f t="shared" si="45"/>
        <v>1.2315270935960632E-2</v>
      </c>
      <c r="D629" s="6">
        <f>MAX($B629:$B$1261)</f>
        <v>61.65</v>
      </c>
      <c r="E629" s="7">
        <f t="shared" si="46"/>
        <v>0</v>
      </c>
      <c r="G629" s="6">
        <v>8243.1200000000008</v>
      </c>
      <c r="H629" s="7">
        <f t="shared" si="47"/>
        <v>7.0023699577317355E-3</v>
      </c>
      <c r="I629" s="6">
        <f>MAX($G629:$G$1261)</f>
        <v>8330.2099999999991</v>
      </c>
      <c r="J629" s="7">
        <f t="shared" si="48"/>
        <v>-1.0454718428466792E-2</v>
      </c>
      <c r="K629" s="6">
        <f t="shared" si="49"/>
        <v>137.75681755133016</v>
      </c>
    </row>
    <row r="630" spans="1:11" x14ac:dyDescent="0.25">
      <c r="A630" s="2">
        <f>DATE(2019,10,24)</f>
        <v>43762</v>
      </c>
      <c r="B630" s="6">
        <v>60.9</v>
      </c>
      <c r="C630" s="7">
        <f t="shared" si="45"/>
        <v>1.8095081427866866E-3</v>
      </c>
      <c r="D630" s="6">
        <f>MAX($B630:$B$1261)</f>
        <v>60.9</v>
      </c>
      <c r="E630" s="7">
        <f t="shared" si="46"/>
        <v>0</v>
      </c>
      <c r="G630" s="6">
        <v>8185.8</v>
      </c>
      <c r="H630" s="7">
        <f t="shared" si="47"/>
        <v>8.1295205910498769E-3</v>
      </c>
      <c r="I630" s="6">
        <f>MAX($G630:$G$1261)</f>
        <v>8330.2099999999991</v>
      </c>
      <c r="J630" s="7">
        <f t="shared" si="48"/>
        <v>-1.7335697419392671E-2</v>
      </c>
      <c r="K630" s="6">
        <f t="shared" si="49"/>
        <v>136.79890103646173</v>
      </c>
    </row>
    <row r="631" spans="1:11" x14ac:dyDescent="0.25">
      <c r="A631" s="2">
        <f>DATE(2019,10,23)</f>
        <v>43761</v>
      </c>
      <c r="B631" s="6">
        <v>60.79</v>
      </c>
      <c r="C631" s="7">
        <f t="shared" si="45"/>
        <v>1.3335555925987563E-2</v>
      </c>
      <c r="D631" s="6">
        <f>MAX($B631:$B$1261)</f>
        <v>60.79</v>
      </c>
      <c r="E631" s="7">
        <f t="shared" si="46"/>
        <v>0</v>
      </c>
      <c r="G631" s="6">
        <v>8119.79</v>
      </c>
      <c r="H631" s="7">
        <f t="shared" si="47"/>
        <v>1.9113310218032975E-3</v>
      </c>
      <c r="I631" s="6">
        <f>MAX($G631:$G$1261)</f>
        <v>8330.2099999999991</v>
      </c>
      <c r="J631" s="7">
        <f t="shared" si="48"/>
        <v>-2.5259867398300773E-2</v>
      </c>
      <c r="K631" s="6">
        <f t="shared" si="49"/>
        <v>135.69575956496024</v>
      </c>
    </row>
    <row r="632" spans="1:11" x14ac:dyDescent="0.25">
      <c r="A632" s="2">
        <f>DATE(2019,10,22)</f>
        <v>43760</v>
      </c>
      <c r="B632" s="6">
        <v>59.99</v>
      </c>
      <c r="C632" s="7">
        <f t="shared" si="45"/>
        <v>-2.3282887077997749E-3</v>
      </c>
      <c r="D632" s="6">
        <f>MAX($B632:$B$1261)</f>
        <v>60.13</v>
      </c>
      <c r="E632" s="7">
        <f t="shared" si="46"/>
        <v>-2.3282887077997749E-3</v>
      </c>
      <c r="G632" s="6">
        <v>8104.3</v>
      </c>
      <c r="H632" s="7">
        <f t="shared" si="47"/>
        <v>-7.1897674749080709E-3</v>
      </c>
      <c r="I632" s="6">
        <f>MAX($G632:$G$1261)</f>
        <v>8330.2099999999991</v>
      </c>
      <c r="J632" s="7">
        <f t="shared" si="48"/>
        <v>-2.7119364337753638E-2</v>
      </c>
      <c r="K632" s="6">
        <f t="shared" si="49"/>
        <v>135.43689482638186</v>
      </c>
    </row>
    <row r="633" spans="1:11" x14ac:dyDescent="0.25">
      <c r="A633" s="2">
        <f>DATE(2019,10,21)</f>
        <v>43759</v>
      </c>
      <c r="B633" s="6">
        <v>60.13</v>
      </c>
      <c r="C633" s="7">
        <f t="shared" si="45"/>
        <v>1.742808798646367E-2</v>
      </c>
      <c r="D633" s="6">
        <f>MAX($B633:$B$1261)</f>
        <v>60.13</v>
      </c>
      <c r="E633" s="7">
        <f t="shared" si="46"/>
        <v>0</v>
      </c>
      <c r="G633" s="6">
        <v>8162.99</v>
      </c>
      <c r="H633" s="7">
        <f t="shared" si="47"/>
        <v>9.0796262828294338E-3</v>
      </c>
      <c r="I633" s="6">
        <f>MAX($G633:$G$1261)</f>
        <v>8330.2099999999991</v>
      </c>
      <c r="J633" s="7">
        <f t="shared" si="48"/>
        <v>-2.0073923706605212E-2</v>
      </c>
      <c r="K633" s="6">
        <f t="shared" si="49"/>
        <v>136.41770641496575</v>
      </c>
    </row>
    <row r="634" spans="1:11" x14ac:dyDescent="0.25">
      <c r="A634" s="2">
        <f>DATE(2019,10,18)</f>
        <v>43756</v>
      </c>
      <c r="B634" s="6">
        <v>59.1</v>
      </c>
      <c r="C634" s="7">
        <f t="shared" si="45"/>
        <v>4.7602856171371499E-3</v>
      </c>
      <c r="D634" s="6">
        <f>MAX($B634:$B$1261)</f>
        <v>59.1</v>
      </c>
      <c r="E634" s="7">
        <f t="shared" si="46"/>
        <v>0</v>
      </c>
      <c r="G634" s="6">
        <v>8089.54</v>
      </c>
      <c r="H634" s="7">
        <f t="shared" si="47"/>
        <v>-8.2519600090721346E-3</v>
      </c>
      <c r="I634" s="6">
        <f>MAX($G634:$G$1261)</f>
        <v>8330.2099999999991</v>
      </c>
      <c r="J634" s="7">
        <f t="shared" si="48"/>
        <v>-2.8891228432416427E-2</v>
      </c>
      <c r="K634" s="6">
        <f t="shared" si="49"/>
        <v>135.19022965262999</v>
      </c>
    </row>
    <row r="635" spans="1:11" x14ac:dyDescent="0.25">
      <c r="A635" s="2">
        <f>DATE(2019,10,17)</f>
        <v>43755</v>
      </c>
      <c r="B635" s="6">
        <v>58.82</v>
      </c>
      <c r="C635" s="7">
        <f t="shared" si="45"/>
        <v>3.9255845707457659E-3</v>
      </c>
      <c r="D635" s="6">
        <f>MAX($B635:$B$1261)</f>
        <v>59.05</v>
      </c>
      <c r="E635" s="7">
        <f t="shared" si="46"/>
        <v>-3.89500423370015E-3</v>
      </c>
      <c r="G635" s="6">
        <v>8156.85</v>
      </c>
      <c r="H635" s="7">
        <f t="shared" si="47"/>
        <v>4.0213289218111736E-3</v>
      </c>
      <c r="I635" s="6">
        <f>MAX($G635:$G$1261)</f>
        <v>8330.2099999999991</v>
      </c>
      <c r="J635" s="7">
        <f t="shared" si="48"/>
        <v>-2.0810999962785903E-2</v>
      </c>
      <c r="K635" s="6">
        <f t="shared" si="49"/>
        <v>136.3150963765622</v>
      </c>
    </row>
    <row r="636" spans="1:11" x14ac:dyDescent="0.25">
      <c r="A636" s="2">
        <f>DATE(2019,10,16)</f>
        <v>43754</v>
      </c>
      <c r="B636" s="6">
        <v>58.59</v>
      </c>
      <c r="C636" s="7">
        <f t="shared" si="45"/>
        <v>-4.0795512493624342E-3</v>
      </c>
      <c r="D636" s="6">
        <f>MAX($B636:$B$1261)</f>
        <v>59.05</v>
      </c>
      <c r="E636" s="7">
        <f t="shared" si="46"/>
        <v>-7.7900084674004111E-3</v>
      </c>
      <c r="G636" s="6">
        <v>8124.18</v>
      </c>
      <c r="H636" s="7">
        <f t="shared" si="47"/>
        <v>-3.0102924266539599E-3</v>
      </c>
      <c r="I636" s="6">
        <f>MAX($G636:$G$1261)</f>
        <v>8330.2099999999991</v>
      </c>
      <c r="J636" s="7">
        <f t="shared" si="48"/>
        <v>-2.4732869879630748E-2</v>
      </c>
      <c r="K636" s="6">
        <f t="shared" si="49"/>
        <v>135.76912407124553</v>
      </c>
    </row>
    <row r="637" spans="1:11" x14ac:dyDescent="0.25">
      <c r="A637" s="2">
        <f>DATE(2019,10,15)</f>
        <v>43753</v>
      </c>
      <c r="B637" s="6">
        <v>58.83</v>
      </c>
      <c r="C637" s="7">
        <f t="shared" si="45"/>
        <v>-2.3740885195862038E-3</v>
      </c>
      <c r="D637" s="6">
        <f>MAX($B637:$B$1261)</f>
        <v>59.05</v>
      </c>
      <c r="E637" s="7">
        <f t="shared" si="46"/>
        <v>-3.7256562235393753E-3</v>
      </c>
      <c r="G637" s="6">
        <v>8148.71</v>
      </c>
      <c r="H637" s="7">
        <f t="shared" si="47"/>
        <v>1.243189851714277E-2</v>
      </c>
      <c r="I637" s="6">
        <f>MAX($G637:$G$1261)</f>
        <v>8330.2099999999991</v>
      </c>
      <c r="J637" s="7">
        <f t="shared" si="48"/>
        <v>-2.1788166204693371E-2</v>
      </c>
      <c r="K637" s="6">
        <f t="shared" si="49"/>
        <v>136.17906287288059</v>
      </c>
    </row>
    <row r="638" spans="1:11" x14ac:dyDescent="0.25">
      <c r="A638" s="2">
        <f>DATE(2019,10,14)</f>
        <v>43752</v>
      </c>
      <c r="B638" s="6">
        <v>58.97</v>
      </c>
      <c r="C638" s="7">
        <f t="shared" si="45"/>
        <v>-1.3547840812869749E-3</v>
      </c>
      <c r="D638" s="6">
        <f>MAX($B638:$B$1261)</f>
        <v>59.05</v>
      </c>
      <c r="E638" s="7">
        <f t="shared" si="46"/>
        <v>-1.3547840812869749E-3</v>
      </c>
      <c r="G638" s="6">
        <v>8048.65</v>
      </c>
      <c r="H638" s="7">
        <f t="shared" si="47"/>
        <v>-1.0413253502526976E-3</v>
      </c>
      <c r="I638" s="6">
        <f>MAX($G638:$G$1261)</f>
        <v>8330.2099999999991</v>
      </c>
      <c r="J638" s="7">
        <f t="shared" si="48"/>
        <v>-3.379986819059777E-2</v>
      </c>
      <c r="K638" s="6">
        <f t="shared" si="49"/>
        <v>134.50688690502056</v>
      </c>
    </row>
    <row r="639" spans="1:11" x14ac:dyDescent="0.25">
      <c r="A639" s="2">
        <f>DATE(2019,10,11)</f>
        <v>43749</v>
      </c>
      <c r="B639" s="6">
        <v>59.05</v>
      </c>
      <c r="C639" s="7">
        <f t="shared" si="45"/>
        <v>2.6599443671766254E-2</v>
      </c>
      <c r="D639" s="6">
        <f>MAX($B639:$B$1261)</f>
        <v>59.05</v>
      </c>
      <c r="E639" s="7">
        <f t="shared" si="46"/>
        <v>0</v>
      </c>
      <c r="G639" s="6">
        <v>8057.04</v>
      </c>
      <c r="H639" s="7">
        <f t="shared" si="47"/>
        <v>1.3364726479666134E-2</v>
      </c>
      <c r="I639" s="6">
        <f>MAX($G639:$G$1261)</f>
        <v>8330.2099999999991</v>
      </c>
      <c r="J639" s="7">
        <f t="shared" si="48"/>
        <v>-3.2792690700474414E-2</v>
      </c>
      <c r="K639" s="6">
        <f t="shared" si="49"/>
        <v>134.64709834186192</v>
      </c>
    </row>
    <row r="640" spans="1:11" x14ac:dyDescent="0.25">
      <c r="A640" s="2">
        <f>DATE(2019,10,10)</f>
        <v>43748</v>
      </c>
      <c r="B640" s="6">
        <v>57.52</v>
      </c>
      <c r="C640" s="7">
        <f t="shared" si="45"/>
        <v>1.3389711064129672E-2</v>
      </c>
      <c r="D640" s="6">
        <f>MAX($B640:$B$1261)</f>
        <v>58.02</v>
      </c>
      <c r="E640" s="7">
        <f t="shared" si="46"/>
        <v>-8.6177180282661636E-3</v>
      </c>
      <c r="G640" s="6">
        <v>7950.78</v>
      </c>
      <c r="H640" s="7">
        <f t="shared" si="47"/>
        <v>5.9516127807848207E-3</v>
      </c>
      <c r="I640" s="6">
        <f>MAX($G640:$G$1261)</f>
        <v>8330.2099999999991</v>
      </c>
      <c r="J640" s="7">
        <f t="shared" si="48"/>
        <v>-4.5548671642131389E-2</v>
      </c>
      <c r="K640" s="6">
        <f t="shared" si="49"/>
        <v>132.87130963164003</v>
      </c>
    </row>
    <row r="641" spans="1:11" x14ac:dyDescent="0.25">
      <c r="A641" s="2">
        <f>DATE(2019,10,9)</f>
        <v>43747</v>
      </c>
      <c r="B641" s="6">
        <v>56.76</v>
      </c>
      <c r="C641" s="7">
        <f t="shared" si="45"/>
        <v>1.1764705882352899E-2</v>
      </c>
      <c r="D641" s="6">
        <f>MAX($B641:$B$1261)</f>
        <v>58.02</v>
      </c>
      <c r="E641" s="7">
        <f t="shared" si="46"/>
        <v>-2.171664943123075E-2</v>
      </c>
      <c r="G641" s="6">
        <v>7903.74</v>
      </c>
      <c r="H641" s="7">
        <f t="shared" si="47"/>
        <v>1.0220123776486512E-2</v>
      </c>
      <c r="I641" s="6">
        <f>MAX($G641:$G$1261)</f>
        <v>8330.2099999999991</v>
      </c>
      <c r="J641" s="7">
        <f t="shared" si="48"/>
        <v>-5.1195588106422218E-2</v>
      </c>
      <c r="K641" s="6">
        <f t="shared" si="49"/>
        <v>132.08518972830069</v>
      </c>
    </row>
    <row r="642" spans="1:11" x14ac:dyDescent="0.25">
      <c r="A642" s="2">
        <f>DATE(2019,10,8)</f>
        <v>43746</v>
      </c>
      <c r="B642" s="6">
        <v>56.1</v>
      </c>
      <c r="C642" s="7">
        <f t="shared" ref="C642:C705" si="50">IFERROR(B642/B643-1,0)</f>
        <v>-1.1627906976744096E-2</v>
      </c>
      <c r="D642" s="6">
        <f>MAX($B642:$B$1261)</f>
        <v>58.02</v>
      </c>
      <c r="E642" s="7">
        <f t="shared" ref="E642:E705" si="51">$B642/$D642-1</f>
        <v>-3.3092037228541926E-2</v>
      </c>
      <c r="G642" s="6">
        <v>7823.78</v>
      </c>
      <c r="H642" s="7">
        <f t="shared" ref="H642:H705" si="52">IFERROR(G642/G643-1,0)</f>
        <v>-1.6654747375975498E-2</v>
      </c>
      <c r="I642" s="6">
        <f>MAX($G642:$G$1261)</f>
        <v>8330.2099999999991</v>
      </c>
      <c r="J642" s="7">
        <f t="shared" ref="J642:J705" si="53">$G642/$I642-1</f>
        <v>-6.0794385735773671E-2</v>
      </c>
      <c r="K642" s="6">
        <f t="shared" ref="K642:K705" si="54">$K643*(1+H642)</f>
        <v>130.74891958648493</v>
      </c>
    </row>
    <row r="643" spans="1:11" x14ac:dyDescent="0.25">
      <c r="A643" s="2">
        <f>DATE(2019,10,7)</f>
        <v>43745</v>
      </c>
      <c r="B643" s="6">
        <v>56.76</v>
      </c>
      <c r="C643" s="7">
        <f t="shared" si="50"/>
        <v>1.7621145374446812E-4</v>
      </c>
      <c r="D643" s="6">
        <f>MAX($B643:$B$1261)</f>
        <v>58.02</v>
      </c>
      <c r="E643" s="7">
        <f t="shared" si="51"/>
        <v>-2.171664943123075E-2</v>
      </c>
      <c r="G643" s="6">
        <v>7956.29</v>
      </c>
      <c r="H643" s="7">
        <f t="shared" si="52"/>
        <v>-3.279686613291366E-3</v>
      </c>
      <c r="I643" s="6">
        <f>MAX($G643:$G$1261)</f>
        <v>8330.2099999999991</v>
      </c>
      <c r="J643" s="7">
        <f t="shared" si="53"/>
        <v>-4.4887223731454484E-2</v>
      </c>
      <c r="K643" s="6">
        <f t="shared" si="54"/>
        <v>132.96339127848103</v>
      </c>
    </row>
    <row r="644" spans="1:11" x14ac:dyDescent="0.25">
      <c r="A644" s="2">
        <f>DATE(2019,10,4)</f>
        <v>43742</v>
      </c>
      <c r="B644" s="6">
        <v>56.75</v>
      </c>
      <c r="C644" s="7">
        <f t="shared" si="50"/>
        <v>2.7893497554790869E-2</v>
      </c>
      <c r="D644" s="6">
        <f>MAX($B644:$B$1261)</f>
        <v>58.02</v>
      </c>
      <c r="E644" s="7">
        <f t="shared" si="51"/>
        <v>-2.1889003791796036E-2</v>
      </c>
      <c r="G644" s="6">
        <v>7982.47</v>
      </c>
      <c r="H644" s="7">
        <f t="shared" si="52"/>
        <v>1.3999791673547479E-2</v>
      </c>
      <c r="I644" s="6">
        <f>MAX($G644:$G$1261)</f>
        <v>8330.2099999999991</v>
      </c>
      <c r="J644" s="7">
        <f t="shared" si="53"/>
        <v>-4.1744445818292619E-2</v>
      </c>
      <c r="K644" s="6">
        <f t="shared" si="54"/>
        <v>133.40090443897049</v>
      </c>
    </row>
    <row r="645" spans="1:11" x14ac:dyDescent="0.25">
      <c r="A645" s="2">
        <f>DATE(2019,10,3)</f>
        <v>43741</v>
      </c>
      <c r="B645" s="6">
        <v>55.21</v>
      </c>
      <c r="C645" s="7">
        <f t="shared" si="50"/>
        <v>8.5860431128972348E-3</v>
      </c>
      <c r="D645" s="6">
        <f>MAX($B645:$B$1261)</f>
        <v>58.02</v>
      </c>
      <c r="E645" s="7">
        <f t="shared" si="51"/>
        <v>-4.8431575318855558E-2</v>
      </c>
      <c r="G645" s="6">
        <v>7872.26</v>
      </c>
      <c r="H645" s="7">
        <f t="shared" si="52"/>
        <v>1.1176262804662773E-2</v>
      </c>
      <c r="I645" s="6">
        <f>MAX($G645:$G$1261)</f>
        <v>8330.2099999999991</v>
      </c>
      <c r="J645" s="7">
        <f t="shared" si="53"/>
        <v>-5.4974604481759615E-2</v>
      </c>
      <c r="K645" s="6">
        <f t="shared" si="54"/>
        <v>131.55910438482445</v>
      </c>
    </row>
    <row r="646" spans="1:11" x14ac:dyDescent="0.25">
      <c r="A646" s="2">
        <f>DATE(2019,10,2)</f>
        <v>43740</v>
      </c>
      <c r="B646" s="6">
        <v>54.74</v>
      </c>
      <c r="C646" s="7">
        <f t="shared" si="50"/>
        <v>-2.5111308993766679E-2</v>
      </c>
      <c r="D646" s="6">
        <f>MAX($B646:$B$1261)</f>
        <v>58.02</v>
      </c>
      <c r="E646" s="7">
        <f t="shared" si="51"/>
        <v>-5.6532230265425754E-2</v>
      </c>
      <c r="G646" s="6">
        <v>7785.25</v>
      </c>
      <c r="H646" s="7">
        <f t="shared" si="52"/>
        <v>-1.5606902795409661E-2</v>
      </c>
      <c r="I646" s="6">
        <f>MAX($G646:$G$1261)</f>
        <v>8330.2099999999991</v>
      </c>
      <c r="J646" s="7">
        <f t="shared" si="53"/>
        <v>-6.5419719310797597E-2</v>
      </c>
      <c r="K646" s="6">
        <f t="shared" si="54"/>
        <v>130.10501652790362</v>
      </c>
    </row>
    <row r="647" spans="1:11" x14ac:dyDescent="0.25">
      <c r="A647" s="2">
        <f>DATE(2019,10,1)</f>
        <v>43739</v>
      </c>
      <c r="B647" s="6">
        <v>56.15</v>
      </c>
      <c r="C647" s="7">
        <f t="shared" si="50"/>
        <v>2.8576531523485382E-3</v>
      </c>
      <c r="D647" s="6">
        <f>MAX($B647:$B$1261)</f>
        <v>58.02</v>
      </c>
      <c r="E647" s="7">
        <f t="shared" si="51"/>
        <v>-3.2230265425715388E-2</v>
      </c>
      <c r="G647" s="6">
        <v>7908.68</v>
      </c>
      <c r="H647" s="7">
        <f t="shared" si="52"/>
        <v>-1.1333435008388126E-2</v>
      </c>
      <c r="I647" s="6">
        <f>MAX($G647:$G$1261)</f>
        <v>8330.2099999999991</v>
      </c>
      <c r="J647" s="7">
        <f t="shared" si="53"/>
        <v>-5.0602565841677327E-2</v>
      </c>
      <c r="K647" s="6">
        <f t="shared" si="54"/>
        <v>132.16774568753743</v>
      </c>
    </row>
    <row r="648" spans="1:11" x14ac:dyDescent="0.25">
      <c r="A648" s="2">
        <f>DATE(2019,9,30)</f>
        <v>43738</v>
      </c>
      <c r="B648" s="6">
        <v>55.99</v>
      </c>
      <c r="C648" s="7">
        <f t="shared" si="50"/>
        <v>2.3396088466459464E-2</v>
      </c>
      <c r="D648" s="6">
        <f>MAX($B648:$B$1261)</f>
        <v>58.02</v>
      </c>
      <c r="E648" s="7">
        <f t="shared" si="51"/>
        <v>-3.49879351947604E-2</v>
      </c>
      <c r="G648" s="6">
        <v>7999.34</v>
      </c>
      <c r="H648" s="7">
        <f t="shared" si="52"/>
        <v>7.5205015850865475E-3</v>
      </c>
      <c r="I648" s="6">
        <f>MAX($G648:$G$1261)</f>
        <v>8330.2099999999991</v>
      </c>
      <c r="J648" s="7">
        <f t="shared" si="53"/>
        <v>-3.9719286788688302E-2</v>
      </c>
      <c r="K648" s="6">
        <f t="shared" si="54"/>
        <v>133.68283136859066</v>
      </c>
    </row>
    <row r="649" spans="1:11" x14ac:dyDescent="0.25">
      <c r="A649" s="2">
        <f>DATE(2019,9,27)</f>
        <v>43735</v>
      </c>
      <c r="B649" s="6">
        <v>54.71</v>
      </c>
      <c r="C649" s="7">
        <f t="shared" si="50"/>
        <v>-4.7298526468982915E-3</v>
      </c>
      <c r="D649" s="6">
        <f>MAX($B649:$B$1261)</f>
        <v>58.02</v>
      </c>
      <c r="E649" s="7">
        <f t="shared" si="51"/>
        <v>-5.7049293347121721E-2</v>
      </c>
      <c r="G649" s="6">
        <v>7939.63</v>
      </c>
      <c r="H649" s="7">
        <f t="shared" si="52"/>
        <v>-1.1335307434258146E-2</v>
      </c>
      <c r="I649" s="6">
        <f>MAX($G649:$G$1261)</f>
        <v>8330.2099999999991</v>
      </c>
      <c r="J649" s="7">
        <f t="shared" si="53"/>
        <v>-4.6887173312557429E-2</v>
      </c>
      <c r="K649" s="6">
        <f t="shared" si="54"/>
        <v>132.68497381271496</v>
      </c>
    </row>
    <row r="650" spans="1:11" x14ac:dyDescent="0.25">
      <c r="A650" s="2">
        <f>DATE(2019,9,26)</f>
        <v>43734</v>
      </c>
      <c r="B650" s="6">
        <v>54.97</v>
      </c>
      <c r="C650" s="7">
        <f t="shared" si="50"/>
        <v>-5.24791892870069E-3</v>
      </c>
      <c r="D650" s="6">
        <f>MAX($B650:$B$1261)</f>
        <v>58.02</v>
      </c>
      <c r="E650" s="7">
        <f t="shared" si="51"/>
        <v>-5.2568079972423409E-2</v>
      </c>
      <c r="G650" s="6">
        <v>8030.66</v>
      </c>
      <c r="H650" s="7">
        <f t="shared" si="52"/>
        <v>-5.7840537401979697E-3</v>
      </c>
      <c r="I650" s="6">
        <f>MAX($G650:$G$1261)</f>
        <v>8330.2099999999991</v>
      </c>
      <c r="J650" s="7">
        <f t="shared" si="53"/>
        <v>-3.5959477612208968E-2</v>
      </c>
      <c r="K650" s="6">
        <f t="shared" si="54"/>
        <v>134.20624283484463</v>
      </c>
    </row>
    <row r="651" spans="1:11" x14ac:dyDescent="0.25">
      <c r="A651" s="2">
        <f>DATE(2019,9,25)</f>
        <v>43733</v>
      </c>
      <c r="B651" s="6">
        <v>55.26</v>
      </c>
      <c r="C651" s="7">
        <f t="shared" si="50"/>
        <v>1.5435501653803696E-2</v>
      </c>
      <c r="D651" s="6">
        <f>MAX($B651:$B$1261)</f>
        <v>58.02</v>
      </c>
      <c r="E651" s="7">
        <f t="shared" si="51"/>
        <v>-4.7569803516029019E-2</v>
      </c>
      <c r="G651" s="6">
        <v>8077.38</v>
      </c>
      <c r="H651" s="7">
        <f t="shared" si="52"/>
        <v>1.0477092384811426E-2</v>
      </c>
      <c r="I651" s="6">
        <f>MAX($G651:$G$1261)</f>
        <v>8330.2099999999991</v>
      </c>
      <c r="J651" s="7">
        <f t="shared" si="53"/>
        <v>-3.0350975545634373E-2</v>
      </c>
      <c r="K651" s="6">
        <f t="shared" si="54"/>
        <v>134.9870149837395</v>
      </c>
    </row>
    <row r="652" spans="1:11" x14ac:dyDescent="0.25">
      <c r="A652" s="2">
        <f>DATE(2019,9,24)</f>
        <v>43732</v>
      </c>
      <c r="B652" s="6">
        <v>54.42</v>
      </c>
      <c r="C652" s="7">
        <f t="shared" si="50"/>
        <v>-4.7549378200438808E-3</v>
      </c>
      <c r="D652" s="6">
        <f>MAX($B652:$B$1261)</f>
        <v>58.02</v>
      </c>
      <c r="E652" s="7">
        <f t="shared" si="51"/>
        <v>-6.2047569803516001E-2</v>
      </c>
      <c r="G652" s="6">
        <v>7993.63</v>
      </c>
      <c r="H652" s="7">
        <f t="shared" si="52"/>
        <v>-1.4647838017074921E-2</v>
      </c>
      <c r="I652" s="6">
        <f>MAX($G652:$G$1261)</f>
        <v>8330.2099999999991</v>
      </c>
      <c r="J652" s="7">
        <f t="shared" si="53"/>
        <v>-4.0404743697937895E-2</v>
      </c>
      <c r="K652" s="6">
        <f t="shared" si="54"/>
        <v>133.58740737522186</v>
      </c>
    </row>
    <row r="653" spans="1:11" x14ac:dyDescent="0.25">
      <c r="A653" s="2">
        <f>DATE(2019,9,23)</f>
        <v>43731</v>
      </c>
      <c r="B653" s="6">
        <v>54.68</v>
      </c>
      <c r="C653" s="7">
        <f t="shared" si="50"/>
        <v>4.5930553003858954E-3</v>
      </c>
      <c r="D653" s="6">
        <f>MAX($B653:$B$1261)</f>
        <v>58.02</v>
      </c>
      <c r="E653" s="7">
        <f t="shared" si="51"/>
        <v>-5.7566356428817689E-2</v>
      </c>
      <c r="G653" s="6">
        <v>8112.46</v>
      </c>
      <c r="H653" s="7">
        <f t="shared" si="52"/>
        <v>-6.4180978039263259E-4</v>
      </c>
      <c r="I653" s="6">
        <f>MAX($G653:$G$1261)</f>
        <v>8330.2099999999991</v>
      </c>
      <c r="J653" s="7">
        <f t="shared" si="53"/>
        <v>-2.6139797195988912E-2</v>
      </c>
      <c r="K653" s="6">
        <f t="shared" si="54"/>
        <v>135.57326256471617</v>
      </c>
    </row>
    <row r="654" spans="1:11" x14ac:dyDescent="0.25">
      <c r="A654" s="2">
        <f>DATE(2019,9,20)</f>
        <v>43728</v>
      </c>
      <c r="B654" s="6">
        <v>54.43</v>
      </c>
      <c r="C654" s="7">
        <f t="shared" si="50"/>
        <v>-1.4663287472845843E-2</v>
      </c>
      <c r="D654" s="6">
        <f>MAX($B654:$B$1261)</f>
        <v>58.02</v>
      </c>
      <c r="E654" s="7">
        <f t="shared" si="51"/>
        <v>-6.1875215442950715E-2</v>
      </c>
      <c r="G654" s="6">
        <v>8117.67</v>
      </c>
      <c r="H654" s="7">
        <f t="shared" si="52"/>
        <v>-7.9690769020198671E-3</v>
      </c>
      <c r="I654" s="6">
        <f>MAX($G654:$G$1261)</f>
        <v>8330.2099999999991</v>
      </c>
      <c r="J654" s="7">
        <f t="shared" si="53"/>
        <v>-2.5514362783170985E-2</v>
      </c>
      <c r="K654" s="6">
        <f t="shared" si="54"/>
        <v>135.66033069176544</v>
      </c>
    </row>
    <row r="655" spans="1:11" x14ac:dyDescent="0.25">
      <c r="A655" s="2">
        <f>DATE(2019,9,19)</f>
        <v>43727</v>
      </c>
      <c r="B655" s="6">
        <v>55.24</v>
      </c>
      <c r="C655" s="7">
        <f t="shared" si="50"/>
        <v>-8.0804453223198847E-3</v>
      </c>
      <c r="D655" s="6">
        <f>MAX($B655:$B$1261)</f>
        <v>58.02</v>
      </c>
      <c r="E655" s="7">
        <f t="shared" si="51"/>
        <v>-4.791451223715959E-2</v>
      </c>
      <c r="G655" s="6">
        <v>8182.88</v>
      </c>
      <c r="H655" s="7">
        <f t="shared" si="52"/>
        <v>6.713633567678734E-4</v>
      </c>
      <c r="I655" s="6">
        <f>MAX($G655:$G$1261)</f>
        <v>8330.2099999999991</v>
      </c>
      <c r="J655" s="7">
        <f t="shared" si="53"/>
        <v>-1.7686228798553527E-2</v>
      </c>
      <c r="K655" s="6">
        <f t="shared" si="54"/>
        <v>136.75010277715572</v>
      </c>
    </row>
    <row r="656" spans="1:11" x14ac:dyDescent="0.25">
      <c r="A656" s="2">
        <f>DATE(2019,9,18)</f>
        <v>43726</v>
      </c>
      <c r="B656" s="6">
        <v>55.69</v>
      </c>
      <c r="C656" s="7">
        <f t="shared" si="50"/>
        <v>9.4254123617907304E-3</v>
      </c>
      <c r="D656" s="6">
        <f>MAX($B656:$B$1261)</f>
        <v>58.02</v>
      </c>
      <c r="E656" s="7">
        <f t="shared" si="51"/>
        <v>-4.0158566011720187E-2</v>
      </c>
      <c r="G656" s="6">
        <v>8177.39</v>
      </c>
      <c r="H656" s="7">
        <f t="shared" si="52"/>
        <v>-1.0542363688337275E-3</v>
      </c>
      <c r="I656" s="6">
        <f>MAX($G656:$G$1261)</f>
        <v>8330.2099999999991</v>
      </c>
      <c r="J656" s="7">
        <f t="shared" si="53"/>
        <v>-1.8345275809373174E-2</v>
      </c>
      <c r="K656" s="6">
        <f t="shared" si="54"/>
        <v>136.65835536496752</v>
      </c>
    </row>
    <row r="657" spans="1:11" x14ac:dyDescent="0.25">
      <c r="A657" s="2">
        <f>DATE(2019,9,17)</f>
        <v>43725</v>
      </c>
      <c r="B657" s="6">
        <v>55.17</v>
      </c>
      <c r="C657" s="7">
        <f t="shared" si="50"/>
        <v>3.638348189921814E-3</v>
      </c>
      <c r="D657" s="6">
        <f>MAX($B657:$B$1261)</f>
        <v>58.02</v>
      </c>
      <c r="E657" s="7">
        <f t="shared" si="51"/>
        <v>-4.9120992761116922E-2</v>
      </c>
      <c r="G657" s="6">
        <v>8186.02</v>
      </c>
      <c r="H657" s="7">
        <f t="shared" si="52"/>
        <v>3.9835457972856592E-3</v>
      </c>
      <c r="I657" s="6">
        <f>MAX($G657:$G$1261)</f>
        <v>8330.2099999999991</v>
      </c>
      <c r="J657" s="7">
        <f t="shared" si="53"/>
        <v>-1.7309287520962724E-2</v>
      </c>
      <c r="K657" s="6">
        <f t="shared" si="54"/>
        <v>136.80257761764224</v>
      </c>
    </row>
    <row r="658" spans="1:11" x14ac:dyDescent="0.25">
      <c r="A658" s="2">
        <f>DATE(2019,9,16)</f>
        <v>43724</v>
      </c>
      <c r="B658" s="6">
        <v>54.97</v>
      </c>
      <c r="C658" s="7">
        <f t="shared" si="50"/>
        <v>5.1197659535564544E-3</v>
      </c>
      <c r="D658" s="6">
        <f>MAX($B658:$B$1261)</f>
        <v>58.02</v>
      </c>
      <c r="E658" s="7">
        <f t="shared" si="51"/>
        <v>-5.2568079972423409E-2</v>
      </c>
      <c r="G658" s="6">
        <v>8153.54</v>
      </c>
      <c r="H658" s="7">
        <f t="shared" si="52"/>
        <v>-2.8336580360560637E-3</v>
      </c>
      <c r="I658" s="6">
        <f>MAX($G658:$G$1261)</f>
        <v>8330.2099999999991</v>
      </c>
      <c r="J658" s="7">
        <f t="shared" si="53"/>
        <v>-2.1208348889163564E-2</v>
      </c>
      <c r="K658" s="6">
        <f t="shared" si="54"/>
        <v>136.25978054152696</v>
      </c>
    </row>
    <row r="659" spans="1:11" x14ac:dyDescent="0.25">
      <c r="A659" s="2">
        <f>DATE(2019,9,13)</f>
        <v>43721</v>
      </c>
      <c r="B659" s="6">
        <v>54.69</v>
      </c>
      <c r="C659" s="7">
        <f t="shared" si="50"/>
        <v>-1.9365250134480982E-2</v>
      </c>
      <c r="D659" s="6">
        <f>MAX($B659:$B$1261)</f>
        <v>58.02</v>
      </c>
      <c r="E659" s="7">
        <f t="shared" si="51"/>
        <v>-5.7394002068252403E-2</v>
      </c>
      <c r="G659" s="6">
        <v>8176.71</v>
      </c>
      <c r="H659" s="7">
        <f t="shared" si="52"/>
        <v>-2.1673152748132862E-3</v>
      </c>
      <c r="I659" s="6">
        <f>MAX($G659:$G$1261)</f>
        <v>8330.2099999999991</v>
      </c>
      <c r="J659" s="7">
        <f t="shared" si="53"/>
        <v>-1.8426906404520271E-2</v>
      </c>
      <c r="K659" s="6">
        <f t="shared" si="54"/>
        <v>136.64699138677298</v>
      </c>
    </row>
    <row r="660" spans="1:11" x14ac:dyDescent="0.25">
      <c r="A660" s="2">
        <f>DATE(2019,9,12)</f>
        <v>43720</v>
      </c>
      <c r="B660" s="6">
        <v>55.77</v>
      </c>
      <c r="C660" s="7">
        <f t="shared" si="50"/>
        <v>-2.3255813953487747E-3</v>
      </c>
      <c r="D660" s="6">
        <f>MAX($B660:$B$1261)</f>
        <v>58.02</v>
      </c>
      <c r="E660" s="7">
        <f t="shared" si="51"/>
        <v>-3.877973112719757E-2</v>
      </c>
      <c r="G660" s="6">
        <v>8194.4699999999993</v>
      </c>
      <c r="H660" s="7">
        <f t="shared" si="52"/>
        <v>3.0343905758853928E-3</v>
      </c>
      <c r="I660" s="6">
        <f>MAX($G660:$G$1261)</f>
        <v>8330.2099999999991</v>
      </c>
      <c r="J660" s="7">
        <f t="shared" si="53"/>
        <v>-1.6294907331267705E-2</v>
      </c>
      <c r="K660" s="6">
        <f t="shared" si="54"/>
        <v>136.9437917584419</v>
      </c>
    </row>
    <row r="661" spans="1:11" x14ac:dyDescent="0.25">
      <c r="A661" s="2">
        <f>DATE(2019,9,11)</f>
        <v>43719</v>
      </c>
      <c r="B661" s="6">
        <v>55.9</v>
      </c>
      <c r="C661" s="7">
        <f t="shared" si="50"/>
        <v>3.1936496215617449E-2</v>
      </c>
      <c r="D661" s="6">
        <f>MAX($B661:$B$1261)</f>
        <v>58.02</v>
      </c>
      <c r="E661" s="7">
        <f t="shared" si="51"/>
        <v>-3.6539124439848414E-2</v>
      </c>
      <c r="G661" s="6">
        <v>8169.68</v>
      </c>
      <c r="H661" s="7">
        <f t="shared" si="52"/>
        <v>1.0578711950283148E-2</v>
      </c>
      <c r="I661" s="6">
        <f>MAX($G661:$G$1261)</f>
        <v>8330.2099999999991</v>
      </c>
      <c r="J661" s="7">
        <f t="shared" si="53"/>
        <v>-1.9270822704349433E-2</v>
      </c>
      <c r="K661" s="6">
        <f t="shared" si="54"/>
        <v>136.5295079063207</v>
      </c>
    </row>
    <row r="662" spans="1:11" x14ac:dyDescent="0.25">
      <c r="A662" s="2">
        <f>DATE(2019,9,10)</f>
        <v>43718</v>
      </c>
      <c r="B662" s="6">
        <v>54.17</v>
      </c>
      <c r="C662" s="7">
        <f t="shared" si="50"/>
        <v>1.1766903249906591E-2</v>
      </c>
      <c r="D662" s="6">
        <f>MAX($B662:$B$1261)</f>
        <v>58.02</v>
      </c>
      <c r="E662" s="7">
        <f t="shared" si="51"/>
        <v>-6.6356428817649138E-2</v>
      </c>
      <c r="G662" s="6">
        <v>8084.16</v>
      </c>
      <c r="H662" s="7">
        <f t="shared" si="52"/>
        <v>-4.0556715103912122E-4</v>
      </c>
      <c r="I662" s="6">
        <f>MAX($G662:$G$1261)</f>
        <v>8330.2099999999991</v>
      </c>
      <c r="J662" s="7">
        <f t="shared" si="53"/>
        <v>-2.95370704940211E-2</v>
      </c>
      <c r="K662" s="6">
        <f t="shared" si="54"/>
        <v>135.100320531032</v>
      </c>
    </row>
    <row r="663" spans="1:11" x14ac:dyDescent="0.25">
      <c r="A663" s="2">
        <f>DATE(2019,9,9)</f>
        <v>43717</v>
      </c>
      <c r="B663" s="6">
        <v>53.54</v>
      </c>
      <c r="C663" s="7">
        <f t="shared" si="50"/>
        <v>4.3143875445506019E-3</v>
      </c>
      <c r="D663" s="6">
        <f>MAX($B663:$B$1261)</f>
        <v>58.02</v>
      </c>
      <c r="E663" s="7">
        <f t="shared" si="51"/>
        <v>-7.7214753533264457E-2</v>
      </c>
      <c r="G663" s="6">
        <v>8087.44</v>
      </c>
      <c r="H663" s="7">
        <f t="shared" si="52"/>
        <v>-1.928898553264391E-3</v>
      </c>
      <c r="I663" s="6">
        <f>MAX($G663:$G$1261)</f>
        <v>8330.2099999999991</v>
      </c>
      <c r="J663" s="7">
        <f t="shared" si="53"/>
        <v>-2.9143322917429382E-2</v>
      </c>
      <c r="K663" s="6">
        <f t="shared" si="54"/>
        <v>135.15513501408796</v>
      </c>
    </row>
    <row r="664" spans="1:11" x14ac:dyDescent="0.25">
      <c r="A664" s="2">
        <f>DATE(2019,9,6)</f>
        <v>43714</v>
      </c>
      <c r="B664" s="6">
        <v>53.31</v>
      </c>
      <c r="C664" s="7">
        <f t="shared" si="50"/>
        <v>-1.8754688672162345E-4</v>
      </c>
      <c r="D664" s="6">
        <f>MAX($B664:$B$1261)</f>
        <v>58.02</v>
      </c>
      <c r="E664" s="7">
        <f t="shared" si="51"/>
        <v>-8.1178903826266802E-2</v>
      </c>
      <c r="G664" s="6">
        <v>8103.07</v>
      </c>
      <c r="H664" s="7">
        <f t="shared" si="52"/>
        <v>-1.6952430936708618E-3</v>
      </c>
      <c r="I664" s="6">
        <f>MAX($G664:$G$1261)</f>
        <v>8330.2099999999991</v>
      </c>
      <c r="J664" s="7">
        <f t="shared" si="53"/>
        <v>-2.7267019678975601E-2</v>
      </c>
      <c r="K664" s="6">
        <f t="shared" si="54"/>
        <v>135.41633939523578</v>
      </c>
    </row>
    <row r="665" spans="1:11" x14ac:dyDescent="0.25">
      <c r="A665" s="2">
        <f>DATE(2019,9,5)</f>
        <v>43713</v>
      </c>
      <c r="B665" s="6">
        <v>53.32</v>
      </c>
      <c r="C665" s="7">
        <f t="shared" si="50"/>
        <v>1.9502868068833612E-2</v>
      </c>
      <c r="D665" s="6">
        <f>MAX($B665:$B$1261)</f>
        <v>58.02</v>
      </c>
      <c r="E665" s="7">
        <f t="shared" si="51"/>
        <v>-8.1006549465701516E-2</v>
      </c>
      <c r="G665" s="6">
        <v>8116.83</v>
      </c>
      <c r="H665" s="7">
        <f t="shared" si="52"/>
        <v>1.7544453470529797E-2</v>
      </c>
      <c r="I665" s="6">
        <f>MAX($G665:$G$1261)</f>
        <v>8330.2099999999991</v>
      </c>
      <c r="J665" s="7">
        <f t="shared" si="53"/>
        <v>-2.5615200577176256E-2</v>
      </c>
      <c r="K665" s="6">
        <f t="shared" si="54"/>
        <v>135.64629283634866</v>
      </c>
    </row>
    <row r="666" spans="1:11" x14ac:dyDescent="0.25">
      <c r="A666" s="2">
        <f>DATE(2019,9,4)</f>
        <v>43712</v>
      </c>
      <c r="B666" s="6">
        <v>52.3</v>
      </c>
      <c r="C666" s="7">
        <f t="shared" si="50"/>
        <v>1.711396343835081E-2</v>
      </c>
      <c r="D666" s="6">
        <f>MAX($B666:$B$1261)</f>
        <v>58.02</v>
      </c>
      <c r="E666" s="7">
        <f t="shared" si="51"/>
        <v>-9.8586694243364414E-2</v>
      </c>
      <c r="G666" s="6">
        <v>7976.88</v>
      </c>
      <c r="H666" s="7">
        <f t="shared" si="52"/>
        <v>1.3045201011917529E-2</v>
      </c>
      <c r="I666" s="6">
        <f>MAX($G666:$G$1261)</f>
        <v>8330.2099999999991</v>
      </c>
      <c r="J666" s="7">
        <f t="shared" si="53"/>
        <v>-4.2415497328398555E-2</v>
      </c>
      <c r="K666" s="6">
        <f t="shared" si="54"/>
        <v>133.3074858535183</v>
      </c>
    </row>
    <row r="667" spans="1:11" x14ac:dyDescent="0.25">
      <c r="A667" s="2">
        <f>DATE(2019,9,3)</f>
        <v>43711</v>
      </c>
      <c r="B667" s="6">
        <v>51.42</v>
      </c>
      <c r="C667" s="7">
        <f t="shared" si="50"/>
        <v>-1.4753784249856183E-2</v>
      </c>
      <c r="D667" s="6">
        <f>MAX($B667:$B$1261)</f>
        <v>58.02</v>
      </c>
      <c r="E667" s="7">
        <f t="shared" si="51"/>
        <v>-0.11375387797311276</v>
      </c>
      <c r="G667" s="6">
        <v>7874.16</v>
      </c>
      <c r="H667" s="7">
        <f t="shared" si="52"/>
        <v>-1.1141697476290013E-2</v>
      </c>
      <c r="I667" s="6">
        <f>MAX($G667:$G$1261)</f>
        <v>8330.2099999999991</v>
      </c>
      <c r="J667" s="7">
        <f t="shared" si="53"/>
        <v>-5.4746518995319349E-2</v>
      </c>
      <c r="K667" s="6">
        <f t="shared" si="54"/>
        <v>131.59085667683851</v>
      </c>
    </row>
    <row r="668" spans="1:11" x14ac:dyDescent="0.25">
      <c r="A668" s="2">
        <f>DATE(2019,8,30)</f>
        <v>43707</v>
      </c>
      <c r="B668" s="6">
        <v>52.19</v>
      </c>
      <c r="C668" s="7">
        <f t="shared" si="50"/>
        <v>-1.1483253588516762E-3</v>
      </c>
      <c r="D668" s="6">
        <f>MAX($B668:$B$1261)</f>
        <v>58.02</v>
      </c>
      <c r="E668" s="7">
        <f t="shared" si="51"/>
        <v>-0.100482592209583</v>
      </c>
      <c r="G668" s="6">
        <v>7962.88</v>
      </c>
      <c r="H668" s="7">
        <f t="shared" si="52"/>
        <v>-1.3181344446967502E-3</v>
      </c>
      <c r="I668" s="6">
        <f>MAX($G668:$G$1261)</f>
        <v>8330.2099999999991</v>
      </c>
      <c r="J668" s="7">
        <f t="shared" si="53"/>
        <v>-4.4096127228485105E-2</v>
      </c>
      <c r="K668" s="6">
        <f t="shared" si="54"/>
        <v>133.07352159657208</v>
      </c>
    </row>
    <row r="669" spans="1:11" x14ac:dyDescent="0.25">
      <c r="A669" s="2">
        <f>DATE(2019,8,29)</f>
        <v>43706</v>
      </c>
      <c r="B669" s="6">
        <v>52.25</v>
      </c>
      <c r="C669" s="7">
        <f t="shared" si="50"/>
        <v>1.6932658622031971E-2</v>
      </c>
      <c r="D669" s="6">
        <f>MAX($B669:$B$1261)</f>
        <v>58.02</v>
      </c>
      <c r="E669" s="7">
        <f t="shared" si="51"/>
        <v>-9.9448466046191064E-2</v>
      </c>
      <c r="G669" s="6">
        <v>7973.39</v>
      </c>
      <c r="H669" s="7">
        <f t="shared" si="52"/>
        <v>1.4829041553390265E-2</v>
      </c>
      <c r="I669" s="6">
        <f>MAX($G669:$G$1261)</f>
        <v>8330.2099999999991</v>
      </c>
      <c r="J669" s="7">
        <f t="shared" si="53"/>
        <v>-4.2834454353491536E-2</v>
      </c>
      <c r="K669" s="6">
        <f t="shared" si="54"/>
        <v>133.24916190660815</v>
      </c>
    </row>
    <row r="670" spans="1:11" x14ac:dyDescent="0.25">
      <c r="A670" s="2">
        <f>DATE(2019,8,28)</f>
        <v>43705</v>
      </c>
      <c r="B670" s="6">
        <v>51.38</v>
      </c>
      <c r="C670" s="7">
        <f t="shared" si="50"/>
        <v>6.6614420062696134E-3</v>
      </c>
      <c r="D670" s="6">
        <f>MAX($B670:$B$1261)</f>
        <v>58.02</v>
      </c>
      <c r="E670" s="7">
        <f t="shared" si="51"/>
        <v>-0.11444329541537401</v>
      </c>
      <c r="G670" s="6">
        <v>7856.88</v>
      </c>
      <c r="H670" s="7">
        <f t="shared" si="52"/>
        <v>3.8239671902848826E-3</v>
      </c>
      <c r="I670" s="6">
        <f>MAX($G670:$G$1261)</f>
        <v>8330.2099999999991</v>
      </c>
      <c r="J670" s="7">
        <f t="shared" si="53"/>
        <v>-5.6820896471997617E-2</v>
      </c>
      <c r="K670" s="6">
        <f t="shared" si="54"/>
        <v>131.30207793683633</v>
      </c>
    </row>
    <row r="671" spans="1:11" x14ac:dyDescent="0.25">
      <c r="A671" s="2">
        <f>DATE(2019,8,27)</f>
        <v>43704</v>
      </c>
      <c r="B671" s="6">
        <v>51.04</v>
      </c>
      <c r="C671" s="7">
        <f t="shared" si="50"/>
        <v>-1.1235955056179692E-2</v>
      </c>
      <c r="D671" s="6">
        <f>MAX($B671:$B$1261)</f>
        <v>58.02</v>
      </c>
      <c r="E671" s="7">
        <f t="shared" si="51"/>
        <v>-0.12030334367459505</v>
      </c>
      <c r="G671" s="6">
        <v>7826.95</v>
      </c>
      <c r="H671" s="7">
        <f t="shared" si="52"/>
        <v>-3.4111136859635849E-3</v>
      </c>
      <c r="I671" s="6">
        <f>MAX($G671:$G$1261)</f>
        <v>8330.2099999999991</v>
      </c>
      <c r="J671" s="7">
        <f t="shared" si="53"/>
        <v>-6.0413843108396925E-2</v>
      </c>
      <c r="K671" s="6">
        <f t="shared" si="54"/>
        <v>130.80189577895055</v>
      </c>
    </row>
    <row r="672" spans="1:11" x14ac:dyDescent="0.25">
      <c r="A672" s="2">
        <f>DATE(2019,8,26)</f>
        <v>43703</v>
      </c>
      <c r="B672" s="6">
        <v>51.62</v>
      </c>
      <c r="C672" s="7">
        <f t="shared" si="50"/>
        <v>1.8949861823924108E-2</v>
      </c>
      <c r="D672" s="6">
        <f>MAX($B672:$B$1261)</f>
        <v>58.02</v>
      </c>
      <c r="E672" s="7">
        <f t="shared" si="51"/>
        <v>-0.11030679076180638</v>
      </c>
      <c r="G672" s="6">
        <v>7853.74</v>
      </c>
      <c r="H672" s="7">
        <f t="shared" si="52"/>
        <v>1.3154415056174207E-2</v>
      </c>
      <c r="I672" s="6">
        <f>MAX($G672:$G$1261)</f>
        <v>8330.2099999999991</v>
      </c>
      <c r="J672" s="7">
        <f t="shared" si="53"/>
        <v>-5.719783774958842E-2</v>
      </c>
      <c r="K672" s="6">
        <f t="shared" si="54"/>
        <v>131.2496030963498</v>
      </c>
    </row>
    <row r="673" spans="1:11" x14ac:dyDescent="0.25">
      <c r="A673" s="2">
        <f>DATE(2019,8,23)</f>
        <v>43700</v>
      </c>
      <c r="B673" s="6">
        <v>50.66</v>
      </c>
      <c r="C673" s="7">
        <f t="shared" si="50"/>
        <v>-4.6310240963855387E-2</v>
      </c>
      <c r="D673" s="6">
        <f>MAX($B673:$B$1261)</f>
        <v>58.02</v>
      </c>
      <c r="E673" s="7">
        <f t="shared" si="51"/>
        <v>-0.12685280937607735</v>
      </c>
      <c r="G673" s="6">
        <v>7751.77</v>
      </c>
      <c r="H673" s="7">
        <f t="shared" si="52"/>
        <v>-2.9984771109907049E-2</v>
      </c>
      <c r="I673" s="6">
        <f>MAX($G673:$G$1261)</f>
        <v>8330.2099999999991</v>
      </c>
      <c r="J673" s="7">
        <f t="shared" si="53"/>
        <v>-6.9438825671861659E-2</v>
      </c>
      <c r="K673" s="6">
        <f t="shared" si="54"/>
        <v>129.5455077191493</v>
      </c>
    </row>
    <row r="674" spans="1:11" x14ac:dyDescent="0.25">
      <c r="A674" s="2">
        <f>DATE(2019,8,22)</f>
        <v>43699</v>
      </c>
      <c r="B674" s="6">
        <v>53.12</v>
      </c>
      <c r="C674" s="7">
        <f t="shared" si="50"/>
        <v>-7.5244544770503019E-4</v>
      </c>
      <c r="D674" s="6">
        <f>MAX($B674:$B$1261)</f>
        <v>58.02</v>
      </c>
      <c r="E674" s="7">
        <f t="shared" si="51"/>
        <v>-8.4453636677008004E-2</v>
      </c>
      <c r="G674" s="6">
        <v>7991.39</v>
      </c>
      <c r="H674" s="7">
        <f t="shared" si="52"/>
        <v>-3.5934221173758996E-3</v>
      </c>
      <c r="I674" s="6">
        <f>MAX($G674:$G$1261)</f>
        <v>8330.2099999999991</v>
      </c>
      <c r="J674" s="7">
        <f t="shared" si="53"/>
        <v>-4.0673644481951654E-2</v>
      </c>
      <c r="K674" s="6">
        <f t="shared" si="54"/>
        <v>133.54997309411044</v>
      </c>
    </row>
    <row r="675" spans="1:11" x14ac:dyDescent="0.25">
      <c r="A675" s="2">
        <f>DATE(2019,8,21)</f>
        <v>43698</v>
      </c>
      <c r="B675" s="6">
        <v>53.16</v>
      </c>
      <c r="C675" s="7">
        <f t="shared" si="50"/>
        <v>1.0838562464346779E-2</v>
      </c>
      <c r="D675" s="6">
        <f>MAX($B675:$B$1261)</f>
        <v>58.02</v>
      </c>
      <c r="E675" s="7">
        <f t="shared" si="51"/>
        <v>-8.3764219234746751E-2</v>
      </c>
      <c r="G675" s="6">
        <v>8020.21</v>
      </c>
      <c r="H675" s="7">
        <f t="shared" si="52"/>
        <v>9.0142113791680245E-3</v>
      </c>
      <c r="I675" s="6">
        <f>MAX($G675:$G$1261)</f>
        <v>8330.2099999999991</v>
      </c>
      <c r="J675" s="7">
        <f t="shared" si="53"/>
        <v>-3.7213947787630652E-2</v>
      </c>
      <c r="K675" s="6">
        <f t="shared" si="54"/>
        <v>134.03160522876689</v>
      </c>
    </row>
    <row r="676" spans="1:11" x14ac:dyDescent="0.25">
      <c r="A676" s="2">
        <f>DATE(2019,8,20)</f>
        <v>43697</v>
      </c>
      <c r="B676" s="6">
        <v>52.59</v>
      </c>
      <c r="C676" s="7">
        <f t="shared" si="50"/>
        <v>0</v>
      </c>
      <c r="D676" s="6">
        <f>MAX($B676:$B$1261)</f>
        <v>58.02</v>
      </c>
      <c r="E676" s="7">
        <f t="shared" si="51"/>
        <v>-9.3588417786970024E-2</v>
      </c>
      <c r="G676" s="6">
        <v>7948.56</v>
      </c>
      <c r="H676" s="7">
        <f t="shared" si="52"/>
        <v>-6.7788689222910703E-3</v>
      </c>
      <c r="I676" s="6">
        <f>MAX($G676:$G$1261)</f>
        <v>8330.2099999999991</v>
      </c>
      <c r="J676" s="7">
        <f t="shared" si="53"/>
        <v>-4.581517152628789E-2</v>
      </c>
      <c r="K676" s="6">
        <f t="shared" si="54"/>
        <v>132.83420958518136</v>
      </c>
    </row>
    <row r="677" spans="1:11" x14ac:dyDescent="0.25">
      <c r="A677" s="2">
        <f>DATE(2019,8,19)</f>
        <v>43696</v>
      </c>
      <c r="B677" s="6">
        <v>52.59</v>
      </c>
      <c r="C677" s="7">
        <f t="shared" si="50"/>
        <v>1.8791166214645605E-2</v>
      </c>
      <c r="D677" s="6">
        <f>MAX($B677:$B$1261)</f>
        <v>58.02</v>
      </c>
      <c r="E677" s="7">
        <f t="shared" si="51"/>
        <v>-9.3588417786970024E-2</v>
      </c>
      <c r="G677" s="6">
        <v>8002.81</v>
      </c>
      <c r="H677" s="7">
        <f t="shared" si="52"/>
        <v>1.3528385927540576E-2</v>
      </c>
      <c r="I677" s="6">
        <f>MAX($G677:$G$1261)</f>
        <v>8330.2099999999991</v>
      </c>
      <c r="J677" s="7">
        <f t="shared" si="53"/>
        <v>-3.9302730663452468E-2</v>
      </c>
      <c r="K677" s="6">
        <f t="shared" si="54"/>
        <v>133.74082108084801</v>
      </c>
    </row>
    <row r="678" spans="1:11" x14ac:dyDescent="0.25">
      <c r="A678" s="2">
        <f>DATE(2019,8,16)</f>
        <v>43693</v>
      </c>
      <c r="B678" s="6">
        <v>51.62</v>
      </c>
      <c r="C678" s="7">
        <f t="shared" si="50"/>
        <v>2.3394131641554239E-2</v>
      </c>
      <c r="D678" s="6">
        <f>MAX($B678:$B$1261)</f>
        <v>58.02</v>
      </c>
      <c r="E678" s="7">
        <f t="shared" si="51"/>
        <v>-0.11030679076180638</v>
      </c>
      <c r="G678" s="6">
        <v>7895.99</v>
      </c>
      <c r="H678" s="7">
        <f t="shared" si="52"/>
        <v>1.6657181631134277E-2</v>
      </c>
      <c r="I678" s="6">
        <f>MAX($G678:$G$1261)</f>
        <v>8330.2099999999991</v>
      </c>
      <c r="J678" s="7">
        <f t="shared" si="53"/>
        <v>-5.2125936801112993E-2</v>
      </c>
      <c r="K678" s="6">
        <f t="shared" si="54"/>
        <v>131.95567380034825</v>
      </c>
    </row>
    <row r="679" spans="1:11" x14ac:dyDescent="0.25">
      <c r="A679" s="2">
        <f>DATE(2019,8,15)</f>
        <v>43692</v>
      </c>
      <c r="B679" s="6">
        <v>50.44</v>
      </c>
      <c r="C679" s="7">
        <f t="shared" si="50"/>
        <v>-4.9319392385085425E-3</v>
      </c>
      <c r="D679" s="6">
        <f>MAX($B679:$B$1261)</f>
        <v>58.02</v>
      </c>
      <c r="E679" s="7">
        <f t="shared" si="51"/>
        <v>-0.13064460530851441</v>
      </c>
      <c r="G679" s="6">
        <v>7766.62</v>
      </c>
      <c r="H679" s="7">
        <f t="shared" si="52"/>
        <v>-9.4160747317317828E-4</v>
      </c>
      <c r="I679" s="6">
        <f>MAX($G679:$G$1261)</f>
        <v>8330.2099999999991</v>
      </c>
      <c r="J679" s="7">
        <f t="shared" si="53"/>
        <v>-6.7656157527841376E-2</v>
      </c>
      <c r="K679" s="6">
        <f t="shared" si="54"/>
        <v>129.79367694883868</v>
      </c>
    </row>
    <row r="680" spans="1:11" x14ac:dyDescent="0.25">
      <c r="A680" s="2">
        <f>DATE(2019,8,14)</f>
        <v>43691</v>
      </c>
      <c r="B680" s="6">
        <v>50.69</v>
      </c>
      <c r="C680" s="7">
        <f t="shared" si="50"/>
        <v>-2.9670750382848499E-2</v>
      </c>
      <c r="D680" s="6">
        <f>MAX($B680:$B$1261)</f>
        <v>58.02</v>
      </c>
      <c r="E680" s="7">
        <f t="shared" si="51"/>
        <v>-0.12633574629438138</v>
      </c>
      <c r="G680" s="6">
        <v>7773.94</v>
      </c>
      <c r="H680" s="7">
        <f t="shared" si="52"/>
        <v>-3.0240657854687214E-2</v>
      </c>
      <c r="I680" s="6">
        <f>MAX($G680:$G$1261)</f>
        <v>8330.2099999999991</v>
      </c>
      <c r="J680" s="7">
        <f t="shared" si="53"/>
        <v>-6.677742818008181E-2</v>
      </c>
      <c r="K680" s="6">
        <f t="shared" si="54"/>
        <v>129.91600683175628</v>
      </c>
    </row>
    <row r="681" spans="1:11" x14ac:dyDescent="0.25">
      <c r="A681" s="2">
        <f>DATE(2019,8,13)</f>
        <v>43690</v>
      </c>
      <c r="B681" s="6">
        <v>52.24</v>
      </c>
      <c r="C681" s="7">
        <f t="shared" si="50"/>
        <v>4.2298483639265916E-2</v>
      </c>
      <c r="D681" s="6">
        <f>MAX($B681:$B$1261)</f>
        <v>58.02</v>
      </c>
      <c r="E681" s="7">
        <f t="shared" si="51"/>
        <v>-9.962082040675635E-2</v>
      </c>
      <c r="G681" s="6">
        <v>8016.36</v>
      </c>
      <c r="H681" s="7">
        <f t="shared" si="52"/>
        <v>1.9450848931951814E-2</v>
      </c>
      <c r="I681" s="6">
        <f>MAX($G681:$G$1261)</f>
        <v>8330.2099999999991</v>
      </c>
      <c r="J681" s="7">
        <f t="shared" si="53"/>
        <v>-3.7676121010154495E-2</v>
      </c>
      <c r="K681" s="6">
        <f t="shared" si="54"/>
        <v>133.96726505810668</v>
      </c>
    </row>
    <row r="682" spans="1:11" x14ac:dyDescent="0.25">
      <c r="A682" s="2">
        <f>DATE(2019,8,12)</f>
        <v>43689</v>
      </c>
      <c r="B682" s="6">
        <v>50.12</v>
      </c>
      <c r="C682" s="7">
        <f t="shared" si="50"/>
        <v>-2.5870646766169569E-3</v>
      </c>
      <c r="D682" s="6">
        <f>MAX($B682:$B$1261)</f>
        <v>58.02</v>
      </c>
      <c r="E682" s="7">
        <f t="shared" si="51"/>
        <v>-0.13615994484660476</v>
      </c>
      <c r="G682" s="6">
        <v>7863.41</v>
      </c>
      <c r="H682" s="7">
        <f t="shared" si="52"/>
        <v>-1.202768138266197E-2</v>
      </c>
      <c r="I682" s="6">
        <f>MAX($G682:$G$1261)</f>
        <v>8330.2099999999991</v>
      </c>
      <c r="J682" s="7">
        <f t="shared" si="53"/>
        <v>-5.6037002668600122E-2</v>
      </c>
      <c r="K682" s="6">
        <f t="shared" si="54"/>
        <v>131.4112055509691</v>
      </c>
    </row>
    <row r="683" spans="1:11" x14ac:dyDescent="0.25">
      <c r="A683" s="2">
        <f>DATE(2019,8,9)</f>
        <v>43686</v>
      </c>
      <c r="B683" s="6">
        <v>50.25</v>
      </c>
      <c r="C683" s="7">
        <f t="shared" si="50"/>
        <v>-1.1993708218639432E-2</v>
      </c>
      <c r="D683" s="6">
        <f>MAX($B683:$B$1261)</f>
        <v>58.02</v>
      </c>
      <c r="E683" s="7">
        <f t="shared" si="51"/>
        <v>-0.1339193381592555</v>
      </c>
      <c r="G683" s="6">
        <v>7959.14</v>
      </c>
      <c r="H683" s="7">
        <f t="shared" si="52"/>
        <v>-9.9537762651819017E-3</v>
      </c>
      <c r="I683" s="6">
        <f>MAX($G683:$G$1261)</f>
        <v>8330.2099999999991</v>
      </c>
      <c r="J683" s="7">
        <f t="shared" si="53"/>
        <v>-4.4545095501793974E-2</v>
      </c>
      <c r="K683" s="6">
        <f t="shared" si="54"/>
        <v>133.01101971650215</v>
      </c>
    </row>
    <row r="684" spans="1:11" x14ac:dyDescent="0.25">
      <c r="A684" s="2">
        <f>DATE(2019,8,8)</f>
        <v>43685</v>
      </c>
      <c r="B684" s="6">
        <v>50.86</v>
      </c>
      <c r="C684" s="7">
        <f t="shared" si="50"/>
        <v>2.2106109324758982E-2</v>
      </c>
      <c r="D684" s="6">
        <f>MAX($B684:$B$1261)</f>
        <v>58.02</v>
      </c>
      <c r="E684" s="7">
        <f t="shared" si="51"/>
        <v>-0.12340572216477086</v>
      </c>
      <c r="G684" s="6">
        <v>8039.16</v>
      </c>
      <c r="H684" s="7">
        <f t="shared" si="52"/>
        <v>2.2425767821509623E-2</v>
      </c>
      <c r="I684" s="6">
        <f>MAX($G684:$G$1261)</f>
        <v>8330.2099999999991</v>
      </c>
      <c r="J684" s="7">
        <f t="shared" si="53"/>
        <v>-3.4939095172870749E-2</v>
      </c>
      <c r="K684" s="6">
        <f t="shared" si="54"/>
        <v>134.34829256227624</v>
      </c>
    </row>
    <row r="685" spans="1:11" x14ac:dyDescent="0.25">
      <c r="A685" s="2">
        <f>DATE(2019,8,7)</f>
        <v>43684</v>
      </c>
      <c r="B685" s="6">
        <v>49.76</v>
      </c>
      <c r="C685" s="7">
        <f t="shared" si="50"/>
        <v>1.035532994923849E-2</v>
      </c>
      <c r="D685" s="6">
        <f>MAX($B685:$B$1261)</f>
        <v>58.02</v>
      </c>
      <c r="E685" s="7">
        <f t="shared" si="51"/>
        <v>-0.14236470182695626</v>
      </c>
      <c r="G685" s="6">
        <v>7862.83</v>
      </c>
      <c r="H685" s="7">
        <f t="shared" si="52"/>
        <v>3.7736475316183515E-3</v>
      </c>
      <c r="I685" s="6">
        <f>MAX($G685:$G$1261)</f>
        <v>8330.2099999999991</v>
      </c>
      <c r="J685" s="7">
        <f t="shared" si="53"/>
        <v>-5.610662876446082E-2</v>
      </c>
      <c r="K685" s="6">
        <f t="shared" si="54"/>
        <v>131.40151274603843</v>
      </c>
    </row>
    <row r="686" spans="1:11" x14ac:dyDescent="0.25">
      <c r="A686" s="2">
        <f>DATE(2019,8,6)</f>
        <v>43683</v>
      </c>
      <c r="B686" s="6">
        <v>49.25</v>
      </c>
      <c r="C686" s="7">
        <f t="shared" si="50"/>
        <v>1.9035795572108549E-2</v>
      </c>
      <c r="D686" s="6">
        <f>MAX($B686:$B$1261)</f>
        <v>58.02</v>
      </c>
      <c r="E686" s="7">
        <f t="shared" si="51"/>
        <v>-0.15115477421578771</v>
      </c>
      <c r="G686" s="6">
        <v>7833.27</v>
      </c>
      <c r="H686" s="7">
        <f t="shared" si="52"/>
        <v>1.3879037644123127E-2</v>
      </c>
      <c r="I686" s="6">
        <f>MAX($G686:$G$1261)</f>
        <v>8330.2099999999991</v>
      </c>
      <c r="J686" s="7">
        <f t="shared" si="53"/>
        <v>-5.9655158753500692E-2</v>
      </c>
      <c r="K686" s="6">
        <f t="shared" si="54"/>
        <v>130.90751392922911</v>
      </c>
    </row>
    <row r="687" spans="1:11" x14ac:dyDescent="0.25">
      <c r="A687" s="2">
        <f>DATE(2019,8,5)</f>
        <v>43682</v>
      </c>
      <c r="B687" s="6">
        <v>48.33</v>
      </c>
      <c r="C687" s="7">
        <f t="shared" si="50"/>
        <v>-5.2538717898451326E-2</v>
      </c>
      <c r="D687" s="6">
        <f>MAX($B687:$B$1261)</f>
        <v>58.02</v>
      </c>
      <c r="E687" s="7">
        <f t="shared" si="51"/>
        <v>-0.16701137538779742</v>
      </c>
      <c r="G687" s="6">
        <v>7726.04</v>
      </c>
      <c r="H687" s="7">
        <f t="shared" si="52"/>
        <v>-3.4736078020307093E-2</v>
      </c>
      <c r="I687" s="6">
        <f>MAX($G687:$G$1261)</f>
        <v>8330.2099999999991</v>
      </c>
      <c r="J687" s="7">
        <f t="shared" si="53"/>
        <v>-7.2527583338235058E-2</v>
      </c>
      <c r="K687" s="6">
        <f t="shared" si="54"/>
        <v>129.11551483834734</v>
      </c>
    </row>
    <row r="688" spans="1:11" x14ac:dyDescent="0.25">
      <c r="A688" s="2">
        <f>DATE(2019,8,2)</f>
        <v>43679</v>
      </c>
      <c r="B688" s="6">
        <v>51.01</v>
      </c>
      <c r="C688" s="7">
        <f t="shared" si="50"/>
        <v>-2.1109192093648033E-2</v>
      </c>
      <c r="D688" s="6">
        <f>MAX($B688:$B$1261)</f>
        <v>58.02</v>
      </c>
      <c r="E688" s="7">
        <f t="shared" si="51"/>
        <v>-0.12082040675629102</v>
      </c>
      <c r="G688" s="6">
        <v>8004.07</v>
      </c>
      <c r="H688" s="7">
        <f t="shared" si="52"/>
        <v>-1.3197930741993713E-2</v>
      </c>
      <c r="I688" s="6">
        <f>MAX($G688:$G$1261)</f>
        <v>8330.2099999999991</v>
      </c>
      <c r="J688" s="7">
        <f t="shared" si="53"/>
        <v>-3.9151473972444784E-2</v>
      </c>
      <c r="K688" s="6">
        <f t="shared" si="54"/>
        <v>133.7618778639731</v>
      </c>
    </row>
    <row r="689" spans="1:11" x14ac:dyDescent="0.25">
      <c r="A689" s="2">
        <f>DATE(2019,8,1)</f>
        <v>43678</v>
      </c>
      <c r="B689" s="6">
        <v>52.11</v>
      </c>
      <c r="C689" s="7">
        <f t="shared" si="50"/>
        <v>-2.1592189260232764E-2</v>
      </c>
      <c r="D689" s="6">
        <f>MAX($B689:$B$1261)</f>
        <v>58.02</v>
      </c>
      <c r="E689" s="7">
        <f t="shared" si="51"/>
        <v>-0.10186142709410551</v>
      </c>
      <c r="G689" s="6">
        <v>8111.12</v>
      </c>
      <c r="H689" s="7">
        <f t="shared" si="52"/>
        <v>-7.8650393496603188E-3</v>
      </c>
      <c r="I689" s="6">
        <f>MAX($G689:$G$1261)</f>
        <v>8330.2099999999991</v>
      </c>
      <c r="J689" s="7">
        <f t="shared" si="53"/>
        <v>-2.6300657486425849E-2</v>
      </c>
      <c r="K689" s="6">
        <f t="shared" si="54"/>
        <v>135.55086884297981</v>
      </c>
    </row>
    <row r="690" spans="1:11" x14ac:dyDescent="0.25">
      <c r="A690" s="2">
        <f>DATE(2019,7,31)</f>
        <v>43677</v>
      </c>
      <c r="B690" s="6">
        <v>53.26</v>
      </c>
      <c r="C690" s="7">
        <f t="shared" si="50"/>
        <v>2.0306513409961591E-2</v>
      </c>
      <c r="D690" s="6">
        <f>MAX($B690:$B$1261)</f>
        <v>58.02</v>
      </c>
      <c r="E690" s="7">
        <f t="shared" si="51"/>
        <v>-8.2040675629093451E-2</v>
      </c>
      <c r="G690" s="6">
        <v>8175.42</v>
      </c>
      <c r="H690" s="7">
        <f t="shared" si="52"/>
        <v>-1.1867854539916789E-2</v>
      </c>
      <c r="I690" s="6">
        <f>MAX($G690:$G$1261)</f>
        <v>8330.2099999999991</v>
      </c>
      <c r="J690" s="7">
        <f t="shared" si="53"/>
        <v>-1.8581764445314009E-2</v>
      </c>
      <c r="K690" s="6">
        <f t="shared" si="54"/>
        <v>136.62543325166857</v>
      </c>
    </row>
    <row r="691" spans="1:11" x14ac:dyDescent="0.25">
      <c r="A691" s="2">
        <f>DATE(2019,7,30)</f>
        <v>43676</v>
      </c>
      <c r="B691" s="6">
        <v>52.2</v>
      </c>
      <c r="C691" s="7">
        <f t="shared" si="50"/>
        <v>-4.1968714231209736E-3</v>
      </c>
      <c r="D691" s="6">
        <f>MAX($B691:$B$1261)</f>
        <v>58.02</v>
      </c>
      <c r="E691" s="7">
        <f t="shared" si="51"/>
        <v>-0.1003102378490176</v>
      </c>
      <c r="G691" s="6">
        <v>8273.61</v>
      </c>
      <c r="H691" s="7">
        <f t="shared" si="52"/>
        <v>-2.3778144605363094E-3</v>
      </c>
      <c r="I691" s="6">
        <f>MAX($G691:$G$1261)</f>
        <v>8330.2099999999991</v>
      </c>
      <c r="J691" s="7">
        <f t="shared" si="53"/>
        <v>-6.7945465960640439E-3</v>
      </c>
      <c r="K691" s="6">
        <f t="shared" si="54"/>
        <v>138.26635827949363</v>
      </c>
    </row>
    <row r="692" spans="1:11" x14ac:dyDescent="0.25">
      <c r="A692" s="2">
        <f>DATE(2019,7,29)</f>
        <v>43675</v>
      </c>
      <c r="B692" s="6">
        <v>52.42</v>
      </c>
      <c r="C692" s="7">
        <f t="shared" si="50"/>
        <v>9.241432422025575E-3</v>
      </c>
      <c r="D692" s="6">
        <f>MAX($B692:$B$1261)</f>
        <v>58.02</v>
      </c>
      <c r="E692" s="7">
        <f t="shared" si="51"/>
        <v>-9.6518441916580544E-2</v>
      </c>
      <c r="G692" s="6">
        <v>8293.33</v>
      </c>
      <c r="H692" s="7">
        <f t="shared" si="52"/>
        <v>-4.4272593367993274E-3</v>
      </c>
      <c r="I692" s="6">
        <f>MAX($G692:$G$1261)</f>
        <v>8330.2099999999991</v>
      </c>
      <c r="J692" s="7">
        <f t="shared" si="53"/>
        <v>-4.4272593367993274E-3</v>
      </c>
      <c r="K692" s="6">
        <f t="shared" si="54"/>
        <v>138.59591364713503</v>
      </c>
    </row>
    <row r="693" spans="1:11" x14ac:dyDescent="0.25">
      <c r="A693" s="2">
        <f>DATE(2019,7,26)</f>
        <v>43672</v>
      </c>
      <c r="B693" s="6">
        <v>51.94</v>
      </c>
      <c r="C693" s="7">
        <f t="shared" si="50"/>
        <v>3.4775888717155645E-3</v>
      </c>
      <c r="D693" s="6">
        <f>MAX($B693:$B$1261)</f>
        <v>58.02</v>
      </c>
      <c r="E693" s="7">
        <f t="shared" si="51"/>
        <v>-0.10479145122371603</v>
      </c>
      <c r="G693" s="6">
        <v>8330.2099999999991</v>
      </c>
      <c r="H693" s="7">
        <f t="shared" si="52"/>
        <v>1.11269715265081E-2</v>
      </c>
      <c r="I693" s="6">
        <f>MAX($G693:$G$1261)</f>
        <v>8330.2099999999991</v>
      </c>
      <c r="J693" s="7">
        <f t="shared" si="53"/>
        <v>0</v>
      </c>
      <c r="K693" s="6">
        <f t="shared" si="54"/>
        <v>139.21224234686196</v>
      </c>
    </row>
    <row r="694" spans="1:11" x14ac:dyDescent="0.25">
      <c r="A694" s="2">
        <f>DATE(2019,7,25)</f>
        <v>43671</v>
      </c>
      <c r="B694" s="6">
        <v>51.76</v>
      </c>
      <c r="C694" s="7">
        <f t="shared" si="50"/>
        <v>-7.8589227525398542E-3</v>
      </c>
      <c r="D694" s="6">
        <f>MAX($B694:$B$1261)</f>
        <v>58.02</v>
      </c>
      <c r="E694" s="7">
        <f t="shared" si="51"/>
        <v>-0.10789382971389183</v>
      </c>
      <c r="G694" s="6">
        <v>8238.5400000000009</v>
      </c>
      <c r="H694" s="7">
        <f t="shared" si="52"/>
        <v>-9.9693564862103345E-3</v>
      </c>
      <c r="I694" s="6">
        <f>MAX($G694:$G$1261)</f>
        <v>8321.5</v>
      </c>
      <c r="J694" s="7">
        <f t="shared" si="53"/>
        <v>-9.9693564862103345E-3</v>
      </c>
      <c r="K694" s="6">
        <f t="shared" si="54"/>
        <v>137.68027781584334</v>
      </c>
    </row>
    <row r="695" spans="1:11" x14ac:dyDescent="0.25">
      <c r="A695" s="2">
        <f>DATE(2019,7,24)</f>
        <v>43670</v>
      </c>
      <c r="B695" s="6">
        <v>52.17</v>
      </c>
      <c r="C695" s="7">
        <f t="shared" si="50"/>
        <v>-7.6613675541081783E-4</v>
      </c>
      <c r="D695" s="6">
        <f>MAX($B695:$B$1261)</f>
        <v>58.02</v>
      </c>
      <c r="E695" s="7">
        <f t="shared" si="51"/>
        <v>-0.10082730093071357</v>
      </c>
      <c r="G695" s="6">
        <v>8321.5</v>
      </c>
      <c r="H695" s="7">
        <f t="shared" si="52"/>
        <v>8.4955280316068027E-3</v>
      </c>
      <c r="I695" s="6">
        <f>MAX($G695:$G$1261)</f>
        <v>8321.5</v>
      </c>
      <c r="J695" s="7">
        <f t="shared" si="53"/>
        <v>0</v>
      </c>
      <c r="K695" s="6">
        <f t="shared" si="54"/>
        <v>139.06668315557613</v>
      </c>
    </row>
    <row r="696" spans="1:11" x14ac:dyDescent="0.25">
      <c r="A696" s="2">
        <f>DATE(2019,7,23)</f>
        <v>43669</v>
      </c>
      <c r="B696" s="6">
        <v>52.21</v>
      </c>
      <c r="C696" s="7">
        <f t="shared" si="50"/>
        <v>7.915057915057977E-3</v>
      </c>
      <c r="D696" s="6">
        <f>MAX($B696:$B$1261)</f>
        <v>58.02</v>
      </c>
      <c r="E696" s="7">
        <f t="shared" si="51"/>
        <v>-0.10013788348845232</v>
      </c>
      <c r="G696" s="6">
        <v>8251.4</v>
      </c>
      <c r="H696" s="7">
        <f t="shared" si="52"/>
        <v>5.7605062809753527E-3</v>
      </c>
      <c r="I696" s="6">
        <f>MAX($G696:$G$1261)</f>
        <v>8258.19</v>
      </c>
      <c r="J696" s="7">
        <f t="shared" si="53"/>
        <v>-8.2221406870042202E-4</v>
      </c>
      <c r="K696" s="6">
        <f t="shared" si="54"/>
        <v>137.89519069758106</v>
      </c>
    </row>
    <row r="697" spans="1:11" x14ac:dyDescent="0.25">
      <c r="A697" s="2">
        <f>DATE(2019,7,22)</f>
        <v>43668</v>
      </c>
      <c r="B697" s="6">
        <v>51.8</v>
      </c>
      <c r="C697" s="7">
        <f t="shared" si="50"/>
        <v>2.2704837117472731E-2</v>
      </c>
      <c r="D697" s="6">
        <f>MAX($B697:$B$1261)</f>
        <v>58.02</v>
      </c>
      <c r="E697" s="7">
        <f t="shared" si="51"/>
        <v>-0.10720441227163058</v>
      </c>
      <c r="G697" s="6">
        <v>8204.14</v>
      </c>
      <c r="H697" s="7">
        <f t="shared" si="52"/>
        <v>7.0766673745379371E-3</v>
      </c>
      <c r="I697" s="6">
        <f>MAX($G697:$G$1261)</f>
        <v>8258.19</v>
      </c>
      <c r="J697" s="7">
        <f t="shared" si="53"/>
        <v>-6.5450177339103632E-3</v>
      </c>
      <c r="K697" s="6">
        <f t="shared" si="54"/>
        <v>137.10539421306112</v>
      </c>
    </row>
    <row r="698" spans="1:11" x14ac:dyDescent="0.25">
      <c r="A698" s="2">
        <f>DATE(2019,7,19)</f>
        <v>43665</v>
      </c>
      <c r="B698" s="6">
        <v>50.65</v>
      </c>
      <c r="C698" s="7">
        <f t="shared" si="50"/>
        <v>-1.4974718008557097E-2</v>
      </c>
      <c r="D698" s="6">
        <f>MAX($B698:$B$1261)</f>
        <v>58.02</v>
      </c>
      <c r="E698" s="7">
        <f t="shared" si="51"/>
        <v>-0.12702516373664263</v>
      </c>
      <c r="G698" s="6">
        <v>8146.49</v>
      </c>
      <c r="H698" s="7">
        <f t="shared" si="52"/>
        <v>-7.4020011599514879E-3</v>
      </c>
      <c r="I698" s="6">
        <f>MAX($G698:$G$1261)</f>
        <v>8258.19</v>
      </c>
      <c r="J698" s="7">
        <f t="shared" si="53"/>
        <v>-1.3525966343714613E-2</v>
      </c>
      <c r="K698" s="6">
        <f t="shared" si="54"/>
        <v>136.14196282642183</v>
      </c>
    </row>
    <row r="699" spans="1:11" x14ac:dyDescent="0.25">
      <c r="A699" s="2">
        <f>DATE(2019,7,18)</f>
        <v>43664</v>
      </c>
      <c r="B699" s="6">
        <v>51.42</v>
      </c>
      <c r="C699" s="7">
        <f t="shared" si="50"/>
        <v>1.1408339889850572E-2</v>
      </c>
      <c r="D699" s="6">
        <f>MAX($B699:$B$1261)</f>
        <v>58.02</v>
      </c>
      <c r="E699" s="7">
        <f t="shared" si="51"/>
        <v>-0.11375387797311276</v>
      </c>
      <c r="G699" s="6">
        <v>8207.24</v>
      </c>
      <c r="H699" s="7">
        <f t="shared" si="52"/>
        <v>2.691439804232143E-3</v>
      </c>
      <c r="I699" s="6">
        <f>MAX($G699:$G$1261)</f>
        <v>8258.19</v>
      </c>
      <c r="J699" s="7">
        <f t="shared" si="53"/>
        <v>-6.1696328130015354E-3</v>
      </c>
      <c r="K699" s="6">
        <f t="shared" si="54"/>
        <v>137.15720058424208</v>
      </c>
    </row>
    <row r="700" spans="1:11" x14ac:dyDescent="0.25">
      <c r="A700" s="2">
        <f>DATE(2019,7,17)</f>
        <v>43663</v>
      </c>
      <c r="B700" s="6">
        <v>50.84</v>
      </c>
      <c r="C700" s="7">
        <f t="shared" si="50"/>
        <v>-5.4773082942095597E-3</v>
      </c>
      <c r="D700" s="6">
        <f>MAX($B700:$B$1261)</f>
        <v>58.02</v>
      </c>
      <c r="E700" s="7">
        <f t="shared" si="51"/>
        <v>-0.12375043088590143</v>
      </c>
      <c r="G700" s="6">
        <v>8185.21</v>
      </c>
      <c r="H700" s="7">
        <f t="shared" si="52"/>
        <v>-4.5714355207471247E-3</v>
      </c>
      <c r="I700" s="6">
        <f>MAX($G700:$G$1261)</f>
        <v>8258.19</v>
      </c>
      <c r="J700" s="7">
        <f t="shared" si="53"/>
        <v>-8.8372875896535197E-3</v>
      </c>
      <c r="K700" s="6">
        <f t="shared" si="54"/>
        <v>136.78904111420457</v>
      </c>
    </row>
    <row r="701" spans="1:11" x14ac:dyDescent="0.25">
      <c r="A701" s="2">
        <f>DATE(2019,7,16)</f>
        <v>43662</v>
      </c>
      <c r="B701" s="6">
        <v>51.12</v>
      </c>
      <c r="C701" s="7">
        <f t="shared" si="50"/>
        <v>-3.5087719298245723E-3</v>
      </c>
      <c r="D701" s="6">
        <f>MAX($B701:$B$1261)</f>
        <v>58.02</v>
      </c>
      <c r="E701" s="7">
        <f t="shared" si="51"/>
        <v>-0.11892450879007244</v>
      </c>
      <c r="G701" s="6">
        <v>8222.7999999999993</v>
      </c>
      <c r="H701" s="7">
        <f t="shared" si="52"/>
        <v>-4.2854426938592205E-3</v>
      </c>
      <c r="I701" s="6">
        <f>MAX($G701:$G$1261)</f>
        <v>8258.19</v>
      </c>
      <c r="J701" s="7">
        <f t="shared" si="53"/>
        <v>-4.2854426938592205E-3</v>
      </c>
      <c r="K701" s="6">
        <f t="shared" si="54"/>
        <v>137.41723514410518</v>
      </c>
    </row>
    <row r="702" spans="1:11" x14ac:dyDescent="0.25">
      <c r="A702" s="2">
        <f>DATE(2019,7,15)</f>
        <v>43661</v>
      </c>
      <c r="B702" s="6">
        <v>51.3</v>
      </c>
      <c r="C702" s="7">
        <f t="shared" si="50"/>
        <v>9.2465079677355178E-3</v>
      </c>
      <c r="D702" s="6">
        <f>MAX($B702:$B$1261)</f>
        <v>58.02</v>
      </c>
      <c r="E702" s="7">
        <f t="shared" si="51"/>
        <v>-0.11582213029989663</v>
      </c>
      <c r="G702" s="6">
        <v>8258.19</v>
      </c>
      <c r="H702" s="7">
        <f t="shared" si="52"/>
        <v>1.7042408304566159E-3</v>
      </c>
      <c r="I702" s="6">
        <f>MAX($G702:$G$1261)</f>
        <v>8258.19</v>
      </c>
      <c r="J702" s="7">
        <f t="shared" si="53"/>
        <v>0</v>
      </c>
      <c r="K702" s="6">
        <f t="shared" si="54"/>
        <v>138.0086633622</v>
      </c>
    </row>
    <row r="703" spans="1:11" x14ac:dyDescent="0.25">
      <c r="A703" s="2">
        <f>DATE(2019,7,12)</f>
        <v>43658</v>
      </c>
      <c r="B703" s="6">
        <v>50.83</v>
      </c>
      <c r="C703" s="7">
        <f t="shared" si="50"/>
        <v>7.7319587628865705E-3</v>
      </c>
      <c r="D703" s="6">
        <f>MAX($B703:$B$1261)</f>
        <v>58.02</v>
      </c>
      <c r="E703" s="7">
        <f t="shared" si="51"/>
        <v>-0.12392278524646683</v>
      </c>
      <c r="G703" s="6">
        <v>8244.14</v>
      </c>
      <c r="H703" s="7">
        <f t="shared" si="52"/>
        <v>5.8686878053302305E-3</v>
      </c>
      <c r="I703" s="6">
        <f>MAX($G703:$G$1261)</f>
        <v>8244.14</v>
      </c>
      <c r="J703" s="7">
        <f t="shared" si="53"/>
        <v>0</v>
      </c>
      <c r="K703" s="6">
        <f t="shared" si="54"/>
        <v>137.77386351862179</v>
      </c>
    </row>
    <row r="704" spans="1:11" x14ac:dyDescent="0.25">
      <c r="A704" s="2">
        <f>DATE(2019,7,11)</f>
        <v>43657</v>
      </c>
      <c r="B704" s="6">
        <v>50.44</v>
      </c>
      <c r="C704" s="7">
        <f t="shared" si="50"/>
        <v>-7.2820310962410373E-3</v>
      </c>
      <c r="D704" s="6">
        <f>MAX($B704:$B$1261)</f>
        <v>58.02</v>
      </c>
      <c r="E704" s="7">
        <f t="shared" si="51"/>
        <v>-0.13064460530851441</v>
      </c>
      <c r="G704" s="6">
        <v>8196.0400000000009</v>
      </c>
      <c r="H704" s="7">
        <f t="shared" si="52"/>
        <v>-7.912192945347396E-4</v>
      </c>
      <c r="I704" s="6">
        <f>MAX($G704:$G$1261)</f>
        <v>8202.5300000000007</v>
      </c>
      <c r="J704" s="7">
        <f t="shared" si="53"/>
        <v>-7.912192945347396E-4</v>
      </c>
      <c r="K704" s="6">
        <f t="shared" si="54"/>
        <v>136.97002917868511</v>
      </c>
    </row>
    <row r="705" spans="1:11" x14ac:dyDescent="0.25">
      <c r="A705" s="2">
        <f>DATE(2019,7,10)</f>
        <v>43656</v>
      </c>
      <c r="B705" s="6">
        <v>50.81</v>
      </c>
      <c r="C705" s="7">
        <f t="shared" si="50"/>
        <v>9.9383820314051796E-3</v>
      </c>
      <c r="D705" s="6">
        <f>MAX($B705:$B$1261)</f>
        <v>58.02</v>
      </c>
      <c r="E705" s="7">
        <f t="shared" si="51"/>
        <v>-0.1242674939675974</v>
      </c>
      <c r="G705" s="6">
        <v>8202.5300000000007</v>
      </c>
      <c r="H705" s="7">
        <f t="shared" si="52"/>
        <v>7.4677003536105513E-3</v>
      </c>
      <c r="I705" s="6">
        <f>MAX($G705:$G$1261)</f>
        <v>8202.5300000000007</v>
      </c>
      <c r="J705" s="7">
        <f t="shared" si="53"/>
        <v>0</v>
      </c>
      <c r="K705" s="6">
        <f t="shared" si="54"/>
        <v>137.07848832351232</v>
      </c>
    </row>
    <row r="706" spans="1:11" x14ac:dyDescent="0.25">
      <c r="A706" s="2">
        <f>DATE(2019,7,9)</f>
        <v>43655</v>
      </c>
      <c r="B706" s="6">
        <v>50.31</v>
      </c>
      <c r="C706" s="7">
        <f t="shared" ref="C706:C769" si="55">IFERROR(B706/B707-1,0)</f>
        <v>5.998800239952029E-3</v>
      </c>
      <c r="D706" s="6">
        <f>MAX($B706:$B$1261)</f>
        <v>58.02</v>
      </c>
      <c r="E706" s="7">
        <f t="shared" ref="E706:E769" si="56">$B706/$D706-1</f>
        <v>-0.13288521199586345</v>
      </c>
      <c r="G706" s="6">
        <v>8141.73</v>
      </c>
      <c r="H706" s="7">
        <f t="shared" ref="H706:H769" si="57">IFERROR(G706/G707-1,0)</f>
        <v>5.3529224363391137E-3</v>
      </c>
      <c r="I706" s="6">
        <f>MAX($G706:$G$1261)</f>
        <v>8170.23</v>
      </c>
      <c r="J706" s="7">
        <f t="shared" ref="J706:J769" si="58">$G706/$I706-1</f>
        <v>-3.4882738919223E-3</v>
      </c>
      <c r="K706" s="6">
        <f t="shared" ref="K706:K769" si="59">$K707*(1+H706)</f>
        <v>136.06241497906009</v>
      </c>
    </row>
    <row r="707" spans="1:11" x14ac:dyDescent="0.25">
      <c r="A707" s="2">
        <f>DATE(2019,7,8)</f>
        <v>43654</v>
      </c>
      <c r="B707" s="6">
        <v>50.01</v>
      </c>
      <c r="C707" s="7">
        <f t="shared" si="55"/>
        <v>-2.0564042303172769E-2</v>
      </c>
      <c r="D707" s="6">
        <f>MAX($B707:$B$1261)</f>
        <v>58.02</v>
      </c>
      <c r="E707" s="7">
        <f t="shared" si="56"/>
        <v>-0.13805584281282324</v>
      </c>
      <c r="G707" s="6">
        <v>8098.38</v>
      </c>
      <c r="H707" s="7">
        <f t="shared" si="57"/>
        <v>-7.7691290758522547E-3</v>
      </c>
      <c r="I707" s="6">
        <f>MAX($G707:$G$1261)</f>
        <v>8170.23</v>
      </c>
      <c r="J707" s="7">
        <f t="shared" si="58"/>
        <v>-8.7941220748987137E-3</v>
      </c>
      <c r="K707" s="6">
        <f t="shared" si="59"/>
        <v>135.33796136915873</v>
      </c>
    </row>
    <row r="708" spans="1:11" x14ac:dyDescent="0.25">
      <c r="A708" s="2">
        <f>DATE(2019,7,5)</f>
        <v>43651</v>
      </c>
      <c r="B708" s="6">
        <v>51.06</v>
      </c>
      <c r="C708" s="7">
        <f t="shared" si="55"/>
        <v>-7.8277886497057914E-4</v>
      </c>
      <c r="D708" s="6">
        <f>MAX($B708:$B$1261)</f>
        <v>58.02</v>
      </c>
      <c r="E708" s="7">
        <f t="shared" si="56"/>
        <v>-0.11995863495346437</v>
      </c>
      <c r="G708" s="6">
        <v>8161.79</v>
      </c>
      <c r="H708" s="7">
        <f t="shared" si="57"/>
        <v>-1.0330186543096032E-3</v>
      </c>
      <c r="I708" s="6">
        <f>MAX($G708:$G$1261)</f>
        <v>8170.23</v>
      </c>
      <c r="J708" s="7">
        <f t="shared" si="58"/>
        <v>-1.0330186543096032E-3</v>
      </c>
      <c r="K708" s="6">
        <f t="shared" si="59"/>
        <v>136.39765233579877</v>
      </c>
    </row>
    <row r="709" spans="1:11" x14ac:dyDescent="0.25">
      <c r="A709" s="2">
        <f>DATE(2019,7,3)</f>
        <v>43649</v>
      </c>
      <c r="B709" s="6">
        <v>51.1</v>
      </c>
      <c r="C709" s="7">
        <f t="shared" si="55"/>
        <v>8.2872928176795924E-3</v>
      </c>
      <c r="D709" s="6">
        <f>MAX($B709:$B$1261)</f>
        <v>58.02</v>
      </c>
      <c r="E709" s="7">
        <f t="shared" si="56"/>
        <v>-0.11926921751120301</v>
      </c>
      <c r="G709" s="6">
        <v>8170.23</v>
      </c>
      <c r="H709" s="7">
        <f t="shared" si="57"/>
        <v>7.5396869439110503E-3</v>
      </c>
      <c r="I709" s="6">
        <f>MAX($G709:$G$1261)</f>
        <v>8170.23</v>
      </c>
      <c r="J709" s="7">
        <f t="shared" si="58"/>
        <v>0</v>
      </c>
      <c r="K709" s="6">
        <f t="shared" si="59"/>
        <v>136.53869935927207</v>
      </c>
    </row>
    <row r="710" spans="1:11" x14ac:dyDescent="0.25">
      <c r="A710" s="2">
        <f>DATE(2019,7,2)</f>
        <v>43648</v>
      </c>
      <c r="B710" s="6">
        <v>50.68</v>
      </c>
      <c r="C710" s="7">
        <f t="shared" si="55"/>
        <v>5.7551101409010208E-3</v>
      </c>
      <c r="D710" s="6">
        <f>MAX($B710:$B$1261)</f>
        <v>58.02</v>
      </c>
      <c r="E710" s="7">
        <f t="shared" si="56"/>
        <v>-0.12650810065494666</v>
      </c>
      <c r="G710" s="6">
        <v>8109.09</v>
      </c>
      <c r="H710" s="7">
        <f t="shared" si="57"/>
        <v>2.2159986948719901E-3</v>
      </c>
      <c r="I710" s="6">
        <f>MAX($G710:$G$1261)</f>
        <v>8164</v>
      </c>
      <c r="J710" s="7">
        <f t="shared" si="58"/>
        <v>-6.7258696717295008E-3</v>
      </c>
      <c r="K710" s="6">
        <f t="shared" si="59"/>
        <v>135.51694402572261</v>
      </c>
    </row>
    <row r="711" spans="1:11" x14ac:dyDescent="0.25">
      <c r="A711" s="2">
        <f>DATE(2019,7,1)</f>
        <v>43647</v>
      </c>
      <c r="B711" s="6">
        <v>50.39</v>
      </c>
      <c r="C711" s="7">
        <f t="shared" si="55"/>
        <v>1.8391269199676819E-2</v>
      </c>
      <c r="D711" s="6">
        <f>MAX($B711:$B$1261)</f>
        <v>58.02</v>
      </c>
      <c r="E711" s="7">
        <f t="shared" si="56"/>
        <v>-0.13150637711134094</v>
      </c>
      <c r="G711" s="6">
        <v>8091.16</v>
      </c>
      <c r="H711" s="7">
        <f t="shared" si="57"/>
        <v>1.0606726753132456E-2</v>
      </c>
      <c r="I711" s="6">
        <f>MAX($G711:$G$1261)</f>
        <v>8164</v>
      </c>
      <c r="J711" s="7">
        <f t="shared" si="58"/>
        <v>-8.9220970112690035E-3</v>
      </c>
      <c r="K711" s="6">
        <f t="shared" si="59"/>
        <v>135.21730265950504</v>
      </c>
    </row>
    <row r="712" spans="1:11" x14ac:dyDescent="0.25">
      <c r="A712" s="2">
        <f>DATE(2019,6,28)</f>
        <v>43644</v>
      </c>
      <c r="B712" s="6">
        <v>49.48</v>
      </c>
      <c r="C712" s="7">
        <f t="shared" si="55"/>
        <v>-9.2110532639166909E-3</v>
      </c>
      <c r="D712" s="6">
        <f>MAX($B712:$B$1261)</f>
        <v>58.02</v>
      </c>
      <c r="E712" s="7">
        <f t="shared" si="56"/>
        <v>-0.14719062392278537</v>
      </c>
      <c r="G712" s="6">
        <v>8006.24</v>
      </c>
      <c r="H712" s="7">
        <f t="shared" si="57"/>
        <v>4.8294627348213215E-3</v>
      </c>
      <c r="I712" s="6">
        <f>MAX($G712:$G$1261)</f>
        <v>8164</v>
      </c>
      <c r="J712" s="7">
        <f t="shared" si="58"/>
        <v>-1.9323860852523245E-2</v>
      </c>
      <c r="K712" s="6">
        <f t="shared" si="59"/>
        <v>133.79814232379977</v>
      </c>
    </row>
    <row r="713" spans="1:11" x14ac:dyDescent="0.25">
      <c r="A713" s="2">
        <f>DATE(2019,6,27)</f>
        <v>43643</v>
      </c>
      <c r="B713" s="6">
        <v>49.94</v>
      </c>
      <c r="C713" s="7">
        <f t="shared" si="55"/>
        <v>-2.0020020020028451E-4</v>
      </c>
      <c r="D713" s="6">
        <f>MAX($B713:$B$1261)</f>
        <v>58.02</v>
      </c>
      <c r="E713" s="7">
        <f t="shared" si="56"/>
        <v>-0.13926232333678046</v>
      </c>
      <c r="G713" s="6">
        <v>7967.76</v>
      </c>
      <c r="H713" s="7">
        <f t="shared" si="57"/>
        <v>7.3059695548782777E-3</v>
      </c>
      <c r="I713" s="6">
        <f>MAX($G713:$G$1261)</f>
        <v>8164</v>
      </c>
      <c r="J713" s="7">
        <f t="shared" si="58"/>
        <v>-2.403723664870161E-2</v>
      </c>
      <c r="K713" s="6">
        <f t="shared" si="59"/>
        <v>133.1550748518504</v>
      </c>
    </row>
    <row r="714" spans="1:11" x14ac:dyDescent="0.25">
      <c r="A714" s="2">
        <f>DATE(2019,6,26)</f>
        <v>43642</v>
      </c>
      <c r="B714" s="6">
        <v>49.95</v>
      </c>
      <c r="C714" s="7">
        <f t="shared" si="55"/>
        <v>2.1681325424422138E-2</v>
      </c>
      <c r="D714" s="6">
        <f>MAX($B714:$B$1261)</f>
        <v>58.02</v>
      </c>
      <c r="E714" s="7">
        <f t="shared" si="56"/>
        <v>-0.13908996897621506</v>
      </c>
      <c r="G714" s="6">
        <v>7909.97</v>
      </c>
      <c r="H714" s="7">
        <f t="shared" si="57"/>
        <v>3.2023965340557403E-3</v>
      </c>
      <c r="I714" s="6">
        <f>MAX($G714:$G$1261)</f>
        <v>8164</v>
      </c>
      <c r="J714" s="7">
        <f t="shared" si="58"/>
        <v>-3.1115874571288504E-2</v>
      </c>
      <c r="K714" s="6">
        <f t="shared" si="59"/>
        <v>132.18930382264162</v>
      </c>
    </row>
    <row r="715" spans="1:11" x14ac:dyDescent="0.25">
      <c r="A715" s="2">
        <f>DATE(2019,6,25)</f>
        <v>43641</v>
      </c>
      <c r="B715" s="6">
        <v>48.89</v>
      </c>
      <c r="C715" s="7">
        <f t="shared" si="55"/>
        <v>-1.5307150050352436E-2</v>
      </c>
      <c r="D715" s="6">
        <f>MAX($B715:$B$1261)</f>
        <v>58.02</v>
      </c>
      <c r="E715" s="7">
        <f t="shared" si="56"/>
        <v>-0.15735953119613932</v>
      </c>
      <c r="G715" s="6">
        <v>7884.72</v>
      </c>
      <c r="H715" s="7">
        <f t="shared" si="57"/>
        <v>-1.5111732890315643E-2</v>
      </c>
      <c r="I715" s="6">
        <f>MAX($G715:$G$1261)</f>
        <v>8164</v>
      </c>
      <c r="J715" s="7">
        <f t="shared" si="58"/>
        <v>-3.4208721215090665E-2</v>
      </c>
      <c r="K715" s="6">
        <f t="shared" si="59"/>
        <v>131.76733257350645</v>
      </c>
    </row>
    <row r="716" spans="1:11" x14ac:dyDescent="0.25">
      <c r="A716" s="2">
        <f>DATE(2019,6,24)</f>
        <v>43640</v>
      </c>
      <c r="B716" s="6">
        <v>49.65</v>
      </c>
      <c r="C716" s="7">
        <f t="shared" si="55"/>
        <v>-1.006036217303885E-3</v>
      </c>
      <c r="D716" s="6">
        <f>MAX($B716:$B$1261)</f>
        <v>58.02</v>
      </c>
      <c r="E716" s="7">
        <f t="shared" si="56"/>
        <v>-0.14426059979317485</v>
      </c>
      <c r="G716" s="6">
        <v>8005.7</v>
      </c>
      <c r="H716" s="7">
        <f t="shared" si="57"/>
        <v>-3.2384137375478517E-3</v>
      </c>
      <c r="I716" s="6">
        <f>MAX($G716:$G$1261)</f>
        <v>8164</v>
      </c>
      <c r="J716" s="7">
        <f t="shared" si="58"/>
        <v>-1.939000489955911E-2</v>
      </c>
      <c r="K716" s="6">
        <f t="shared" si="59"/>
        <v>133.78911798817467</v>
      </c>
    </row>
    <row r="717" spans="1:11" x14ac:dyDescent="0.25">
      <c r="A717" s="2">
        <f>DATE(2019,6,21)</f>
        <v>43637</v>
      </c>
      <c r="B717" s="6">
        <v>49.7</v>
      </c>
      <c r="C717" s="7">
        <f t="shared" si="55"/>
        <v>-3.4088630439140788E-3</v>
      </c>
      <c r="D717" s="6">
        <f>MAX($B717:$B$1261)</f>
        <v>58.02</v>
      </c>
      <c r="E717" s="7">
        <f t="shared" si="56"/>
        <v>-0.1433988279903482</v>
      </c>
      <c r="G717" s="6">
        <v>8031.71</v>
      </c>
      <c r="H717" s="7">
        <f t="shared" si="57"/>
        <v>-2.4381034709750615E-3</v>
      </c>
      <c r="I717" s="6">
        <f>MAX($G717:$G$1261)</f>
        <v>8164</v>
      </c>
      <c r="J717" s="7">
        <f t="shared" si="58"/>
        <v>-1.6204066634002978E-2</v>
      </c>
      <c r="K717" s="6">
        <f t="shared" si="59"/>
        <v>134.22379015411551</v>
      </c>
    </row>
    <row r="718" spans="1:11" x14ac:dyDescent="0.25">
      <c r="A718" s="2">
        <f>DATE(2019,6,20)</f>
        <v>43636</v>
      </c>
      <c r="B718" s="6">
        <v>49.87</v>
      </c>
      <c r="C718" s="7">
        <f t="shared" si="55"/>
        <v>8.0857085102081783E-3</v>
      </c>
      <c r="D718" s="6">
        <f>MAX($B718:$B$1261)</f>
        <v>58.02</v>
      </c>
      <c r="E718" s="7">
        <f t="shared" si="56"/>
        <v>-0.14046880386073779</v>
      </c>
      <c r="G718" s="6">
        <v>8051.34</v>
      </c>
      <c r="H718" s="7">
        <f t="shared" si="57"/>
        <v>8.0152040984962092E-3</v>
      </c>
      <c r="I718" s="6">
        <f>MAX($G718:$G$1261)</f>
        <v>8164</v>
      </c>
      <c r="J718" s="7">
        <f t="shared" si="58"/>
        <v>-1.37996080352768E-2</v>
      </c>
      <c r="K718" s="6">
        <f t="shared" si="59"/>
        <v>134.55184146581939</v>
      </c>
    </row>
    <row r="719" spans="1:11" x14ac:dyDescent="0.25">
      <c r="A719" s="2">
        <f>DATE(2019,6,19)</f>
        <v>43635</v>
      </c>
      <c r="B719" s="6">
        <v>49.47</v>
      </c>
      <c r="C719" s="7">
        <f t="shared" si="55"/>
        <v>-2.8220116911913395E-3</v>
      </c>
      <c r="D719" s="6">
        <f>MAX($B719:$B$1261)</f>
        <v>58.02</v>
      </c>
      <c r="E719" s="7">
        <f t="shared" si="56"/>
        <v>-0.14736297828335065</v>
      </c>
      <c r="G719" s="6">
        <v>7987.32</v>
      </c>
      <c r="H719" s="7">
        <f t="shared" si="57"/>
        <v>4.2042374287769579E-3</v>
      </c>
      <c r="I719" s="6">
        <f>MAX($G719:$G$1261)</f>
        <v>8164</v>
      </c>
      <c r="J719" s="7">
        <f t="shared" si="58"/>
        <v>-2.1641352278295001E-2</v>
      </c>
      <c r="K719" s="6">
        <f t="shared" si="59"/>
        <v>133.48195634226954</v>
      </c>
    </row>
    <row r="720" spans="1:11" x14ac:dyDescent="0.25">
      <c r="A720" s="2">
        <f>DATE(2019,6,18)</f>
        <v>43634</v>
      </c>
      <c r="B720" s="6">
        <v>49.61</v>
      </c>
      <c r="C720" s="7">
        <f t="shared" si="55"/>
        <v>2.3519702909015949E-2</v>
      </c>
      <c r="D720" s="6">
        <f>MAX($B720:$B$1261)</f>
        <v>58.02</v>
      </c>
      <c r="E720" s="7">
        <f t="shared" si="56"/>
        <v>-0.1449500172354361</v>
      </c>
      <c r="G720" s="6">
        <v>7953.88</v>
      </c>
      <c r="H720" s="7">
        <f t="shared" si="57"/>
        <v>1.387631898962649E-2</v>
      </c>
      <c r="I720" s="6">
        <f>MAX($G720:$G$1261)</f>
        <v>8164</v>
      </c>
      <c r="J720" s="7">
        <f t="shared" si="58"/>
        <v>-2.5737383635472844E-2</v>
      </c>
      <c r="K720" s="6">
        <f t="shared" si="59"/>
        <v>132.92311600282082</v>
      </c>
    </row>
    <row r="721" spans="1:11" x14ac:dyDescent="0.25">
      <c r="A721" s="2">
        <f>DATE(2019,6,17)</f>
        <v>43633</v>
      </c>
      <c r="B721" s="6">
        <v>48.47</v>
      </c>
      <c r="C721" s="7">
        <f t="shared" si="55"/>
        <v>5.8103340942103898E-3</v>
      </c>
      <c r="D721" s="6">
        <f>MAX($B721:$B$1261)</f>
        <v>58.02</v>
      </c>
      <c r="E721" s="7">
        <f t="shared" si="56"/>
        <v>-0.16459841433988287</v>
      </c>
      <c r="G721" s="6">
        <v>7845.02</v>
      </c>
      <c r="H721" s="7">
        <f t="shared" si="57"/>
        <v>6.20265600911174E-3</v>
      </c>
      <c r="I721" s="6">
        <f>MAX($G721:$G$1261)</f>
        <v>8164</v>
      </c>
      <c r="J721" s="7">
        <f t="shared" si="58"/>
        <v>-3.9071533561979344E-2</v>
      </c>
      <c r="K721" s="6">
        <f t="shared" si="59"/>
        <v>131.10387678773748</v>
      </c>
    </row>
    <row r="722" spans="1:11" x14ac:dyDescent="0.25">
      <c r="A722" s="2">
        <f>DATE(2019,6,14)</f>
        <v>43630</v>
      </c>
      <c r="B722" s="6">
        <v>48.19</v>
      </c>
      <c r="C722" s="7">
        <f t="shared" si="55"/>
        <v>-7.2105480016481094E-3</v>
      </c>
      <c r="D722" s="6">
        <f>MAX($B722:$B$1261)</f>
        <v>58.02</v>
      </c>
      <c r="E722" s="7">
        <f t="shared" si="56"/>
        <v>-0.16942433643571186</v>
      </c>
      <c r="G722" s="6">
        <v>7796.66</v>
      </c>
      <c r="H722" s="7">
        <f t="shared" si="57"/>
        <v>-5.1638801448999905E-3</v>
      </c>
      <c r="I722" s="6">
        <f>MAX($G722:$G$1261)</f>
        <v>8164</v>
      </c>
      <c r="J722" s="7">
        <f t="shared" si="58"/>
        <v>-4.4995100440960334E-2</v>
      </c>
      <c r="K722" s="6">
        <f t="shared" si="59"/>
        <v>130.29569739731463</v>
      </c>
    </row>
    <row r="723" spans="1:11" x14ac:dyDescent="0.25">
      <c r="A723" s="2">
        <f>DATE(2019,6,13)</f>
        <v>43629</v>
      </c>
      <c r="B723" s="6">
        <v>48.54</v>
      </c>
      <c r="C723" s="7">
        <f t="shared" si="55"/>
        <v>-2.0597322348092639E-4</v>
      </c>
      <c r="D723" s="6">
        <f>MAX($B723:$B$1261)</f>
        <v>58.02</v>
      </c>
      <c r="E723" s="7">
        <f t="shared" si="56"/>
        <v>-0.16339193381592565</v>
      </c>
      <c r="G723" s="6">
        <v>7837.13</v>
      </c>
      <c r="H723" s="7">
        <f t="shared" si="57"/>
        <v>5.6989087250665094E-3</v>
      </c>
      <c r="I723" s="6">
        <f>MAX($G723:$G$1261)</f>
        <v>8164</v>
      </c>
      <c r="J723" s="7">
        <f t="shared" si="58"/>
        <v>-4.0037971582557508E-2</v>
      </c>
      <c r="K723" s="6">
        <f t="shared" si="59"/>
        <v>130.97202121721563</v>
      </c>
    </row>
    <row r="724" spans="1:11" x14ac:dyDescent="0.25">
      <c r="A724" s="2">
        <f>DATE(2019,6,12)</f>
        <v>43628</v>
      </c>
      <c r="B724" s="6">
        <v>48.55</v>
      </c>
      <c r="C724" s="7">
        <f t="shared" si="55"/>
        <v>-3.0800821355236874E-3</v>
      </c>
      <c r="D724" s="6">
        <f>MAX($B724:$B$1261)</f>
        <v>58.02</v>
      </c>
      <c r="E724" s="7">
        <f t="shared" si="56"/>
        <v>-0.16321957945536036</v>
      </c>
      <c r="G724" s="6">
        <v>7792.72</v>
      </c>
      <c r="H724" s="7">
        <f t="shared" si="57"/>
        <v>-3.8158814814056585E-3</v>
      </c>
      <c r="I724" s="6">
        <f>MAX($G724:$G$1261)</f>
        <v>8164</v>
      </c>
      <c r="J724" s="7">
        <f t="shared" si="58"/>
        <v>-4.5477707006369439E-2</v>
      </c>
      <c r="K724" s="6">
        <f t="shared" si="59"/>
        <v>130.22985317071689</v>
      </c>
    </row>
    <row r="725" spans="1:11" x14ac:dyDescent="0.25">
      <c r="A725" s="2">
        <f>DATE(2019,6,11)</f>
        <v>43627</v>
      </c>
      <c r="B725" s="6">
        <v>48.7</v>
      </c>
      <c r="C725" s="7">
        <f t="shared" si="55"/>
        <v>1.1422637590861928E-2</v>
      </c>
      <c r="D725" s="6">
        <f>MAX($B725:$B$1261)</f>
        <v>58.02</v>
      </c>
      <c r="E725" s="7">
        <f t="shared" si="56"/>
        <v>-0.16063426404688042</v>
      </c>
      <c r="G725" s="6">
        <v>7822.57</v>
      </c>
      <c r="H725" s="7">
        <f t="shared" si="57"/>
        <v>-7.6695252691716398E-5</v>
      </c>
      <c r="I725" s="6">
        <f>MAX($G725:$G$1261)</f>
        <v>8164</v>
      </c>
      <c r="J725" s="7">
        <f t="shared" si="58"/>
        <v>-4.1821411073003412E-2</v>
      </c>
      <c r="K725" s="6">
        <f t="shared" si="59"/>
        <v>130.72869838999154</v>
      </c>
    </row>
    <row r="726" spans="1:11" x14ac:dyDescent="0.25">
      <c r="A726" s="2">
        <f>DATE(2019,6,10)</f>
        <v>43626</v>
      </c>
      <c r="B726" s="6">
        <v>48.15</v>
      </c>
      <c r="C726" s="7">
        <f t="shared" si="55"/>
        <v>1.2831299957930087E-2</v>
      </c>
      <c r="D726" s="6">
        <f>MAX($B726:$B$1261)</f>
        <v>58.02</v>
      </c>
      <c r="E726" s="7">
        <f t="shared" si="56"/>
        <v>-0.17011375387797323</v>
      </c>
      <c r="G726" s="6">
        <v>7823.17</v>
      </c>
      <c r="H726" s="7">
        <f t="shared" si="57"/>
        <v>1.047131915113475E-2</v>
      </c>
      <c r="I726" s="6">
        <f>MAX($G726:$G$1261)</f>
        <v>8164</v>
      </c>
      <c r="J726" s="7">
        <f t="shared" si="58"/>
        <v>-4.1747917687408154E-2</v>
      </c>
      <c r="K726" s="6">
        <f t="shared" si="59"/>
        <v>130.73872542957494</v>
      </c>
    </row>
    <row r="727" spans="1:11" x14ac:dyDescent="0.25">
      <c r="A727" s="2">
        <f>DATE(2019,6,7)</f>
        <v>43623</v>
      </c>
      <c r="B727" s="6">
        <v>47.54</v>
      </c>
      <c r="C727" s="7">
        <f t="shared" si="55"/>
        <v>2.6781857451403823E-2</v>
      </c>
      <c r="D727" s="6">
        <f>MAX($B727:$B$1261)</f>
        <v>58.02</v>
      </c>
      <c r="E727" s="7">
        <f t="shared" si="56"/>
        <v>-0.18062736987245787</v>
      </c>
      <c r="G727" s="6">
        <v>7742.1</v>
      </c>
      <c r="H727" s="7">
        <f t="shared" si="57"/>
        <v>1.6617315886574113E-2</v>
      </c>
      <c r="I727" s="6">
        <f>MAX($G727:$G$1261)</f>
        <v>8164</v>
      </c>
      <c r="J727" s="7">
        <f t="shared" si="58"/>
        <v>-5.1678098971092545E-2</v>
      </c>
      <c r="K727" s="6">
        <f t="shared" si="59"/>
        <v>129.38390526452986</v>
      </c>
    </row>
    <row r="728" spans="1:11" x14ac:dyDescent="0.25">
      <c r="A728" s="2">
        <f>DATE(2019,6,6)</f>
        <v>43622</v>
      </c>
      <c r="B728" s="6">
        <v>46.3</v>
      </c>
      <c r="C728" s="7">
        <f t="shared" si="55"/>
        <v>1.468332237562997E-2</v>
      </c>
      <c r="D728" s="6">
        <f>MAX($B728:$B$1261)</f>
        <v>58.02</v>
      </c>
      <c r="E728" s="7">
        <f t="shared" si="56"/>
        <v>-0.20199931058255782</v>
      </c>
      <c r="G728" s="6">
        <v>7615.55</v>
      </c>
      <c r="H728" s="7">
        <f t="shared" si="57"/>
        <v>5.2894338048545819E-3</v>
      </c>
      <c r="I728" s="6">
        <f>MAX($G728:$G$1261)</f>
        <v>8164</v>
      </c>
      <c r="J728" s="7">
        <f t="shared" si="58"/>
        <v>-6.7179078882900534E-2</v>
      </c>
      <c r="K728" s="6">
        <f t="shared" si="59"/>
        <v>127.26903549906233</v>
      </c>
    </row>
    <row r="729" spans="1:11" x14ac:dyDescent="0.25">
      <c r="A729" s="2">
        <f>DATE(2019,6,5)</f>
        <v>43621</v>
      </c>
      <c r="B729" s="6">
        <v>45.63</v>
      </c>
      <c r="C729" s="7">
        <f t="shared" si="55"/>
        <v>1.6032064128256751E-2</v>
      </c>
      <c r="D729" s="6">
        <f>MAX($B729:$B$1261)</f>
        <v>58.02</v>
      </c>
      <c r="E729" s="7">
        <f t="shared" si="56"/>
        <v>-0.21354705274043428</v>
      </c>
      <c r="G729" s="6">
        <v>7575.48</v>
      </c>
      <c r="H729" s="7">
        <f t="shared" si="57"/>
        <v>6.4247680387716777E-3</v>
      </c>
      <c r="I729" s="6">
        <f>MAX($G729:$G$1261)</f>
        <v>8164</v>
      </c>
      <c r="J729" s="7">
        <f t="shared" si="58"/>
        <v>-7.2087212150906521E-2</v>
      </c>
      <c r="K729" s="6">
        <f t="shared" si="59"/>
        <v>126.59939637221694</v>
      </c>
    </row>
    <row r="730" spans="1:11" x14ac:dyDescent="0.25">
      <c r="A730" s="2">
        <f>DATE(2019,6,4)</f>
        <v>43620</v>
      </c>
      <c r="B730" s="6">
        <v>44.91</v>
      </c>
      <c r="C730" s="7">
        <f t="shared" si="55"/>
        <v>3.6464343411031663E-2</v>
      </c>
      <c r="D730" s="6">
        <f>MAX($B730:$B$1261)</f>
        <v>58.02</v>
      </c>
      <c r="E730" s="7">
        <f t="shared" si="56"/>
        <v>-0.22595656670113762</v>
      </c>
      <c r="G730" s="6">
        <v>7527.12</v>
      </c>
      <c r="H730" s="7">
        <f t="shared" si="57"/>
        <v>2.6469312779727749E-2</v>
      </c>
      <c r="I730" s="6">
        <f>MAX($G730:$G$1261)</f>
        <v>8164</v>
      </c>
      <c r="J730" s="7">
        <f t="shared" si="58"/>
        <v>-7.8010779029887289E-2</v>
      </c>
      <c r="K730" s="6">
        <f t="shared" si="59"/>
        <v>125.79121698179412</v>
      </c>
    </row>
    <row r="731" spans="1:11" x14ac:dyDescent="0.25">
      <c r="A731" s="2">
        <f>DATE(2019,6,3)</f>
        <v>43619</v>
      </c>
      <c r="B731" s="6">
        <v>43.33</v>
      </c>
      <c r="C731" s="7">
        <f t="shared" si="55"/>
        <v>-1.0052547406899759E-2</v>
      </c>
      <c r="D731" s="6">
        <f>MAX($B731:$B$1261)</f>
        <v>58.02</v>
      </c>
      <c r="E731" s="7">
        <f t="shared" si="56"/>
        <v>-0.2531885556704585</v>
      </c>
      <c r="G731" s="6">
        <v>7333.02</v>
      </c>
      <c r="H731" s="7">
        <f t="shared" si="57"/>
        <v>-1.6118017214197922E-2</v>
      </c>
      <c r="I731" s="6">
        <f>MAX($G731:$G$1261)</f>
        <v>8164</v>
      </c>
      <c r="J731" s="7">
        <f t="shared" si="58"/>
        <v>-0.10178588926996568</v>
      </c>
      <c r="K731" s="6">
        <f t="shared" si="59"/>
        <v>122.54746967656102</v>
      </c>
    </row>
    <row r="732" spans="1:11" x14ac:dyDescent="0.25">
      <c r="A732" s="2">
        <f>DATE(2019,5,31)</f>
        <v>43616</v>
      </c>
      <c r="B732" s="6">
        <v>43.77</v>
      </c>
      <c r="C732" s="7">
        <f t="shared" si="55"/>
        <v>-1.8169582772543658E-2</v>
      </c>
      <c r="D732" s="6">
        <f>MAX($B732:$B$1261)</f>
        <v>58.02</v>
      </c>
      <c r="E732" s="7">
        <f t="shared" si="56"/>
        <v>-0.24560496380558428</v>
      </c>
      <c r="G732" s="6">
        <v>7453.15</v>
      </c>
      <c r="H732" s="7">
        <f t="shared" si="57"/>
        <v>-1.5139302194055904E-2</v>
      </c>
      <c r="I732" s="6">
        <f>MAX($G732:$G$1261)</f>
        <v>8164</v>
      </c>
      <c r="J732" s="7">
        <f t="shared" si="58"/>
        <v>-8.7071288584027462E-2</v>
      </c>
      <c r="K732" s="6">
        <f t="shared" si="59"/>
        <v>124.55505011848607</v>
      </c>
    </row>
    <row r="733" spans="1:11" x14ac:dyDescent="0.25">
      <c r="A733" s="2">
        <f>DATE(2019,5,30)</f>
        <v>43615</v>
      </c>
      <c r="B733" s="6">
        <v>44.58</v>
      </c>
      <c r="C733" s="7">
        <f t="shared" si="55"/>
        <v>5.1860202931228727E-3</v>
      </c>
      <c r="D733" s="6">
        <f>MAX($B733:$B$1261)</f>
        <v>58.02</v>
      </c>
      <c r="E733" s="7">
        <f t="shared" si="56"/>
        <v>-0.23164426059979326</v>
      </c>
      <c r="G733" s="6">
        <v>7567.72</v>
      </c>
      <c r="H733" s="7">
        <f t="shared" si="57"/>
        <v>2.7042747680960932E-3</v>
      </c>
      <c r="I733" s="6">
        <f>MAX($G733:$G$1261)</f>
        <v>8164</v>
      </c>
      <c r="J733" s="7">
        <f t="shared" si="58"/>
        <v>-7.3037726604605502E-2</v>
      </c>
      <c r="K733" s="6">
        <f t="shared" si="59"/>
        <v>126.46971332693821</v>
      </c>
    </row>
    <row r="734" spans="1:11" x14ac:dyDescent="0.25">
      <c r="A734" s="2">
        <f>DATE(2019,5,29)</f>
        <v>43614</v>
      </c>
      <c r="B734" s="6">
        <v>44.35</v>
      </c>
      <c r="C734" s="7">
        <f t="shared" si="55"/>
        <v>-4.7127468581688037E-3</v>
      </c>
      <c r="D734" s="6">
        <f>MAX($B734:$B$1261)</f>
        <v>58.02</v>
      </c>
      <c r="E734" s="7">
        <f t="shared" si="56"/>
        <v>-0.23560841089279561</v>
      </c>
      <c r="G734" s="6">
        <v>7547.31</v>
      </c>
      <c r="H734" s="7">
        <f t="shared" si="57"/>
        <v>-7.8923672500936792E-3</v>
      </c>
      <c r="I734" s="6">
        <f>MAX($G734:$G$1261)</f>
        <v>8164</v>
      </c>
      <c r="J734" s="7">
        <f t="shared" si="58"/>
        <v>-7.553772660460556E-2</v>
      </c>
      <c r="K734" s="6">
        <f t="shared" si="59"/>
        <v>126.12862686377589</v>
      </c>
    </row>
    <row r="735" spans="1:11" x14ac:dyDescent="0.25">
      <c r="A735" s="2">
        <f>DATE(2019,5,28)</f>
        <v>43613</v>
      </c>
      <c r="B735" s="6">
        <v>44.56</v>
      </c>
      <c r="C735" s="7">
        <f t="shared" si="55"/>
        <v>-4.0232454179705002E-3</v>
      </c>
      <c r="D735" s="6">
        <f>MAX($B735:$B$1261)</f>
        <v>58.02</v>
      </c>
      <c r="E735" s="7">
        <f t="shared" si="56"/>
        <v>-0.23198896932092383</v>
      </c>
      <c r="G735" s="6">
        <v>7607.35</v>
      </c>
      <c r="H735" s="7">
        <f t="shared" si="57"/>
        <v>-3.8837188899844E-3</v>
      </c>
      <c r="I735" s="6">
        <f>MAX($G735:$G$1261)</f>
        <v>8164</v>
      </c>
      <c r="J735" s="7">
        <f t="shared" si="58"/>
        <v>-6.818348848603617E-2</v>
      </c>
      <c r="K735" s="6">
        <f t="shared" si="59"/>
        <v>127.13199929142245</v>
      </c>
    </row>
    <row r="736" spans="1:11" x14ac:dyDescent="0.25">
      <c r="A736" s="2">
        <f>DATE(2019,5,24)</f>
        <v>43609</v>
      </c>
      <c r="B736" s="6">
        <v>44.74</v>
      </c>
      <c r="C736" s="7">
        <f t="shared" si="55"/>
        <v>-4.0071237756010847E-3</v>
      </c>
      <c r="D736" s="6">
        <f>MAX($B736:$B$1261)</f>
        <v>58.02</v>
      </c>
      <c r="E736" s="7">
        <f t="shared" si="56"/>
        <v>-0.22888659083074803</v>
      </c>
      <c r="G736" s="6">
        <v>7637.01</v>
      </c>
      <c r="H736" s="7">
        <f t="shared" si="57"/>
        <v>1.144425742107158E-3</v>
      </c>
      <c r="I736" s="6">
        <f>MAX($G736:$G$1261)</f>
        <v>8164</v>
      </c>
      <c r="J736" s="7">
        <f t="shared" si="58"/>
        <v>-6.4550465458108719E-2</v>
      </c>
      <c r="K736" s="6">
        <f t="shared" si="59"/>
        <v>127.62766928149567</v>
      </c>
    </row>
    <row r="737" spans="1:11" x14ac:dyDescent="0.25">
      <c r="A737" s="2">
        <f>DATE(2019,5,23)</f>
        <v>43608</v>
      </c>
      <c r="B737" s="6">
        <v>44.92</v>
      </c>
      <c r="C737" s="7">
        <f t="shared" si="55"/>
        <v>-1.7067833698030666E-2</v>
      </c>
      <c r="D737" s="6">
        <f>MAX($B737:$B$1261)</f>
        <v>58.02</v>
      </c>
      <c r="E737" s="7">
        <f t="shared" si="56"/>
        <v>-0.22578421234057222</v>
      </c>
      <c r="G737" s="6">
        <v>7628.28</v>
      </c>
      <c r="H737" s="7">
        <f t="shared" si="57"/>
        <v>-1.5812479679621849E-2</v>
      </c>
      <c r="I737" s="6">
        <f>MAX($G737:$G$1261)</f>
        <v>8164</v>
      </c>
      <c r="J737" s="7">
        <f t="shared" si="58"/>
        <v>-6.5619794218520378E-2</v>
      </c>
      <c r="K737" s="6">
        <f t="shared" si="59"/>
        <v>127.48177585555703</v>
      </c>
    </row>
    <row r="738" spans="1:11" x14ac:dyDescent="0.25">
      <c r="A738" s="2">
        <f>DATE(2019,5,22)</f>
        <v>43607</v>
      </c>
      <c r="B738" s="6">
        <v>45.7</v>
      </c>
      <c r="C738" s="7">
        <f t="shared" si="55"/>
        <v>-2.0364415862808016E-2</v>
      </c>
      <c r="D738" s="6">
        <f>MAX($B738:$B$1261)</f>
        <v>58.02</v>
      </c>
      <c r="E738" s="7">
        <f t="shared" si="56"/>
        <v>-0.21234057221647706</v>
      </c>
      <c r="G738" s="6">
        <v>7750.84</v>
      </c>
      <c r="H738" s="7">
        <f t="shared" si="57"/>
        <v>-4.4799967119290018E-3</v>
      </c>
      <c r="I738" s="6">
        <f>MAX($G738:$G$1261)</f>
        <v>8164</v>
      </c>
      <c r="J738" s="7">
        <f t="shared" si="58"/>
        <v>-5.0607545320921155E-2</v>
      </c>
      <c r="K738" s="6">
        <f t="shared" si="59"/>
        <v>129.52996580779489</v>
      </c>
    </row>
    <row r="739" spans="1:11" x14ac:dyDescent="0.25">
      <c r="A739" s="2">
        <f>DATE(2019,5,21)</f>
        <v>43606</v>
      </c>
      <c r="B739" s="6">
        <v>46.65</v>
      </c>
      <c r="C739" s="7">
        <f t="shared" si="55"/>
        <v>1.9226567620712176E-2</v>
      </c>
      <c r="D739" s="6">
        <f>MAX($B739:$B$1261)</f>
        <v>58.02</v>
      </c>
      <c r="E739" s="7">
        <f t="shared" si="56"/>
        <v>-0.1959669079627715</v>
      </c>
      <c r="G739" s="6">
        <v>7785.72</v>
      </c>
      <c r="H739" s="7">
        <f t="shared" si="57"/>
        <v>1.0820032249772238E-2</v>
      </c>
      <c r="I739" s="6">
        <f>MAX($G739:$G$1261)</f>
        <v>8164</v>
      </c>
      <c r="J739" s="7">
        <f t="shared" si="58"/>
        <v>-4.6335129838314559E-2</v>
      </c>
      <c r="K739" s="6">
        <f t="shared" si="59"/>
        <v>130.1128710422438</v>
      </c>
    </row>
    <row r="740" spans="1:11" x14ac:dyDescent="0.25">
      <c r="A740" s="2">
        <f>DATE(2019,5,20)</f>
        <v>43605</v>
      </c>
      <c r="B740" s="6">
        <v>45.77</v>
      </c>
      <c r="C740" s="7">
        <f t="shared" si="55"/>
        <v>-3.1322751322751308E-2</v>
      </c>
      <c r="D740" s="6">
        <f>MAX($B740:$B$1261)</f>
        <v>58.02</v>
      </c>
      <c r="E740" s="7">
        <f t="shared" si="56"/>
        <v>-0.21113409169251984</v>
      </c>
      <c r="G740" s="6">
        <v>7702.38</v>
      </c>
      <c r="H740" s="7">
        <f t="shared" si="57"/>
        <v>-1.4572149411228863E-2</v>
      </c>
      <c r="I740" s="6">
        <f>MAX($G740:$G$1261)</f>
        <v>8164</v>
      </c>
      <c r="J740" s="7">
        <f t="shared" si="58"/>
        <v>-5.6543361097501244E-2</v>
      </c>
      <c r="K740" s="6">
        <f t="shared" si="59"/>
        <v>128.72011524410814</v>
      </c>
    </row>
    <row r="741" spans="1:11" x14ac:dyDescent="0.25">
      <c r="A741" s="2">
        <f>DATE(2019,5,17)</f>
        <v>43602</v>
      </c>
      <c r="B741" s="6">
        <v>47.25</v>
      </c>
      <c r="C741" s="7">
        <f t="shared" si="55"/>
        <v>-5.6818181818182323E-3</v>
      </c>
      <c r="D741" s="6">
        <f>MAX($B741:$B$1261)</f>
        <v>58.02</v>
      </c>
      <c r="E741" s="7">
        <f t="shared" si="56"/>
        <v>-0.18562564632885215</v>
      </c>
      <c r="G741" s="6">
        <v>7816.28</v>
      </c>
      <c r="H741" s="7">
        <f t="shared" si="57"/>
        <v>-1.035318844524924E-2</v>
      </c>
      <c r="I741" s="6">
        <f>MAX($G741:$G$1261)</f>
        <v>8164</v>
      </c>
      <c r="J741" s="7">
        <f t="shared" si="58"/>
        <v>-4.259186673199411E-2</v>
      </c>
      <c r="K741" s="6">
        <f t="shared" si="59"/>
        <v>130.62358159169213</v>
      </c>
    </row>
    <row r="742" spans="1:11" x14ac:dyDescent="0.25">
      <c r="A742" s="2">
        <f>DATE(2019,5,16)</f>
        <v>43601</v>
      </c>
      <c r="B742" s="6">
        <v>47.52</v>
      </c>
      <c r="C742" s="7">
        <f t="shared" si="55"/>
        <v>-4.3997485857949492E-3</v>
      </c>
      <c r="D742" s="6">
        <f>MAX($B742:$B$1261)</f>
        <v>58.02</v>
      </c>
      <c r="E742" s="7">
        <f t="shared" si="56"/>
        <v>-0.18097207859358844</v>
      </c>
      <c r="G742" s="6">
        <v>7898.05</v>
      </c>
      <c r="H742" s="7">
        <f t="shared" si="57"/>
        <v>9.7032145893394262E-3</v>
      </c>
      <c r="I742" s="6">
        <f>MAX($G742:$G$1261)</f>
        <v>8164</v>
      </c>
      <c r="J742" s="7">
        <f t="shared" si="58"/>
        <v>-3.257594316511514E-2</v>
      </c>
      <c r="K742" s="6">
        <f t="shared" si="59"/>
        <v>131.99009996958452</v>
      </c>
    </row>
    <row r="743" spans="1:11" x14ac:dyDescent="0.25">
      <c r="A743" s="2">
        <f>DATE(2019,5,15)</f>
        <v>43600</v>
      </c>
      <c r="B743" s="6">
        <v>47.73</v>
      </c>
      <c r="C743" s="7">
        <f t="shared" si="55"/>
        <v>1.1871952512189754E-2</v>
      </c>
      <c r="D743" s="6">
        <f>MAX($B743:$B$1261)</f>
        <v>58.02</v>
      </c>
      <c r="E743" s="7">
        <f t="shared" si="56"/>
        <v>-0.17735263702171677</v>
      </c>
      <c r="G743" s="6">
        <v>7822.15</v>
      </c>
      <c r="H743" s="7">
        <f t="shared" si="57"/>
        <v>1.1333649665330237E-2</v>
      </c>
      <c r="I743" s="6">
        <f>MAX($G743:$G$1261)</f>
        <v>8164</v>
      </c>
      <c r="J743" s="7">
        <f t="shared" si="58"/>
        <v>-4.1872856442920159E-2</v>
      </c>
      <c r="K743" s="6">
        <f t="shared" si="59"/>
        <v>130.72167946228313</v>
      </c>
    </row>
    <row r="744" spans="1:11" x14ac:dyDescent="0.25">
      <c r="A744" s="2">
        <f>DATE(2019,5,14)</f>
        <v>43599</v>
      </c>
      <c r="B744" s="6">
        <v>47.17</v>
      </c>
      <c r="C744" s="7">
        <f t="shared" si="55"/>
        <v>1.5937971139349694E-2</v>
      </c>
      <c r="D744" s="6">
        <f>MAX($B744:$B$1261)</f>
        <v>58.02</v>
      </c>
      <c r="E744" s="7">
        <f t="shared" si="56"/>
        <v>-0.18700448121337476</v>
      </c>
      <c r="G744" s="6">
        <v>7734.49</v>
      </c>
      <c r="H744" s="7">
        <f t="shared" si="57"/>
        <v>1.1438442687478068E-2</v>
      </c>
      <c r="I744" s="6">
        <f>MAX($G744:$G$1261)</f>
        <v>8164</v>
      </c>
      <c r="J744" s="7">
        <f t="shared" si="58"/>
        <v>-5.2610240078392989E-2</v>
      </c>
      <c r="K744" s="6">
        <f t="shared" si="59"/>
        <v>129.25672897914694</v>
      </c>
    </row>
    <row r="745" spans="1:11" x14ac:dyDescent="0.25">
      <c r="A745" s="2">
        <f>DATE(2019,5,13)</f>
        <v>43598</v>
      </c>
      <c r="B745" s="6">
        <v>46.43</v>
      </c>
      <c r="C745" s="7">
        <f t="shared" si="55"/>
        <v>-5.8023939947250969E-2</v>
      </c>
      <c r="D745" s="6">
        <f>MAX($B745:$B$1261)</f>
        <v>58.02</v>
      </c>
      <c r="E745" s="7">
        <f t="shared" si="56"/>
        <v>-0.19975870389520856</v>
      </c>
      <c r="G745" s="6">
        <v>7647.02</v>
      </c>
      <c r="H745" s="7">
        <f t="shared" si="57"/>
        <v>-3.4093980755190656E-2</v>
      </c>
      <c r="I745" s="6">
        <f>MAX($G745:$G$1261)</f>
        <v>8164</v>
      </c>
      <c r="J745" s="7">
        <f t="shared" si="58"/>
        <v>-6.3324350808427243E-2</v>
      </c>
      <c r="K745" s="6">
        <f t="shared" si="59"/>
        <v>127.79495372521218</v>
      </c>
    </row>
    <row r="746" spans="1:11" x14ac:dyDescent="0.25">
      <c r="A746" s="2">
        <f>DATE(2019,5,10)</f>
        <v>43595</v>
      </c>
      <c r="B746" s="6">
        <v>49.29</v>
      </c>
      <c r="C746" s="7">
        <f t="shared" si="55"/>
        <v>-1.7736149860502204E-2</v>
      </c>
      <c r="D746" s="6">
        <f>MAX($B746:$B$1261)</f>
        <v>58.02</v>
      </c>
      <c r="E746" s="7">
        <f t="shared" si="56"/>
        <v>-0.15046535677352646</v>
      </c>
      <c r="G746" s="6">
        <v>7916.94</v>
      </c>
      <c r="H746" s="7">
        <f t="shared" si="57"/>
        <v>8.0272141521664508E-4</v>
      </c>
      <c r="I746" s="6">
        <f>MAX($G746:$G$1261)</f>
        <v>8164</v>
      </c>
      <c r="J746" s="7">
        <f t="shared" si="58"/>
        <v>-3.0262126408623247E-2</v>
      </c>
      <c r="K746" s="6">
        <f t="shared" si="59"/>
        <v>132.30578459913551</v>
      </c>
    </row>
    <row r="747" spans="1:11" x14ac:dyDescent="0.25">
      <c r="A747" s="2">
        <f>DATE(2019,5,9)</f>
        <v>43594</v>
      </c>
      <c r="B747" s="6">
        <v>50.18</v>
      </c>
      <c r="C747" s="7">
        <f t="shared" si="55"/>
        <v>-1.0646687697160817E-2</v>
      </c>
      <c r="D747" s="6">
        <f>MAX($B747:$B$1261)</f>
        <v>58.02</v>
      </c>
      <c r="E747" s="7">
        <f t="shared" si="56"/>
        <v>-0.13512581868321272</v>
      </c>
      <c r="G747" s="6">
        <v>7910.59</v>
      </c>
      <c r="H747" s="7">
        <f t="shared" si="57"/>
        <v>-4.1204433410714225E-3</v>
      </c>
      <c r="I747" s="6">
        <f>MAX($G747:$G$1261)</f>
        <v>8164</v>
      </c>
      <c r="J747" s="7">
        <f t="shared" si="58"/>
        <v>-3.1039931406173449E-2</v>
      </c>
      <c r="K747" s="6">
        <f t="shared" si="59"/>
        <v>132.19966509687777</v>
      </c>
    </row>
    <row r="748" spans="1:11" x14ac:dyDescent="0.25">
      <c r="A748" s="2">
        <f>DATE(2019,5,8)</f>
        <v>43593</v>
      </c>
      <c r="B748" s="6">
        <v>50.72</v>
      </c>
      <c r="C748" s="7">
        <f t="shared" si="55"/>
        <v>0</v>
      </c>
      <c r="D748" s="6">
        <f>MAX($B748:$B$1261)</f>
        <v>58.02</v>
      </c>
      <c r="E748" s="7">
        <f t="shared" si="56"/>
        <v>-0.1258186832126853</v>
      </c>
      <c r="G748" s="6">
        <v>7943.32</v>
      </c>
      <c r="H748" s="7">
        <f t="shared" si="57"/>
        <v>-2.5666268194923791E-3</v>
      </c>
      <c r="I748" s="6">
        <f>MAX($G748:$G$1261)</f>
        <v>8164</v>
      </c>
      <c r="J748" s="7">
        <f t="shared" si="58"/>
        <v>-2.7030867221950028E-2</v>
      </c>
      <c r="K748" s="6">
        <f t="shared" si="59"/>
        <v>132.74664010615277</v>
      </c>
    </row>
    <row r="749" spans="1:11" x14ac:dyDescent="0.25">
      <c r="A749" s="2">
        <f>DATE(2019,5,7)</f>
        <v>43592</v>
      </c>
      <c r="B749" s="6">
        <v>50.72</v>
      </c>
      <c r="C749" s="7">
        <f t="shared" si="55"/>
        <v>-2.6861089792785897E-2</v>
      </c>
      <c r="D749" s="6">
        <f>MAX($B749:$B$1261)</f>
        <v>58.02</v>
      </c>
      <c r="E749" s="7">
        <f t="shared" si="56"/>
        <v>-0.1258186832126853</v>
      </c>
      <c r="G749" s="6">
        <v>7963.76</v>
      </c>
      <c r="H749" s="7">
        <f t="shared" si="57"/>
        <v>-1.9638594707316881E-2</v>
      </c>
      <c r="I749" s="6">
        <f>MAX($G749:$G$1261)</f>
        <v>8164</v>
      </c>
      <c r="J749" s="7">
        <f t="shared" si="58"/>
        <v>-2.4527192552670218E-2</v>
      </c>
      <c r="K749" s="6">
        <f t="shared" si="59"/>
        <v>133.08822792129428</v>
      </c>
    </row>
    <row r="750" spans="1:11" x14ac:dyDescent="0.25">
      <c r="A750" s="2">
        <f>DATE(2019,5,6)</f>
        <v>43591</v>
      </c>
      <c r="B750" s="6">
        <v>52.12</v>
      </c>
      <c r="C750" s="7">
        <f t="shared" si="55"/>
        <v>-1.5489233094068799E-2</v>
      </c>
      <c r="D750" s="6">
        <f>MAX($B750:$B$1261)</f>
        <v>58.02</v>
      </c>
      <c r="E750" s="7">
        <f t="shared" si="56"/>
        <v>-0.10168907273354022</v>
      </c>
      <c r="G750" s="6">
        <v>8123.29</v>
      </c>
      <c r="H750" s="7">
        <f t="shared" si="57"/>
        <v>-4.9865262126408405E-3</v>
      </c>
      <c r="I750" s="6">
        <f>MAX($G750:$G$1261)</f>
        <v>8164</v>
      </c>
      <c r="J750" s="7">
        <f t="shared" si="58"/>
        <v>-4.9865262126408405E-3</v>
      </c>
      <c r="K750" s="6">
        <f t="shared" si="59"/>
        <v>135.75425062919658</v>
      </c>
    </row>
    <row r="751" spans="1:11" x14ac:dyDescent="0.25">
      <c r="A751" s="2">
        <f>DATE(2019,5,3)</f>
        <v>43588</v>
      </c>
      <c r="B751" s="6">
        <v>52.94</v>
      </c>
      <c r="C751" s="7">
        <f t="shared" si="55"/>
        <v>1.2430675081277487E-2</v>
      </c>
      <c r="D751" s="6">
        <f>MAX($B751:$B$1261)</f>
        <v>58.02</v>
      </c>
      <c r="E751" s="7">
        <f t="shared" si="56"/>
        <v>-8.7556015167183809E-2</v>
      </c>
      <c r="G751" s="6">
        <v>8164</v>
      </c>
      <c r="H751" s="7">
        <f t="shared" si="57"/>
        <v>1.5830986826797178E-2</v>
      </c>
      <c r="I751" s="6">
        <f>MAX($G751:$G$1261)</f>
        <v>8164</v>
      </c>
      <c r="J751" s="7">
        <f t="shared" si="58"/>
        <v>0</v>
      </c>
      <c r="K751" s="6">
        <f t="shared" si="59"/>
        <v>136.43458526493094</v>
      </c>
    </row>
    <row r="752" spans="1:11" x14ac:dyDescent="0.25">
      <c r="A752" s="2">
        <f>DATE(2019,5,2)</f>
        <v>43587</v>
      </c>
      <c r="B752" s="6">
        <v>52.29</v>
      </c>
      <c r="C752" s="7">
        <f t="shared" si="55"/>
        <v>-6.4601938058141961E-3</v>
      </c>
      <c r="D752" s="6">
        <f>MAX($B752:$B$1261)</f>
        <v>58.02</v>
      </c>
      <c r="E752" s="7">
        <f t="shared" si="56"/>
        <v>-9.87590486039297E-2</v>
      </c>
      <c r="G752" s="6">
        <v>8036.77</v>
      </c>
      <c r="H752" s="7">
        <f t="shared" si="57"/>
        <v>-1.5988292644143476E-3</v>
      </c>
      <c r="I752" s="6">
        <f>MAX($G752:$G$1261)</f>
        <v>8161.85</v>
      </c>
      <c r="J752" s="7">
        <f t="shared" si="58"/>
        <v>-1.5324956964413716E-2</v>
      </c>
      <c r="K752" s="6">
        <f t="shared" si="59"/>
        <v>134.30835152126889</v>
      </c>
    </row>
    <row r="753" spans="1:11" x14ac:dyDescent="0.25">
      <c r="A753" s="2">
        <f>DATE(2019,5,1)</f>
        <v>43586</v>
      </c>
      <c r="B753" s="6">
        <v>52.63</v>
      </c>
      <c r="C753" s="7">
        <f t="shared" si="55"/>
        <v>4.9033286824795796E-2</v>
      </c>
      <c r="D753" s="6">
        <f>MAX($B753:$B$1261)</f>
        <v>58.02</v>
      </c>
      <c r="E753" s="7">
        <f t="shared" si="56"/>
        <v>-9.2899000344708771E-2</v>
      </c>
      <c r="G753" s="6">
        <v>8049.64</v>
      </c>
      <c r="H753" s="7">
        <f t="shared" si="57"/>
        <v>-5.6513645420418479E-3</v>
      </c>
      <c r="I753" s="6">
        <f>MAX($G753:$G$1261)</f>
        <v>8161.85</v>
      </c>
      <c r="J753" s="7">
        <f t="shared" si="58"/>
        <v>-1.3748108578324758E-2</v>
      </c>
      <c r="K753" s="6">
        <f t="shared" si="59"/>
        <v>134.52343152033305</v>
      </c>
    </row>
    <row r="754" spans="1:11" x14ac:dyDescent="0.25">
      <c r="A754" s="2">
        <f>DATE(2019,4,30)</f>
        <v>43585</v>
      </c>
      <c r="B754" s="6">
        <v>50.17</v>
      </c>
      <c r="C754" s="7">
        <f t="shared" si="55"/>
        <v>-1.9159335288367441E-2</v>
      </c>
      <c r="D754" s="6">
        <f>MAX($B754:$B$1261)</f>
        <v>58.02</v>
      </c>
      <c r="E754" s="7">
        <f t="shared" si="56"/>
        <v>-0.135298173043778</v>
      </c>
      <c r="G754" s="6">
        <v>8095.39</v>
      </c>
      <c r="H754" s="7">
        <f t="shared" si="57"/>
        <v>-8.1427617513186723E-3</v>
      </c>
      <c r="I754" s="6">
        <f>MAX($G754:$G$1261)</f>
        <v>8161.85</v>
      </c>
      <c r="J754" s="7">
        <f t="shared" si="58"/>
        <v>-8.1427617513186723E-3</v>
      </c>
      <c r="K754" s="6">
        <f t="shared" si="59"/>
        <v>135.28799328856806</v>
      </c>
    </row>
    <row r="755" spans="1:11" x14ac:dyDescent="0.25">
      <c r="A755" s="2">
        <f>DATE(2019,4,29)</f>
        <v>43584</v>
      </c>
      <c r="B755" s="6">
        <v>51.15</v>
      </c>
      <c r="C755" s="7">
        <f t="shared" si="55"/>
        <v>1.3703993735316722E-3</v>
      </c>
      <c r="D755" s="6">
        <f>MAX($B755:$B$1261)</f>
        <v>58.02</v>
      </c>
      <c r="E755" s="7">
        <f t="shared" si="56"/>
        <v>-0.11840744570837647</v>
      </c>
      <c r="G755" s="6">
        <v>8161.85</v>
      </c>
      <c r="H755" s="7">
        <f t="shared" si="57"/>
        <v>1.8965432583719632E-3</v>
      </c>
      <c r="I755" s="6">
        <f>MAX($G755:$G$1261)</f>
        <v>8161.85</v>
      </c>
      <c r="J755" s="7">
        <f t="shared" si="58"/>
        <v>0</v>
      </c>
      <c r="K755" s="6">
        <f t="shared" si="59"/>
        <v>136.3986550397571</v>
      </c>
    </row>
    <row r="756" spans="1:11" x14ac:dyDescent="0.25">
      <c r="A756" s="2">
        <f>DATE(2019,4,26)</f>
        <v>43581</v>
      </c>
      <c r="B756" s="6">
        <v>51.08</v>
      </c>
      <c r="C756" s="7">
        <f t="shared" si="55"/>
        <v>-4.6765393608729777E-3</v>
      </c>
      <c r="D756" s="6">
        <f>MAX($B756:$B$1261)</f>
        <v>58.02</v>
      </c>
      <c r="E756" s="7">
        <f t="shared" si="56"/>
        <v>-0.1196139262323338</v>
      </c>
      <c r="G756" s="6">
        <v>8146.4</v>
      </c>
      <c r="H756" s="7">
        <f t="shared" si="57"/>
        <v>3.4143481452648672E-3</v>
      </c>
      <c r="I756" s="6">
        <f>MAX($G756:$G$1261)</f>
        <v>8146.4</v>
      </c>
      <c r="J756" s="7">
        <f t="shared" si="58"/>
        <v>0</v>
      </c>
      <c r="K756" s="6">
        <f t="shared" si="59"/>
        <v>136.14045877048429</v>
      </c>
    </row>
    <row r="757" spans="1:11" x14ac:dyDescent="0.25">
      <c r="A757" s="2">
        <f>DATE(2019,4,25)</f>
        <v>43580</v>
      </c>
      <c r="B757" s="6">
        <v>51.32</v>
      </c>
      <c r="C757" s="7">
        <f t="shared" si="55"/>
        <v>-9.0751110252944578E-3</v>
      </c>
      <c r="D757" s="6">
        <f>MAX($B757:$B$1261)</f>
        <v>58.02</v>
      </c>
      <c r="E757" s="7">
        <f t="shared" si="56"/>
        <v>-0.11547742157876595</v>
      </c>
      <c r="G757" s="6">
        <v>8118.68</v>
      </c>
      <c r="H757" s="7">
        <f t="shared" si="57"/>
        <v>2.0575141230385618E-3</v>
      </c>
      <c r="I757" s="6">
        <f>MAX($G757:$G$1261)</f>
        <v>8120.82</v>
      </c>
      <c r="J757" s="7">
        <f t="shared" si="58"/>
        <v>-2.6352018638509112E-4</v>
      </c>
      <c r="K757" s="6">
        <f t="shared" si="59"/>
        <v>135.67720954173078</v>
      </c>
    </row>
    <row r="758" spans="1:11" x14ac:dyDescent="0.25">
      <c r="A758" s="2">
        <f>DATE(2019,4,24)</f>
        <v>43579</v>
      </c>
      <c r="B758" s="6">
        <v>51.79</v>
      </c>
      <c r="C758" s="7">
        <f t="shared" si="55"/>
        <v>-1.5423173317909988E-3</v>
      </c>
      <c r="D758" s="6">
        <f>MAX($B758:$B$1261)</f>
        <v>58.02</v>
      </c>
      <c r="E758" s="7">
        <f t="shared" si="56"/>
        <v>-0.10737676663219586</v>
      </c>
      <c r="G758" s="6">
        <v>8102.01</v>
      </c>
      <c r="H758" s="7">
        <f t="shared" si="57"/>
        <v>-2.316268554160672E-3</v>
      </c>
      <c r="I758" s="6">
        <f>MAX($G758:$G$1261)</f>
        <v>8120.82</v>
      </c>
      <c r="J758" s="7">
        <f t="shared" si="58"/>
        <v>-2.316268554160672E-3</v>
      </c>
      <c r="K758" s="6">
        <f t="shared" si="59"/>
        <v>135.39862495863838</v>
      </c>
    </row>
    <row r="759" spans="1:11" x14ac:dyDescent="0.25">
      <c r="A759" s="2">
        <f>DATE(2019,4,23)</f>
        <v>43578</v>
      </c>
      <c r="B759" s="6">
        <v>51.87</v>
      </c>
      <c r="C759" s="7">
        <f t="shared" si="55"/>
        <v>1.4472912184627429E-2</v>
      </c>
      <c r="D759" s="6">
        <f>MAX($B759:$B$1261)</f>
        <v>58.02</v>
      </c>
      <c r="E759" s="7">
        <f t="shared" si="56"/>
        <v>-0.10599793174767336</v>
      </c>
      <c r="G759" s="6">
        <v>8120.82</v>
      </c>
      <c r="H759" s="7">
        <f t="shared" si="57"/>
        <v>1.3168614407250034E-2</v>
      </c>
      <c r="I759" s="6">
        <f>MAX($G759:$G$1261)</f>
        <v>8120.82</v>
      </c>
      <c r="J759" s="7">
        <f t="shared" si="58"/>
        <v>0</v>
      </c>
      <c r="K759" s="6">
        <f t="shared" si="59"/>
        <v>135.71297264957826</v>
      </c>
    </row>
    <row r="760" spans="1:11" x14ac:dyDescent="0.25">
      <c r="A760" s="2">
        <f>DATE(2019,4,22)</f>
        <v>43577</v>
      </c>
      <c r="B760" s="6">
        <v>51.13</v>
      </c>
      <c r="C760" s="7">
        <f t="shared" si="55"/>
        <v>3.1391014322150745E-3</v>
      </c>
      <c r="D760" s="6">
        <f>MAX($B760:$B$1261)</f>
        <v>58.02</v>
      </c>
      <c r="E760" s="7">
        <f t="shared" si="56"/>
        <v>-0.11875215442950704</v>
      </c>
      <c r="G760" s="6">
        <v>8015.27</v>
      </c>
      <c r="H760" s="7">
        <f t="shared" si="57"/>
        <v>2.1517718046626388E-3</v>
      </c>
      <c r="I760" s="6">
        <f>MAX($G760:$G$1261)</f>
        <v>8109.69</v>
      </c>
      <c r="J760" s="7">
        <f t="shared" si="58"/>
        <v>-1.1642861810993943E-2</v>
      </c>
      <c r="K760" s="6">
        <f t="shared" si="59"/>
        <v>133.94904926953009</v>
      </c>
    </row>
    <row r="761" spans="1:11" x14ac:dyDescent="0.25">
      <c r="A761" s="2">
        <f>DATE(2019,4,18)</f>
        <v>43573</v>
      </c>
      <c r="B761" s="6">
        <v>50.97</v>
      </c>
      <c r="C761" s="7">
        <f t="shared" si="55"/>
        <v>3.7416305632138602E-3</v>
      </c>
      <c r="D761" s="6">
        <f>MAX($B761:$B$1261)</f>
        <v>58.02</v>
      </c>
      <c r="E761" s="7">
        <f t="shared" si="56"/>
        <v>-0.12150982419855227</v>
      </c>
      <c r="G761" s="6">
        <v>7998.06</v>
      </c>
      <c r="H761" s="7">
        <f t="shared" si="57"/>
        <v>2.476213344539957E-4</v>
      </c>
      <c r="I761" s="6">
        <f>MAX($G761:$G$1261)</f>
        <v>8109.69</v>
      </c>
      <c r="J761" s="7">
        <f t="shared" si="58"/>
        <v>-1.3765014445681567E-2</v>
      </c>
      <c r="K761" s="6">
        <f t="shared" si="59"/>
        <v>133.66144035081263</v>
      </c>
    </row>
    <row r="762" spans="1:11" x14ac:dyDescent="0.25">
      <c r="A762" s="2">
        <f>DATE(2019,4,17)</f>
        <v>43572</v>
      </c>
      <c r="B762" s="6">
        <v>50.78</v>
      </c>
      <c r="C762" s="7">
        <f t="shared" si="55"/>
        <v>1.9474001204577318E-2</v>
      </c>
      <c r="D762" s="6">
        <f>MAX($B762:$B$1261)</f>
        <v>58.02</v>
      </c>
      <c r="E762" s="7">
        <f t="shared" si="56"/>
        <v>-0.12478455704929337</v>
      </c>
      <c r="G762" s="6">
        <v>7996.08</v>
      </c>
      <c r="H762" s="7">
        <f t="shared" si="57"/>
        <v>-5.1873508636623988E-4</v>
      </c>
      <c r="I762" s="6">
        <f>MAX($G762:$G$1261)</f>
        <v>8109.69</v>
      </c>
      <c r="J762" s="7">
        <f t="shared" si="58"/>
        <v>-1.4009166811555063E-2</v>
      </c>
      <c r="K762" s="6">
        <f t="shared" si="59"/>
        <v>133.62835112018735</v>
      </c>
    </row>
    <row r="763" spans="1:11" x14ac:dyDescent="0.25">
      <c r="A763" s="2">
        <f>DATE(2019,4,16)</f>
        <v>43571</v>
      </c>
      <c r="B763" s="6">
        <v>49.81</v>
      </c>
      <c r="C763" s="7">
        <f t="shared" si="55"/>
        <v>0</v>
      </c>
      <c r="D763" s="6">
        <f>MAX($B763:$B$1261)</f>
        <v>58.02</v>
      </c>
      <c r="E763" s="7">
        <f t="shared" si="56"/>
        <v>-0.14150293002412961</v>
      </c>
      <c r="G763" s="6">
        <v>8000.23</v>
      </c>
      <c r="H763" s="7">
        <f t="shared" si="57"/>
        <v>3.0366060223092628E-3</v>
      </c>
      <c r="I763" s="6">
        <f>MAX($G763:$G$1261)</f>
        <v>8109.69</v>
      </c>
      <c r="J763" s="7">
        <f t="shared" si="58"/>
        <v>-1.3497433317426477E-2</v>
      </c>
      <c r="K763" s="6">
        <f t="shared" si="59"/>
        <v>133.69770481063927</v>
      </c>
    </row>
    <row r="764" spans="1:11" x14ac:dyDescent="0.25">
      <c r="A764" s="2">
        <f>DATE(2019,4,15)</f>
        <v>43570</v>
      </c>
      <c r="B764" s="6">
        <v>49.81</v>
      </c>
      <c r="C764" s="7">
        <f t="shared" si="55"/>
        <v>1.8101367658891476E-3</v>
      </c>
      <c r="D764" s="6">
        <f>MAX($B764:$B$1261)</f>
        <v>58.02</v>
      </c>
      <c r="E764" s="7">
        <f t="shared" si="56"/>
        <v>-0.14150293002412961</v>
      </c>
      <c r="G764" s="6">
        <v>7976.01</v>
      </c>
      <c r="H764" s="7">
        <f t="shared" si="57"/>
        <v>-1.0207711268310771E-3</v>
      </c>
      <c r="I764" s="6">
        <f>MAX($G764:$G$1261)</f>
        <v>8109.69</v>
      </c>
      <c r="J764" s="7">
        <f t="shared" si="58"/>
        <v>-1.6483983974726502E-2</v>
      </c>
      <c r="K764" s="6">
        <f t="shared" si="59"/>
        <v>133.29294664612232</v>
      </c>
    </row>
    <row r="765" spans="1:11" x14ac:dyDescent="0.25">
      <c r="A765" s="2">
        <f>DATE(2019,4,12)</f>
        <v>43567</v>
      </c>
      <c r="B765" s="6">
        <v>49.72</v>
      </c>
      <c r="C765" s="7">
        <f t="shared" si="55"/>
        <v>-4.0209087253728626E-4</v>
      </c>
      <c r="D765" s="6">
        <f>MAX($B765:$B$1261)</f>
        <v>58.02</v>
      </c>
      <c r="E765" s="7">
        <f t="shared" si="56"/>
        <v>-0.14305411926921763</v>
      </c>
      <c r="G765" s="6">
        <v>7984.16</v>
      </c>
      <c r="H765" s="7">
        <f t="shared" si="57"/>
        <v>4.6304684826157239E-3</v>
      </c>
      <c r="I765" s="6">
        <f>MAX($G765:$G$1261)</f>
        <v>8109.69</v>
      </c>
      <c r="J765" s="7">
        <f t="shared" si="58"/>
        <v>-1.5479013377823314E-2</v>
      </c>
      <c r="K765" s="6">
        <f t="shared" si="59"/>
        <v>133.4291472671303</v>
      </c>
    </row>
    <row r="766" spans="1:11" x14ac:dyDescent="0.25">
      <c r="A766" s="2">
        <f>DATE(2019,4,11)</f>
        <v>43566</v>
      </c>
      <c r="B766" s="6">
        <v>49.74</v>
      </c>
      <c r="C766" s="7">
        <f t="shared" si="55"/>
        <v>-8.1754735792621824E-3</v>
      </c>
      <c r="D766" s="6">
        <f>MAX($B766:$B$1261)</f>
        <v>58.02</v>
      </c>
      <c r="E766" s="7">
        <f t="shared" si="56"/>
        <v>-0.14270941054808683</v>
      </c>
      <c r="G766" s="6">
        <v>7947.36</v>
      </c>
      <c r="H766" s="7">
        <f t="shared" si="57"/>
        <v>-2.1194740489990371E-3</v>
      </c>
      <c r="I766" s="6">
        <f>MAX($G766:$G$1261)</f>
        <v>8109.69</v>
      </c>
      <c r="J766" s="7">
        <f t="shared" si="58"/>
        <v>-2.0016794723349496E-2</v>
      </c>
      <c r="K766" s="6">
        <f t="shared" si="59"/>
        <v>132.81415550601449</v>
      </c>
    </row>
    <row r="767" spans="1:11" x14ac:dyDescent="0.25">
      <c r="A767" s="2">
        <f>DATE(2019,4,10)</f>
        <v>43565</v>
      </c>
      <c r="B767" s="6">
        <v>50.15</v>
      </c>
      <c r="C767" s="7">
        <f t="shared" si="55"/>
        <v>5.4129911788292073E-3</v>
      </c>
      <c r="D767" s="6">
        <f>MAX($B767:$B$1261)</f>
        <v>58.02</v>
      </c>
      <c r="E767" s="7">
        <f t="shared" si="56"/>
        <v>-0.13564288176490868</v>
      </c>
      <c r="G767" s="6">
        <v>7964.24</v>
      </c>
      <c r="H767" s="7">
        <f t="shared" si="57"/>
        <v>6.9487993850261276E-3</v>
      </c>
      <c r="I767" s="6">
        <f>MAX($G767:$G$1261)</f>
        <v>8109.69</v>
      </c>
      <c r="J767" s="7">
        <f t="shared" si="58"/>
        <v>-1.7935334149640769E-2</v>
      </c>
      <c r="K767" s="6">
        <f t="shared" si="59"/>
        <v>133.0962495529611</v>
      </c>
    </row>
    <row r="768" spans="1:11" x14ac:dyDescent="0.25">
      <c r="A768" s="2">
        <f>DATE(2019,4,9)</f>
        <v>43564</v>
      </c>
      <c r="B768" s="6">
        <v>49.88</v>
      </c>
      <c r="C768" s="7">
        <f t="shared" si="55"/>
        <v>-2.9982010793523362E-3</v>
      </c>
      <c r="D768" s="6">
        <f>MAX($B768:$B$1261)</f>
        <v>58.02</v>
      </c>
      <c r="E768" s="7">
        <f t="shared" si="56"/>
        <v>-0.14029644950017239</v>
      </c>
      <c r="G768" s="6">
        <v>7909.28</v>
      </c>
      <c r="H768" s="7">
        <f t="shared" si="57"/>
        <v>-5.6073262357491105E-3</v>
      </c>
      <c r="I768" s="6">
        <f>MAX($G768:$G$1261)</f>
        <v>8109.69</v>
      </c>
      <c r="J768" s="7">
        <f t="shared" si="58"/>
        <v>-2.4712411941763435E-2</v>
      </c>
      <c r="K768" s="6">
        <f t="shared" si="59"/>
        <v>132.17777272712075</v>
      </c>
    </row>
    <row r="769" spans="1:11" x14ac:dyDescent="0.25">
      <c r="A769" s="2">
        <f>DATE(2019,4,8)</f>
        <v>43563</v>
      </c>
      <c r="B769" s="6">
        <v>50.03</v>
      </c>
      <c r="C769" s="7">
        <f t="shared" si="55"/>
        <v>1.5837563451776671E-2</v>
      </c>
      <c r="D769" s="6">
        <f>MAX($B769:$B$1261)</f>
        <v>58.02</v>
      </c>
      <c r="E769" s="7">
        <f t="shared" si="56"/>
        <v>-0.13771113409169256</v>
      </c>
      <c r="G769" s="6">
        <v>7953.88</v>
      </c>
      <c r="H769" s="7">
        <f t="shared" si="57"/>
        <v>1.9134139259753269E-3</v>
      </c>
      <c r="I769" s="6">
        <f>MAX($G769:$G$1261)</f>
        <v>8109.69</v>
      </c>
      <c r="J769" s="7">
        <f t="shared" si="58"/>
        <v>-1.9212818245826879E-2</v>
      </c>
      <c r="K769" s="6">
        <f t="shared" si="59"/>
        <v>132.9231160028209</v>
      </c>
    </row>
    <row r="770" spans="1:11" x14ac:dyDescent="0.25">
      <c r="A770" s="2">
        <f>DATE(2019,4,5)</f>
        <v>43560</v>
      </c>
      <c r="B770" s="6">
        <v>49.25</v>
      </c>
      <c r="C770" s="7">
        <f t="shared" ref="C770:C833" si="60">IFERROR(B770/B771-1,0)</f>
        <v>6.7457072771872628E-3</v>
      </c>
      <c r="D770" s="6">
        <f>MAX($B770:$B$1261)</f>
        <v>58.02</v>
      </c>
      <c r="E770" s="7">
        <f t="shared" ref="E770:E833" si="61">$B770/$D770-1</f>
        <v>-0.15115477421578771</v>
      </c>
      <c r="G770" s="6">
        <v>7938.69</v>
      </c>
      <c r="H770" s="7">
        <f t="shared" ref="H770:H833" si="62">IFERROR(G770/G771-1,0)</f>
        <v>5.9441596192493229E-3</v>
      </c>
      <c r="I770" s="6">
        <f>MAX($G770:$G$1261)</f>
        <v>8109.69</v>
      </c>
      <c r="J770" s="7">
        <f t="shared" ref="J770:J833" si="63">$G770/$I770-1</f>
        <v>-2.1085886143613397E-2</v>
      </c>
      <c r="K770" s="6">
        <f t="shared" ref="K770:K833" si="64">$K771*(1+H770)</f>
        <v>132.66926478403423</v>
      </c>
    </row>
    <row r="771" spans="1:11" x14ac:dyDescent="0.25">
      <c r="A771" s="2">
        <f>DATE(2019,4,4)</f>
        <v>43559</v>
      </c>
      <c r="B771" s="6">
        <v>48.92</v>
      </c>
      <c r="C771" s="7">
        <f t="shared" si="60"/>
        <v>1.6380016380015405E-3</v>
      </c>
      <c r="D771" s="6">
        <f>MAX($B771:$B$1261)</f>
        <v>58.02</v>
      </c>
      <c r="E771" s="7">
        <f t="shared" si="61"/>
        <v>-0.15684246811444336</v>
      </c>
      <c r="G771" s="6">
        <v>7891.78</v>
      </c>
      <c r="H771" s="7">
        <f t="shared" si="62"/>
        <v>-4.7748415246573472E-4</v>
      </c>
      <c r="I771" s="6">
        <f>MAX($G771:$G$1261)</f>
        <v>8109.69</v>
      </c>
      <c r="J771" s="7">
        <f t="shared" si="63"/>
        <v>-2.6870324266402235E-2</v>
      </c>
      <c r="K771" s="6">
        <f t="shared" si="64"/>
        <v>131.88531740593797</v>
      </c>
    </row>
    <row r="772" spans="1:11" x14ac:dyDescent="0.25">
      <c r="A772" s="2">
        <f>DATE(2019,4,3)</f>
        <v>43558</v>
      </c>
      <c r="B772" s="6">
        <v>48.84</v>
      </c>
      <c r="C772" s="7">
        <f t="shared" si="60"/>
        <v>6.8027210884353817E-3</v>
      </c>
      <c r="D772" s="6">
        <f>MAX($B772:$B$1261)</f>
        <v>58.02</v>
      </c>
      <c r="E772" s="7">
        <f t="shared" si="61"/>
        <v>-0.15822130299896586</v>
      </c>
      <c r="G772" s="6">
        <v>7895.55</v>
      </c>
      <c r="H772" s="7">
        <f t="shared" si="62"/>
        <v>5.9704230897130728E-3</v>
      </c>
      <c r="I772" s="6">
        <f>MAX($G772:$G$1261)</f>
        <v>8109.69</v>
      </c>
      <c r="J772" s="7">
        <f t="shared" si="63"/>
        <v>-2.6405448297037171E-2</v>
      </c>
      <c r="K772" s="6">
        <f t="shared" si="64"/>
        <v>131.94832063798708</v>
      </c>
    </row>
    <row r="773" spans="1:11" x14ac:dyDescent="0.25">
      <c r="A773" s="2">
        <f>DATE(2019,4,2)</f>
        <v>43557</v>
      </c>
      <c r="B773" s="6">
        <v>48.51</v>
      </c>
      <c r="C773" s="7">
        <f t="shared" si="60"/>
        <v>1.4641288433381972E-2</v>
      </c>
      <c r="D773" s="6">
        <f>MAX($B773:$B$1261)</f>
        <v>58.02</v>
      </c>
      <c r="E773" s="7">
        <f t="shared" si="61"/>
        <v>-0.16390899689762162</v>
      </c>
      <c r="G773" s="6">
        <v>7848.69</v>
      </c>
      <c r="H773" s="7">
        <f t="shared" si="62"/>
        <v>2.5265330678216902E-3</v>
      </c>
      <c r="I773" s="6">
        <f>MAX($G773:$G$1261)</f>
        <v>8109.69</v>
      </c>
      <c r="J773" s="7">
        <f t="shared" si="63"/>
        <v>-3.2183720956041495E-2</v>
      </c>
      <c r="K773" s="6">
        <f t="shared" si="64"/>
        <v>131.16520884652277</v>
      </c>
    </row>
    <row r="774" spans="1:11" x14ac:dyDescent="0.25">
      <c r="A774" s="2">
        <f>DATE(2019,4,1)</f>
        <v>43556</v>
      </c>
      <c r="B774" s="6">
        <v>47.81</v>
      </c>
      <c r="C774" s="7">
        <f t="shared" si="60"/>
        <v>6.7382606864603289E-3</v>
      </c>
      <c r="D774" s="6">
        <f>MAX($B774:$B$1261)</f>
        <v>58.02</v>
      </c>
      <c r="E774" s="7">
        <f t="shared" si="61"/>
        <v>-0.17597380213719405</v>
      </c>
      <c r="G774" s="6">
        <v>7828.91</v>
      </c>
      <c r="H774" s="7">
        <f t="shared" si="62"/>
        <v>1.2884703958433663E-2</v>
      </c>
      <c r="I774" s="6">
        <f>MAX($G774:$G$1261)</f>
        <v>8109.69</v>
      </c>
      <c r="J774" s="7">
        <f t="shared" si="63"/>
        <v>-3.4622778429261758E-2</v>
      </c>
      <c r="K774" s="6">
        <f t="shared" si="64"/>
        <v>130.83465077492303</v>
      </c>
    </row>
    <row r="775" spans="1:11" x14ac:dyDescent="0.25">
      <c r="A775" s="2">
        <f>DATE(2019,3,29)</f>
        <v>43553</v>
      </c>
      <c r="B775" s="6">
        <v>47.49</v>
      </c>
      <c r="C775" s="7">
        <f t="shared" si="60"/>
        <v>6.570580754557076E-3</v>
      </c>
      <c r="D775" s="6">
        <f>MAX($B775:$B$1261)</f>
        <v>58.02</v>
      </c>
      <c r="E775" s="7">
        <f t="shared" si="61"/>
        <v>-0.1814891416752844</v>
      </c>
      <c r="G775" s="6">
        <v>7729.32</v>
      </c>
      <c r="H775" s="7">
        <f t="shared" si="62"/>
        <v>7.8430912341229675E-3</v>
      </c>
      <c r="I775" s="6">
        <f>MAX($G775:$G$1261)</f>
        <v>8109.69</v>
      </c>
      <c r="J775" s="7">
        <f t="shared" si="63"/>
        <v>-4.6903149195591909E-2</v>
      </c>
      <c r="K775" s="6">
        <f t="shared" si="64"/>
        <v>129.17032932140336</v>
      </c>
    </row>
    <row r="776" spans="1:11" x14ac:dyDescent="0.25">
      <c r="A776" s="2">
        <f>DATE(2019,3,28)</f>
        <v>43552</v>
      </c>
      <c r="B776" s="6">
        <v>47.18</v>
      </c>
      <c r="C776" s="7">
        <f t="shared" si="60"/>
        <v>1.2733446519526126E-3</v>
      </c>
      <c r="D776" s="6">
        <f>MAX($B776:$B$1261)</f>
        <v>58.02</v>
      </c>
      <c r="E776" s="7">
        <f t="shared" si="61"/>
        <v>-0.18683212685280948</v>
      </c>
      <c r="G776" s="6">
        <v>7669.17</v>
      </c>
      <c r="H776" s="7">
        <f t="shared" si="62"/>
        <v>3.374161692863531E-3</v>
      </c>
      <c r="I776" s="6">
        <f>MAX($G776:$G$1261)</f>
        <v>8109.69</v>
      </c>
      <c r="J776" s="7">
        <f t="shared" si="63"/>
        <v>-5.4320202128564699E-2</v>
      </c>
      <c r="K776" s="6">
        <f t="shared" si="64"/>
        <v>128.16511860316652</v>
      </c>
    </row>
    <row r="777" spans="1:11" x14ac:dyDescent="0.25">
      <c r="A777" s="2">
        <f>DATE(2019,3,27)</f>
        <v>43551</v>
      </c>
      <c r="B777" s="6">
        <v>47.12</v>
      </c>
      <c r="C777" s="7">
        <f t="shared" si="60"/>
        <v>8.9935760171304668E-3</v>
      </c>
      <c r="D777" s="6">
        <f>MAX($B777:$B$1261)</f>
        <v>58.02</v>
      </c>
      <c r="E777" s="7">
        <f t="shared" si="61"/>
        <v>-0.18786625301620141</v>
      </c>
      <c r="G777" s="6">
        <v>7643.38</v>
      </c>
      <c r="H777" s="7">
        <f t="shared" si="62"/>
        <v>-6.2588409053087046E-3</v>
      </c>
      <c r="I777" s="6">
        <f>MAX($G777:$G$1261)</f>
        <v>8109.69</v>
      </c>
      <c r="J777" s="7">
        <f t="shared" si="63"/>
        <v>-5.7500348348703767E-2</v>
      </c>
      <c r="K777" s="6">
        <f t="shared" si="64"/>
        <v>127.73412301840631</v>
      </c>
    </row>
    <row r="778" spans="1:11" x14ac:dyDescent="0.25">
      <c r="A778" s="2">
        <f>DATE(2019,3,26)</f>
        <v>43550</v>
      </c>
      <c r="B778" s="6">
        <v>46.7</v>
      </c>
      <c r="C778" s="7">
        <f t="shared" si="60"/>
        <v>-1.0383555838101133E-2</v>
      </c>
      <c r="D778" s="6">
        <f>MAX($B778:$B$1261)</f>
        <v>58.02</v>
      </c>
      <c r="E778" s="7">
        <f t="shared" si="61"/>
        <v>-0.19510513615994485</v>
      </c>
      <c r="G778" s="6">
        <v>7691.52</v>
      </c>
      <c r="H778" s="7">
        <f t="shared" si="62"/>
        <v>7.0677207582547918E-3</v>
      </c>
      <c r="I778" s="6">
        <f>MAX($G778:$G$1261)</f>
        <v>8109.69</v>
      </c>
      <c r="J778" s="7">
        <f t="shared" si="63"/>
        <v>-5.1564239816811686E-2</v>
      </c>
      <c r="K778" s="6">
        <f t="shared" si="64"/>
        <v>128.53862582764856</v>
      </c>
    </row>
    <row r="779" spans="1:11" x14ac:dyDescent="0.25">
      <c r="A779" s="2">
        <f>DATE(2019,3,25)</f>
        <v>43549</v>
      </c>
      <c r="B779" s="6">
        <v>47.19</v>
      </c>
      <c r="C779" s="7">
        <f t="shared" si="60"/>
        <v>-1.1934673366834181E-2</v>
      </c>
      <c r="D779" s="6">
        <f>MAX($B779:$B$1261)</f>
        <v>58.02</v>
      </c>
      <c r="E779" s="7">
        <f t="shared" si="61"/>
        <v>-0.18665977249224419</v>
      </c>
      <c r="G779" s="6">
        <v>7637.54</v>
      </c>
      <c r="H779" s="7">
        <f t="shared" si="62"/>
        <v>-6.7123138903024682E-4</v>
      </c>
      <c r="I779" s="6">
        <f>MAX($G779:$G$1261)</f>
        <v>8109.69</v>
      </c>
      <c r="J779" s="7">
        <f t="shared" si="63"/>
        <v>-5.8220474518754672E-2</v>
      </c>
      <c r="K779" s="6">
        <f t="shared" si="64"/>
        <v>127.63652649979441</v>
      </c>
    </row>
    <row r="780" spans="1:11" x14ac:dyDescent="0.25">
      <c r="A780" s="2">
        <f>DATE(2019,3,22)</f>
        <v>43546</v>
      </c>
      <c r="B780" s="6">
        <v>47.76</v>
      </c>
      <c r="C780" s="7">
        <f t="shared" si="60"/>
        <v>-2.0709452532294503E-2</v>
      </c>
      <c r="D780" s="6">
        <f>MAX($B780:$B$1261)</f>
        <v>58.02</v>
      </c>
      <c r="E780" s="7">
        <f t="shared" si="61"/>
        <v>-0.17683557394002081</v>
      </c>
      <c r="G780" s="6">
        <v>7642.67</v>
      </c>
      <c r="H780" s="7">
        <f t="shared" si="62"/>
        <v>-2.5040311469888832E-2</v>
      </c>
      <c r="I780" s="6">
        <f>MAX($G780:$G$1261)</f>
        <v>8109.69</v>
      </c>
      <c r="J780" s="7">
        <f t="shared" si="63"/>
        <v>-5.7587897934446297E-2</v>
      </c>
      <c r="K780" s="6">
        <f t="shared" si="64"/>
        <v>127.72225768823256</v>
      </c>
    </row>
    <row r="781" spans="1:11" x14ac:dyDescent="0.25">
      <c r="A781" s="2">
        <f>DATE(2019,3,21)</f>
        <v>43545</v>
      </c>
      <c r="B781" s="6">
        <v>48.77</v>
      </c>
      <c r="C781" s="7">
        <f t="shared" si="60"/>
        <v>3.6777210884353817E-2</v>
      </c>
      <c r="D781" s="6">
        <f>MAX($B781:$B$1261)</f>
        <v>58.02</v>
      </c>
      <c r="E781" s="7">
        <f t="shared" si="61"/>
        <v>-0.15942778352292308</v>
      </c>
      <c r="G781" s="6">
        <v>7838.96</v>
      </c>
      <c r="H781" s="7">
        <f t="shared" si="62"/>
        <v>1.4230874230330759E-2</v>
      </c>
      <c r="I781" s="6">
        <f>MAX($G781:$G$1261)</f>
        <v>8109.69</v>
      </c>
      <c r="J781" s="7">
        <f t="shared" si="63"/>
        <v>-3.3383520208540629E-2</v>
      </c>
      <c r="K781" s="6">
        <f t="shared" si="64"/>
        <v>131.00260368794511</v>
      </c>
    </row>
    <row r="782" spans="1:11" x14ac:dyDescent="0.25">
      <c r="A782" s="2">
        <f>DATE(2019,3,20)</f>
        <v>43544</v>
      </c>
      <c r="B782" s="6">
        <v>47.04</v>
      </c>
      <c r="C782" s="7">
        <f t="shared" si="60"/>
        <v>8.7926227750374508E-3</v>
      </c>
      <c r="D782" s="6">
        <f>MAX($B782:$B$1261)</f>
        <v>58.02</v>
      </c>
      <c r="E782" s="7">
        <f t="shared" si="61"/>
        <v>-0.18924508790072392</v>
      </c>
      <c r="G782" s="6">
        <v>7728.97</v>
      </c>
      <c r="H782" s="7">
        <f t="shared" si="62"/>
        <v>6.4992652723039335E-4</v>
      </c>
      <c r="I782" s="6">
        <f>MAX($G782:$G$1261)</f>
        <v>8109.69</v>
      </c>
      <c r="J782" s="7">
        <f t="shared" si="63"/>
        <v>-4.6946307442084612E-2</v>
      </c>
      <c r="K782" s="6">
        <f t="shared" si="64"/>
        <v>129.16448021497968</v>
      </c>
    </row>
    <row r="783" spans="1:11" x14ac:dyDescent="0.25">
      <c r="A783" s="2">
        <f>DATE(2019,3,19)</f>
        <v>43543</v>
      </c>
      <c r="B783" s="6">
        <v>46.63</v>
      </c>
      <c r="C783" s="7">
        <f t="shared" si="60"/>
        <v>-8.0833865135077065E-3</v>
      </c>
      <c r="D783" s="6">
        <f>MAX($B783:$B$1261)</f>
        <v>58.02</v>
      </c>
      <c r="E783" s="7">
        <f t="shared" si="61"/>
        <v>-0.19631161668390207</v>
      </c>
      <c r="G783" s="6">
        <v>7723.95</v>
      </c>
      <c r="H783" s="7">
        <f t="shared" si="62"/>
        <v>1.227561676224509E-3</v>
      </c>
      <c r="I783" s="6">
        <f>MAX($G783:$G$1261)</f>
        <v>8109.69</v>
      </c>
      <c r="J783" s="7">
        <f t="shared" si="63"/>
        <v>-4.7565320006066836E-2</v>
      </c>
      <c r="K783" s="6">
        <f t="shared" si="64"/>
        <v>129.0805873171318</v>
      </c>
    </row>
    <row r="784" spans="1:11" x14ac:dyDescent="0.25">
      <c r="A784" s="2">
        <f>DATE(2019,3,18)</f>
        <v>43542</v>
      </c>
      <c r="B784" s="6">
        <v>47.01</v>
      </c>
      <c r="C784" s="7">
        <f t="shared" si="60"/>
        <v>1.0315925209542165E-2</v>
      </c>
      <c r="D784" s="6">
        <f>MAX($B784:$B$1261)</f>
        <v>58.02</v>
      </c>
      <c r="E784" s="7">
        <f t="shared" si="61"/>
        <v>-0.18976215098241989</v>
      </c>
      <c r="G784" s="6">
        <v>7714.48</v>
      </c>
      <c r="H784" s="7">
        <f t="shared" si="62"/>
        <v>3.3751575398677236E-3</v>
      </c>
      <c r="I784" s="6">
        <f>MAX($G784:$G$1261)</f>
        <v>8109.69</v>
      </c>
      <c r="J784" s="7">
        <f t="shared" si="63"/>
        <v>-4.8733058846885613E-2</v>
      </c>
      <c r="K784" s="6">
        <f t="shared" si="64"/>
        <v>128.9223272090403</v>
      </c>
    </row>
    <row r="785" spans="1:11" x14ac:dyDescent="0.25">
      <c r="A785" s="2">
        <f>DATE(2019,3,15)</f>
        <v>43539</v>
      </c>
      <c r="B785" s="6">
        <v>46.53</v>
      </c>
      <c r="C785" s="7">
        <f t="shared" si="60"/>
        <v>1.3063357282821819E-2</v>
      </c>
      <c r="D785" s="6">
        <f>MAX($B785:$B$1261)</f>
        <v>58.02</v>
      </c>
      <c r="E785" s="7">
        <f t="shared" si="61"/>
        <v>-0.19803516028955537</v>
      </c>
      <c r="G785" s="6">
        <v>7688.53</v>
      </c>
      <c r="H785" s="7">
        <f t="shared" si="62"/>
        <v>7.550868769255592E-3</v>
      </c>
      <c r="I785" s="6">
        <f>MAX($G785:$G$1261)</f>
        <v>8109.69</v>
      </c>
      <c r="J785" s="7">
        <f t="shared" si="63"/>
        <v>-5.1932934551135679E-2</v>
      </c>
      <c r="K785" s="6">
        <f t="shared" si="64"/>
        <v>128.48865774705783</v>
      </c>
    </row>
    <row r="786" spans="1:11" x14ac:dyDescent="0.25">
      <c r="A786" s="2">
        <f>DATE(2019,3,14)</f>
        <v>43538</v>
      </c>
      <c r="B786" s="6">
        <v>45.93</v>
      </c>
      <c r="C786" s="7">
        <f t="shared" si="60"/>
        <v>1.1005943209333013E-2</v>
      </c>
      <c r="D786" s="6">
        <f>MAX($B786:$B$1261)</f>
        <v>58.02</v>
      </c>
      <c r="E786" s="7">
        <f t="shared" si="61"/>
        <v>-0.20837642192347472</v>
      </c>
      <c r="G786" s="6">
        <v>7630.91</v>
      </c>
      <c r="H786" s="7">
        <f t="shared" si="62"/>
        <v>-1.6353957199731761E-3</v>
      </c>
      <c r="I786" s="6">
        <f>MAX($G786:$G$1261)</f>
        <v>8109.69</v>
      </c>
      <c r="J786" s="7">
        <f t="shared" si="63"/>
        <v>-5.9038015016603551E-2</v>
      </c>
      <c r="K786" s="6">
        <f t="shared" si="64"/>
        <v>127.52572771239768</v>
      </c>
    </row>
    <row r="787" spans="1:11" x14ac:dyDescent="0.25">
      <c r="A787" s="2">
        <f>DATE(2019,3,13)</f>
        <v>43537</v>
      </c>
      <c r="B787" s="6">
        <v>45.43</v>
      </c>
      <c r="C787" s="7">
        <f t="shared" si="60"/>
        <v>4.4218439089100947E-3</v>
      </c>
      <c r="D787" s="6">
        <f>MAX($B787:$B$1261)</f>
        <v>58.02</v>
      </c>
      <c r="E787" s="7">
        <f t="shared" si="61"/>
        <v>-0.21699413995174077</v>
      </c>
      <c r="G787" s="6">
        <v>7643.41</v>
      </c>
      <c r="H787" s="7">
        <f t="shared" si="62"/>
        <v>6.9002493732734926E-3</v>
      </c>
      <c r="I787" s="6">
        <f>MAX($G787:$G$1261)</f>
        <v>8109.69</v>
      </c>
      <c r="J787" s="7">
        <f t="shared" si="63"/>
        <v>-5.7496649070432948E-2</v>
      </c>
      <c r="K787" s="6">
        <f t="shared" si="64"/>
        <v>127.73462437038539</v>
      </c>
    </row>
    <row r="788" spans="1:11" x14ac:dyDescent="0.25">
      <c r="A788" s="2">
        <f>DATE(2019,3,12)</f>
        <v>43536</v>
      </c>
      <c r="B788" s="6">
        <v>45.23</v>
      </c>
      <c r="C788" s="7">
        <f t="shared" si="60"/>
        <v>1.1404293381037434E-2</v>
      </c>
      <c r="D788" s="6">
        <f>MAX($B788:$B$1261)</f>
        <v>58.02</v>
      </c>
      <c r="E788" s="7">
        <f t="shared" si="61"/>
        <v>-0.22044122716304737</v>
      </c>
      <c r="G788" s="6">
        <v>7591.03</v>
      </c>
      <c r="H788" s="7">
        <f t="shared" si="62"/>
        <v>4.3622305194719324E-3</v>
      </c>
      <c r="I788" s="6">
        <f>MAX($G788:$G$1261)</f>
        <v>8109.69</v>
      </c>
      <c r="J788" s="7">
        <f t="shared" si="63"/>
        <v>-6.3955588931266183E-2</v>
      </c>
      <c r="K788" s="6">
        <f t="shared" si="64"/>
        <v>126.8592638147537</v>
      </c>
    </row>
    <row r="789" spans="1:11" x14ac:dyDescent="0.25">
      <c r="A789" s="2">
        <f>DATE(2019,3,11)</f>
        <v>43535</v>
      </c>
      <c r="B789" s="6">
        <v>44.72</v>
      </c>
      <c r="C789" s="7">
        <f t="shared" si="60"/>
        <v>3.4466805459171912E-2</v>
      </c>
      <c r="D789" s="6">
        <f>MAX($B789:$B$1261)</f>
        <v>58.02</v>
      </c>
      <c r="E789" s="7">
        <f t="shared" si="61"/>
        <v>-0.22923129955187871</v>
      </c>
      <c r="G789" s="6">
        <v>7558.06</v>
      </c>
      <c r="H789" s="7">
        <f t="shared" si="62"/>
        <v>2.0237198541064316E-2</v>
      </c>
      <c r="I789" s="6">
        <f>MAX($G789:$G$1261)</f>
        <v>8109.69</v>
      </c>
      <c r="J789" s="7">
        <f t="shared" si="63"/>
        <v>-6.8021095750885552E-2</v>
      </c>
      <c r="K789" s="6">
        <f t="shared" si="64"/>
        <v>126.30827798964533</v>
      </c>
    </row>
    <row r="790" spans="1:11" x14ac:dyDescent="0.25">
      <c r="A790" s="2">
        <f>DATE(2019,3,8)</f>
        <v>43532</v>
      </c>
      <c r="B790" s="6">
        <v>43.23</v>
      </c>
      <c r="C790" s="7">
        <f t="shared" si="60"/>
        <v>2.5510204081633514E-3</v>
      </c>
      <c r="D790" s="6">
        <f>MAX($B790:$B$1261)</f>
        <v>58.02</v>
      </c>
      <c r="E790" s="7">
        <f t="shared" si="61"/>
        <v>-0.2549120992761118</v>
      </c>
      <c r="G790" s="6">
        <v>7408.14</v>
      </c>
      <c r="H790" s="7">
        <f t="shared" si="62"/>
        <v>-1.7947950942267532E-3</v>
      </c>
      <c r="I790" s="6">
        <f>MAX($G790:$G$1261)</f>
        <v>8109.69</v>
      </c>
      <c r="J790" s="7">
        <f t="shared" si="63"/>
        <v>-8.6507622362876901E-2</v>
      </c>
      <c r="K790" s="6">
        <f t="shared" si="64"/>
        <v>123.80285503240397</v>
      </c>
    </row>
    <row r="791" spans="1:11" x14ac:dyDescent="0.25">
      <c r="A791" s="2">
        <f>DATE(2019,3,7)</f>
        <v>43531</v>
      </c>
      <c r="B791" s="6">
        <v>43.12</v>
      </c>
      <c r="C791" s="7">
        <f t="shared" si="60"/>
        <v>-1.1689204675682019E-2</v>
      </c>
      <c r="D791" s="6">
        <f>MAX($B791:$B$1261)</f>
        <v>58.02</v>
      </c>
      <c r="E791" s="7">
        <f t="shared" si="61"/>
        <v>-0.25680799724233028</v>
      </c>
      <c r="G791" s="6">
        <v>7421.46</v>
      </c>
      <c r="H791" s="7">
        <f t="shared" si="62"/>
        <v>-1.125245139836295E-2</v>
      </c>
      <c r="I791" s="6">
        <f>MAX($G791:$G$1261)</f>
        <v>8109.69</v>
      </c>
      <c r="J791" s="7">
        <f t="shared" si="63"/>
        <v>-8.4865142810637617E-2</v>
      </c>
      <c r="K791" s="6">
        <f t="shared" si="64"/>
        <v>124.02545531115567</v>
      </c>
    </row>
    <row r="792" spans="1:11" x14ac:dyDescent="0.25">
      <c r="A792" s="2">
        <f>DATE(2019,3,6)</f>
        <v>43530</v>
      </c>
      <c r="B792" s="6">
        <v>43.63</v>
      </c>
      <c r="C792" s="7">
        <f t="shared" si="60"/>
        <v>-5.697356426618061E-3</v>
      </c>
      <c r="D792" s="6">
        <f>MAX($B792:$B$1261)</f>
        <v>58.02</v>
      </c>
      <c r="E792" s="7">
        <f t="shared" si="61"/>
        <v>-0.24801792485349883</v>
      </c>
      <c r="G792" s="6">
        <v>7505.92</v>
      </c>
      <c r="H792" s="7">
        <f t="shared" si="62"/>
        <v>-9.2973406754693899E-3</v>
      </c>
      <c r="I792" s="6">
        <f>MAX($G792:$G$1261)</f>
        <v>8109.69</v>
      </c>
      <c r="J792" s="7">
        <f t="shared" si="63"/>
        <v>-7.4450441385552346E-2</v>
      </c>
      <c r="K792" s="6">
        <f t="shared" si="64"/>
        <v>125.43692824984701</v>
      </c>
    </row>
    <row r="793" spans="1:11" x14ac:dyDescent="0.25">
      <c r="A793" s="2">
        <f>DATE(2019,3,5)</f>
        <v>43529</v>
      </c>
      <c r="B793" s="6">
        <v>43.88</v>
      </c>
      <c r="C793" s="7">
        <f t="shared" si="60"/>
        <v>-1.8198362147406888E-3</v>
      </c>
      <c r="D793" s="6">
        <f>MAX($B793:$B$1261)</f>
        <v>58.02</v>
      </c>
      <c r="E793" s="7">
        <f t="shared" si="61"/>
        <v>-0.24370906583936569</v>
      </c>
      <c r="G793" s="6">
        <v>7576.36</v>
      </c>
      <c r="H793" s="7">
        <f t="shared" si="62"/>
        <v>-1.5968179772674063E-4</v>
      </c>
      <c r="I793" s="6">
        <f>MAX($G793:$G$1261)</f>
        <v>8109.69</v>
      </c>
      <c r="J793" s="7">
        <f t="shared" si="63"/>
        <v>-6.5764536005691987E-2</v>
      </c>
      <c r="K793" s="6">
        <f t="shared" si="64"/>
        <v>126.61410269693933</v>
      </c>
    </row>
    <row r="794" spans="1:11" x14ac:dyDescent="0.25">
      <c r="A794" s="2">
        <f>DATE(2019,3,4)</f>
        <v>43528</v>
      </c>
      <c r="B794" s="6">
        <v>43.96</v>
      </c>
      <c r="C794" s="7">
        <f t="shared" si="60"/>
        <v>5.0297210791037106E-3</v>
      </c>
      <c r="D794" s="6">
        <f>MAX($B794:$B$1261)</f>
        <v>58.02</v>
      </c>
      <c r="E794" s="7">
        <f t="shared" si="61"/>
        <v>-0.24233023095484318</v>
      </c>
      <c r="G794" s="6">
        <v>7577.57</v>
      </c>
      <c r="H794" s="7">
        <f t="shared" si="62"/>
        <v>-2.3409059490346884E-3</v>
      </c>
      <c r="I794" s="6">
        <f>MAX($G794:$G$1261)</f>
        <v>8109.69</v>
      </c>
      <c r="J794" s="7">
        <f t="shared" si="63"/>
        <v>-6.5615331782102659E-2</v>
      </c>
      <c r="K794" s="6">
        <f t="shared" si="64"/>
        <v>126.63432389343254</v>
      </c>
    </row>
    <row r="795" spans="1:11" x14ac:dyDescent="0.25">
      <c r="A795" s="2">
        <f>DATE(2019,3,1)</f>
        <v>43525</v>
      </c>
      <c r="B795" s="6">
        <v>43.74</v>
      </c>
      <c r="C795" s="7">
        <f t="shared" si="60"/>
        <v>1.0395010395010562E-2</v>
      </c>
      <c r="D795" s="6">
        <f>MAX($B795:$B$1261)</f>
        <v>58.02</v>
      </c>
      <c r="E795" s="7">
        <f t="shared" si="61"/>
        <v>-0.24612202688728024</v>
      </c>
      <c r="G795" s="6">
        <v>7595.35</v>
      </c>
      <c r="H795" s="7">
        <f t="shared" si="62"/>
        <v>8.3398273886730045E-3</v>
      </c>
      <c r="I795" s="6">
        <f>MAX($G795:$G$1261)</f>
        <v>8109.69</v>
      </c>
      <c r="J795" s="7">
        <f t="shared" si="63"/>
        <v>-6.3422892860269586E-2</v>
      </c>
      <c r="K795" s="6">
        <f t="shared" si="64"/>
        <v>126.93145849975426</v>
      </c>
    </row>
    <row r="796" spans="1:11" x14ac:dyDescent="0.25">
      <c r="A796" s="2">
        <f>DATE(2019,2,28)</f>
        <v>43524</v>
      </c>
      <c r="B796" s="6">
        <v>43.29</v>
      </c>
      <c r="C796" s="7">
        <f t="shared" si="60"/>
        <v>-9.8353156450137202E-3</v>
      </c>
      <c r="D796" s="6">
        <f>MAX($B796:$B$1261)</f>
        <v>58.02</v>
      </c>
      <c r="E796" s="7">
        <f t="shared" si="61"/>
        <v>-0.25387797311271976</v>
      </c>
      <c r="G796" s="6">
        <v>7532.53</v>
      </c>
      <c r="H796" s="7">
        <f t="shared" si="62"/>
        <v>-2.9095202733202541E-3</v>
      </c>
      <c r="I796" s="6">
        <f>MAX($G796:$G$1261)</f>
        <v>8109.69</v>
      </c>
      <c r="J796" s="7">
        <f t="shared" si="63"/>
        <v>-7.1169181559344374E-2</v>
      </c>
      <c r="K796" s="6">
        <f t="shared" si="64"/>
        <v>125.88162745537122</v>
      </c>
    </row>
    <row r="797" spans="1:11" x14ac:dyDescent="0.25">
      <c r="A797" s="2">
        <f>DATE(2019,2,27)</f>
        <v>43523</v>
      </c>
      <c r="B797" s="6">
        <v>43.72</v>
      </c>
      <c r="C797" s="7">
        <f t="shared" si="60"/>
        <v>3.2124827902708653E-3</v>
      </c>
      <c r="D797" s="6">
        <f>MAX($B797:$B$1261)</f>
        <v>58.02</v>
      </c>
      <c r="E797" s="7">
        <f t="shared" si="61"/>
        <v>-0.24646673560841093</v>
      </c>
      <c r="G797" s="6">
        <v>7554.51</v>
      </c>
      <c r="H797" s="7">
        <f t="shared" si="62"/>
        <v>6.9013021074804115E-4</v>
      </c>
      <c r="I797" s="6">
        <f>MAX($G797:$G$1261)</f>
        <v>8109.69</v>
      </c>
      <c r="J797" s="7">
        <f t="shared" si="63"/>
        <v>-6.8458843679598091E-2</v>
      </c>
      <c r="K797" s="6">
        <f t="shared" si="64"/>
        <v>126.24895133877681</v>
      </c>
    </row>
    <row r="798" spans="1:11" x14ac:dyDescent="0.25">
      <c r="A798" s="2">
        <f>DATE(2019,2,26)</f>
        <v>43522</v>
      </c>
      <c r="B798" s="6">
        <v>43.58</v>
      </c>
      <c r="C798" s="7">
        <f t="shared" si="60"/>
        <v>4.5913682277309853E-4</v>
      </c>
      <c r="D798" s="6">
        <f>MAX($B798:$B$1261)</f>
        <v>58.02</v>
      </c>
      <c r="E798" s="7">
        <f t="shared" si="61"/>
        <v>-0.24887969665632548</v>
      </c>
      <c r="G798" s="6">
        <v>7549.3</v>
      </c>
      <c r="H798" s="7">
        <f t="shared" si="62"/>
        <v>-6.8304021730203335E-4</v>
      </c>
      <c r="I798" s="6">
        <f>MAX($G798:$G$1261)</f>
        <v>8109.69</v>
      </c>
      <c r="J798" s="7">
        <f t="shared" si="63"/>
        <v>-6.910128500596191E-2</v>
      </c>
      <c r="K798" s="6">
        <f t="shared" si="64"/>
        <v>126.16188321172753</v>
      </c>
    </row>
    <row r="799" spans="1:11" x14ac:dyDescent="0.25">
      <c r="A799" s="2">
        <f>DATE(2019,2,25)</f>
        <v>43521</v>
      </c>
      <c r="B799" s="6">
        <v>43.56</v>
      </c>
      <c r="C799" s="7">
        <f t="shared" si="60"/>
        <v>7.4005550416280652E-3</v>
      </c>
      <c r="D799" s="6">
        <f>MAX($B799:$B$1261)</f>
        <v>58.02</v>
      </c>
      <c r="E799" s="7">
        <f t="shared" si="61"/>
        <v>-0.24922440537745605</v>
      </c>
      <c r="G799" s="6">
        <v>7554.46</v>
      </c>
      <c r="H799" s="7">
        <f t="shared" si="62"/>
        <v>3.5762015213469667E-3</v>
      </c>
      <c r="I799" s="6">
        <f>MAX($G799:$G$1261)</f>
        <v>8109.69</v>
      </c>
      <c r="J799" s="7">
        <f t="shared" si="63"/>
        <v>-6.8465009143382716E-2</v>
      </c>
      <c r="K799" s="6">
        <f t="shared" si="64"/>
        <v>126.24811575214484</v>
      </c>
    </row>
    <row r="800" spans="1:11" x14ac:dyDescent="0.25">
      <c r="A800" s="2">
        <f>DATE(2019,2,22)</f>
        <v>43518</v>
      </c>
      <c r="B800" s="6">
        <v>43.24</v>
      </c>
      <c r="C800" s="7">
        <f t="shared" si="60"/>
        <v>1.1225444340505319E-2</v>
      </c>
      <c r="D800" s="6">
        <f>MAX($B800:$B$1261)</f>
        <v>58.02</v>
      </c>
      <c r="E800" s="7">
        <f t="shared" si="61"/>
        <v>-0.25473974491554641</v>
      </c>
      <c r="G800" s="6">
        <v>7527.54</v>
      </c>
      <c r="H800" s="7">
        <f t="shared" si="62"/>
        <v>9.0928467728637052E-3</v>
      </c>
      <c r="I800" s="6">
        <f>MAX($G800:$G$1261)</f>
        <v>8109.69</v>
      </c>
      <c r="J800" s="7">
        <f t="shared" si="63"/>
        <v>-7.1784494845055669E-2</v>
      </c>
      <c r="K800" s="6">
        <f t="shared" si="64"/>
        <v>125.79823590950251</v>
      </c>
    </row>
    <row r="801" spans="1:11" x14ac:dyDescent="0.25">
      <c r="A801" s="2">
        <f>DATE(2019,2,21)</f>
        <v>43517</v>
      </c>
      <c r="B801" s="6">
        <v>42.76</v>
      </c>
      <c r="C801" s="7">
        <f t="shared" si="60"/>
        <v>-5.8126017205301084E-3</v>
      </c>
      <c r="D801" s="6">
        <f>MAX($B801:$B$1261)</f>
        <v>58.02</v>
      </c>
      <c r="E801" s="7">
        <f t="shared" si="61"/>
        <v>-0.26301275422268189</v>
      </c>
      <c r="G801" s="6">
        <v>7459.71</v>
      </c>
      <c r="H801" s="7">
        <f t="shared" si="62"/>
        <v>-3.9203799670719519E-3</v>
      </c>
      <c r="I801" s="6">
        <f>MAX($G801:$G$1261)</f>
        <v>8109.69</v>
      </c>
      <c r="J801" s="7">
        <f t="shared" si="63"/>
        <v>-8.0148563015355667E-2</v>
      </c>
      <c r="K801" s="6">
        <f t="shared" si="64"/>
        <v>124.66467908459803</v>
      </c>
    </row>
    <row r="802" spans="1:11" x14ac:dyDescent="0.25">
      <c r="A802" s="2">
        <f>DATE(2019,2,20)</f>
        <v>43516</v>
      </c>
      <c r="B802" s="6">
        <v>43.01</v>
      </c>
      <c r="C802" s="7">
        <f t="shared" si="60"/>
        <v>6.5527732272407935E-3</v>
      </c>
      <c r="D802" s="6">
        <f>MAX($B802:$B$1261)</f>
        <v>58.02</v>
      </c>
      <c r="E802" s="7">
        <f t="shared" si="61"/>
        <v>-0.25870389520854886</v>
      </c>
      <c r="G802" s="6">
        <v>7489.07</v>
      </c>
      <c r="H802" s="7">
        <f t="shared" si="62"/>
        <v>3.0720858260635531E-4</v>
      </c>
      <c r="I802" s="6">
        <f>MAX($G802:$G$1261)</f>
        <v>8109.69</v>
      </c>
      <c r="J802" s="7">
        <f t="shared" si="63"/>
        <v>-7.6528202680990254E-2</v>
      </c>
      <c r="K802" s="6">
        <f t="shared" si="64"/>
        <v>125.15533555487956</v>
      </c>
    </row>
    <row r="803" spans="1:11" x14ac:dyDescent="0.25">
      <c r="A803" s="2">
        <f>DATE(2019,2,19)</f>
        <v>43515</v>
      </c>
      <c r="B803" s="6">
        <v>42.73</v>
      </c>
      <c r="C803" s="7">
        <f t="shared" si="60"/>
        <v>3.0516431924880738E-3</v>
      </c>
      <c r="D803" s="6">
        <f>MAX($B803:$B$1261)</f>
        <v>58.02</v>
      </c>
      <c r="E803" s="7">
        <f t="shared" si="61"/>
        <v>-0.26352981730437786</v>
      </c>
      <c r="G803" s="6">
        <v>7486.77</v>
      </c>
      <c r="H803" s="7">
        <f t="shared" si="62"/>
        <v>1.9217360931749194E-3</v>
      </c>
      <c r="I803" s="6">
        <f>MAX($G803:$G$1261)</f>
        <v>8109.69</v>
      </c>
      <c r="J803" s="7">
        <f t="shared" si="63"/>
        <v>-7.6811814015085522E-2</v>
      </c>
      <c r="K803" s="6">
        <f t="shared" si="64"/>
        <v>125.11689856980982</v>
      </c>
    </row>
    <row r="804" spans="1:11" x14ac:dyDescent="0.25">
      <c r="A804" s="2">
        <f>DATE(2019,2,15)</f>
        <v>43511</v>
      </c>
      <c r="B804" s="6">
        <v>42.6</v>
      </c>
      <c r="C804" s="7">
        <f t="shared" si="60"/>
        <v>-2.3419203747072626E-3</v>
      </c>
      <c r="D804" s="6">
        <f>MAX($B804:$B$1261)</f>
        <v>58.02</v>
      </c>
      <c r="E804" s="7">
        <f t="shared" si="61"/>
        <v>-0.26577042399172701</v>
      </c>
      <c r="G804" s="6">
        <v>7472.41</v>
      </c>
      <c r="H804" s="7">
        <f t="shared" si="62"/>
        <v>6.1209513999689324E-3</v>
      </c>
      <c r="I804" s="6">
        <f>MAX($G804:$G$1261)</f>
        <v>8109.69</v>
      </c>
      <c r="J804" s="7">
        <f t="shared" si="63"/>
        <v>-7.8582535214046345E-2</v>
      </c>
      <c r="K804" s="6">
        <f t="shared" si="64"/>
        <v>124.87691808911352</v>
      </c>
    </row>
    <row r="805" spans="1:11" x14ac:dyDescent="0.25">
      <c r="A805" s="2">
        <f>DATE(2019,2,14)</f>
        <v>43510</v>
      </c>
      <c r="B805" s="6">
        <v>42.7</v>
      </c>
      <c r="C805" s="7">
        <f t="shared" si="60"/>
        <v>3.761165961448043E-3</v>
      </c>
      <c r="D805" s="6">
        <f>MAX($B805:$B$1261)</f>
        <v>58.02</v>
      </c>
      <c r="E805" s="7">
        <f t="shared" si="61"/>
        <v>-0.26404688038607371</v>
      </c>
      <c r="G805" s="6">
        <v>7426.95</v>
      </c>
      <c r="H805" s="7">
        <f t="shared" si="62"/>
        <v>8.8539940003062867E-4</v>
      </c>
      <c r="I805" s="6">
        <f>MAX($G805:$G$1261)</f>
        <v>8109.69</v>
      </c>
      <c r="J805" s="7">
        <f t="shared" si="63"/>
        <v>-8.4188174887079525E-2</v>
      </c>
      <c r="K805" s="6">
        <f t="shared" si="64"/>
        <v>124.11720272334384</v>
      </c>
    </row>
    <row r="806" spans="1:11" x14ac:dyDescent="0.25">
      <c r="A806" s="2">
        <f>DATE(2019,2,13)</f>
        <v>43509</v>
      </c>
      <c r="B806" s="6">
        <v>42.54</v>
      </c>
      <c r="C806" s="7">
        <f t="shared" si="60"/>
        <v>-4.2134831460673983E-3</v>
      </c>
      <c r="D806" s="6">
        <f>MAX($B806:$B$1261)</f>
        <v>58.02</v>
      </c>
      <c r="E806" s="7">
        <f t="shared" si="61"/>
        <v>-0.26680455015511895</v>
      </c>
      <c r="G806" s="6">
        <v>7420.38</v>
      </c>
      <c r="H806" s="7">
        <f t="shared" si="62"/>
        <v>7.7684358739893433E-4</v>
      </c>
      <c r="I806" s="6">
        <f>MAX($G806:$G$1261)</f>
        <v>8109.69</v>
      </c>
      <c r="J806" s="7">
        <f t="shared" si="63"/>
        <v>-8.4998316828386766E-2</v>
      </c>
      <c r="K806" s="6">
        <f t="shared" si="64"/>
        <v>124.00740663990551</v>
      </c>
    </row>
    <row r="807" spans="1:11" x14ac:dyDescent="0.25">
      <c r="A807" s="2">
        <f>DATE(2019,2,12)</f>
        <v>43508</v>
      </c>
      <c r="B807" s="6">
        <v>42.72</v>
      </c>
      <c r="C807" s="7">
        <f t="shared" si="60"/>
        <v>8.4985835694051381E-3</v>
      </c>
      <c r="D807" s="6">
        <f>MAX($B807:$B$1261)</f>
        <v>58.02</v>
      </c>
      <c r="E807" s="7">
        <f t="shared" si="61"/>
        <v>-0.26370217166494314</v>
      </c>
      <c r="G807" s="6">
        <v>7414.62</v>
      </c>
      <c r="H807" s="7">
        <f t="shared" si="62"/>
        <v>1.4603374430411042E-2</v>
      </c>
      <c r="I807" s="6">
        <f>MAX($G807:$G$1261)</f>
        <v>8109.69</v>
      </c>
      <c r="J807" s="7">
        <f t="shared" si="63"/>
        <v>-8.5708578256382117E-2</v>
      </c>
      <c r="K807" s="6">
        <f t="shared" si="64"/>
        <v>123.91114705990478</v>
      </c>
    </row>
    <row r="808" spans="1:11" x14ac:dyDescent="0.25">
      <c r="A808" s="2">
        <f>DATE(2019,2,11)</f>
        <v>43507</v>
      </c>
      <c r="B808" s="6">
        <v>42.36</v>
      </c>
      <c r="C808" s="7">
        <f t="shared" si="60"/>
        <v>-5.6338028169014009E-3</v>
      </c>
      <c r="D808" s="6">
        <f>MAX($B808:$B$1261)</f>
        <v>58.02</v>
      </c>
      <c r="E808" s="7">
        <f t="shared" si="61"/>
        <v>-0.26990692864529475</v>
      </c>
      <c r="G808" s="6">
        <v>7307.9</v>
      </c>
      <c r="H808" s="7">
        <f t="shared" si="62"/>
        <v>1.3290948453041906E-3</v>
      </c>
      <c r="I808" s="6">
        <f>MAX($G808:$G$1261)</f>
        <v>8109.69</v>
      </c>
      <c r="J808" s="7">
        <f t="shared" si="63"/>
        <v>-9.8868144158408056E-2</v>
      </c>
      <c r="K808" s="6">
        <f t="shared" si="64"/>
        <v>122.12767095266892</v>
      </c>
    </row>
    <row r="809" spans="1:11" x14ac:dyDescent="0.25">
      <c r="A809" s="2">
        <f>DATE(2019,2,8)</f>
        <v>43504</v>
      </c>
      <c r="B809" s="6">
        <v>42.6</v>
      </c>
      <c r="C809" s="7">
        <f t="shared" si="60"/>
        <v>-3.2756200280767978E-3</v>
      </c>
      <c r="D809" s="6">
        <f>MAX($B809:$B$1261)</f>
        <v>58.02</v>
      </c>
      <c r="E809" s="7">
        <f t="shared" si="61"/>
        <v>-0.26577042399172701</v>
      </c>
      <c r="G809" s="6">
        <v>7298.2</v>
      </c>
      <c r="H809" s="7">
        <f t="shared" si="62"/>
        <v>1.3514718694902506E-3</v>
      </c>
      <c r="I809" s="6">
        <f>MAX($G809:$G$1261)</f>
        <v>8109.69</v>
      </c>
      <c r="J809" s="7">
        <f t="shared" si="63"/>
        <v>-0.10006424413263637</v>
      </c>
      <c r="K809" s="6">
        <f t="shared" si="64"/>
        <v>121.96556714607048</v>
      </c>
    </row>
    <row r="810" spans="1:11" x14ac:dyDescent="0.25">
      <c r="A810" s="2">
        <f>DATE(2019,2,7)</f>
        <v>43503</v>
      </c>
      <c r="B810" s="6">
        <v>42.74</v>
      </c>
      <c r="C810" s="7">
        <f t="shared" si="60"/>
        <v>-1.8824609733700703E-2</v>
      </c>
      <c r="D810" s="6">
        <f>MAX($B810:$B$1261)</f>
        <v>58.02</v>
      </c>
      <c r="E810" s="7">
        <f t="shared" si="61"/>
        <v>-0.26335746294381246</v>
      </c>
      <c r="G810" s="6">
        <v>7288.35</v>
      </c>
      <c r="H810" s="7">
        <f t="shared" si="62"/>
        <v>-1.1786671150112227E-2</v>
      </c>
      <c r="I810" s="6">
        <f>MAX($G810:$G$1261)</f>
        <v>8109.69</v>
      </c>
      <c r="J810" s="7">
        <f t="shared" si="63"/>
        <v>-0.10127884049821867</v>
      </c>
      <c r="K810" s="6">
        <f t="shared" si="64"/>
        <v>121.80095657957618</v>
      </c>
    </row>
    <row r="811" spans="1:11" x14ac:dyDescent="0.25">
      <c r="A811" s="2">
        <f>DATE(2019,2,6)</f>
        <v>43502</v>
      </c>
      <c r="B811" s="6">
        <v>43.56</v>
      </c>
      <c r="C811" s="7">
        <f t="shared" si="60"/>
        <v>4.5934772622890918E-4</v>
      </c>
      <c r="D811" s="6">
        <f>MAX($B811:$B$1261)</f>
        <v>58.02</v>
      </c>
      <c r="E811" s="7">
        <f t="shared" si="61"/>
        <v>-0.24922440537745605</v>
      </c>
      <c r="G811" s="6">
        <v>7375.28</v>
      </c>
      <c r="H811" s="7">
        <f t="shared" si="62"/>
        <v>-3.6206039383525068E-3</v>
      </c>
      <c r="I811" s="6">
        <f>MAX($G811:$G$1261)</f>
        <v>8109.69</v>
      </c>
      <c r="J811" s="7">
        <f t="shared" si="63"/>
        <v>-9.055956516217023E-2</v>
      </c>
      <c r="K811" s="6">
        <f t="shared" si="64"/>
        <v>123.25370749788588</v>
      </c>
    </row>
    <row r="812" spans="1:11" x14ac:dyDescent="0.25">
      <c r="A812" s="2">
        <f>DATE(2019,2,5)</f>
        <v>43501</v>
      </c>
      <c r="B812" s="6">
        <v>43.54</v>
      </c>
      <c r="C812" s="7">
        <f t="shared" si="60"/>
        <v>1.7052090633029593E-2</v>
      </c>
      <c r="D812" s="6">
        <f>MAX($B812:$B$1261)</f>
        <v>58.02</v>
      </c>
      <c r="E812" s="7">
        <f t="shared" si="61"/>
        <v>-0.24956911409858673</v>
      </c>
      <c r="G812" s="6">
        <v>7402.08</v>
      </c>
      <c r="H812" s="7">
        <f t="shared" si="62"/>
        <v>7.4228925599588713E-3</v>
      </c>
      <c r="I812" s="6">
        <f>MAX($G812:$G$1261)</f>
        <v>8109.69</v>
      </c>
      <c r="J812" s="7">
        <f t="shared" si="63"/>
        <v>-8.7254876573580442E-2</v>
      </c>
      <c r="K812" s="6">
        <f t="shared" si="64"/>
        <v>123.70158193261153</v>
      </c>
    </row>
    <row r="813" spans="1:11" x14ac:dyDescent="0.25">
      <c r="A813" s="2">
        <f>DATE(2019,2,4)</f>
        <v>43500</v>
      </c>
      <c r="B813" s="6">
        <v>42.81</v>
      </c>
      <c r="C813" s="7">
        <f t="shared" si="60"/>
        <v>2.8344943550324242E-2</v>
      </c>
      <c r="D813" s="6">
        <f>MAX($B813:$B$1261)</f>
        <v>58.02</v>
      </c>
      <c r="E813" s="7">
        <f t="shared" si="61"/>
        <v>-0.26215098241985524</v>
      </c>
      <c r="G813" s="6">
        <v>7347.54</v>
      </c>
      <c r="H813" s="7">
        <f t="shared" si="62"/>
        <v>1.1518653279863234E-2</v>
      </c>
      <c r="I813" s="6">
        <f>MAX($G813:$G$1261)</f>
        <v>8109.69</v>
      </c>
      <c r="J813" s="7">
        <f t="shared" si="63"/>
        <v>-9.3980164469911864E-2</v>
      </c>
      <c r="K813" s="6">
        <f t="shared" si="64"/>
        <v>122.79012403447956</v>
      </c>
    </row>
    <row r="814" spans="1:11" x14ac:dyDescent="0.25">
      <c r="A814" s="2">
        <f>DATE(2019,2,1)</f>
        <v>43497</v>
      </c>
      <c r="B814" s="6">
        <v>41.63</v>
      </c>
      <c r="C814" s="7">
        <f t="shared" si="60"/>
        <v>4.806536890171742E-4</v>
      </c>
      <c r="D814" s="6">
        <f>MAX($B814:$B$1261)</f>
        <v>58.02</v>
      </c>
      <c r="E814" s="7">
        <f t="shared" si="61"/>
        <v>-0.28248879696656326</v>
      </c>
      <c r="G814" s="6">
        <v>7263.87</v>
      </c>
      <c r="H814" s="7">
        <f t="shared" si="62"/>
        <v>-2.4540837766797718E-3</v>
      </c>
      <c r="I814" s="6">
        <f>MAX($G814:$G$1261)</f>
        <v>8109.69</v>
      </c>
      <c r="J814" s="7">
        <f t="shared" si="63"/>
        <v>-0.10429745156719916</v>
      </c>
      <c r="K814" s="6">
        <f t="shared" si="64"/>
        <v>121.39185336457305</v>
      </c>
    </row>
    <row r="815" spans="1:11" x14ac:dyDescent="0.25">
      <c r="A815" s="2">
        <f>DATE(2019,1,31)</f>
        <v>43496</v>
      </c>
      <c r="B815" s="6">
        <v>41.61</v>
      </c>
      <c r="C815" s="7">
        <f t="shared" si="60"/>
        <v>7.2621641249090985E-3</v>
      </c>
      <c r="D815" s="6">
        <f>MAX($B815:$B$1261)</f>
        <v>58.02</v>
      </c>
      <c r="E815" s="7">
        <f t="shared" si="61"/>
        <v>-0.28283350568769394</v>
      </c>
      <c r="G815" s="6">
        <v>7281.74</v>
      </c>
      <c r="H815" s="7">
        <f t="shared" si="62"/>
        <v>1.3735055157397591E-2</v>
      </c>
      <c r="I815" s="6">
        <f>MAX($G815:$G$1261)</f>
        <v>8109.69</v>
      </c>
      <c r="J815" s="7">
        <f t="shared" si="63"/>
        <v>-0.10209391481055374</v>
      </c>
      <c r="K815" s="6">
        <f t="shared" si="64"/>
        <v>121.69049202683227</v>
      </c>
    </row>
    <row r="816" spans="1:11" x14ac:dyDescent="0.25">
      <c r="A816" s="2">
        <f>DATE(2019,1,30)</f>
        <v>43495</v>
      </c>
      <c r="B816" s="6">
        <v>41.31</v>
      </c>
      <c r="C816" s="7">
        <f t="shared" si="60"/>
        <v>6.8269976726144321E-2</v>
      </c>
      <c r="D816" s="6">
        <f>MAX($B816:$B$1261)</f>
        <v>58.02</v>
      </c>
      <c r="E816" s="7">
        <f t="shared" si="61"/>
        <v>-0.28800413650465362</v>
      </c>
      <c r="G816" s="6">
        <v>7183.08</v>
      </c>
      <c r="H816" s="7">
        <f t="shared" si="62"/>
        <v>2.2023849328926426E-2</v>
      </c>
      <c r="I816" s="6">
        <f>MAX($G816:$G$1261)</f>
        <v>8109.69</v>
      </c>
      <c r="J816" s="7">
        <f t="shared" si="63"/>
        <v>-0.11425960795048884</v>
      </c>
      <c r="K816" s="6">
        <f t="shared" si="64"/>
        <v>120.04171248466692</v>
      </c>
    </row>
    <row r="817" spans="1:11" x14ac:dyDescent="0.25">
      <c r="A817" s="2">
        <f>DATE(2019,1,29)</f>
        <v>43494</v>
      </c>
      <c r="B817" s="6">
        <v>38.67</v>
      </c>
      <c r="C817" s="7">
        <f t="shared" si="60"/>
        <v>-1.0491299897645745E-2</v>
      </c>
      <c r="D817" s="6">
        <f>MAX($B817:$B$1261)</f>
        <v>58.02</v>
      </c>
      <c r="E817" s="7">
        <f t="shared" si="61"/>
        <v>-0.33350568769389866</v>
      </c>
      <c r="G817" s="6">
        <v>7028.29</v>
      </c>
      <c r="H817" s="7">
        <f t="shared" si="62"/>
        <v>-8.0994343521016976E-3</v>
      </c>
      <c r="I817" s="6">
        <f>MAX($G817:$G$1261)</f>
        <v>8109.69</v>
      </c>
      <c r="J817" s="7">
        <f t="shared" si="63"/>
        <v>-0.13334665073510821</v>
      </c>
      <c r="K817" s="6">
        <f t="shared" si="64"/>
        <v>117.45490338947354</v>
      </c>
    </row>
    <row r="818" spans="1:11" x14ac:dyDescent="0.25">
      <c r="A818" s="2">
        <f>DATE(2019,1,28)</f>
        <v>43493</v>
      </c>
      <c r="B818" s="6">
        <v>39.08</v>
      </c>
      <c r="C818" s="7">
        <f t="shared" si="60"/>
        <v>-9.1277890466531231E-3</v>
      </c>
      <c r="D818" s="6">
        <f>MAX($B818:$B$1261)</f>
        <v>58.02</v>
      </c>
      <c r="E818" s="7">
        <f t="shared" si="61"/>
        <v>-0.32643915891072051</v>
      </c>
      <c r="G818" s="6">
        <v>7085.68</v>
      </c>
      <c r="H818" s="7">
        <f t="shared" si="62"/>
        <v>-1.1051158012857054E-2</v>
      </c>
      <c r="I818" s="6">
        <f>MAX($G818:$G$1261)</f>
        <v>8109.69</v>
      </c>
      <c r="J818" s="7">
        <f t="shared" si="63"/>
        <v>-0.12626993140304987</v>
      </c>
      <c r="K818" s="6">
        <f t="shared" si="64"/>
        <v>118.41398972562671</v>
      </c>
    </row>
    <row r="819" spans="1:11" x14ac:dyDescent="0.25">
      <c r="A819" s="2">
        <f>DATE(2019,1,25)</f>
        <v>43490</v>
      </c>
      <c r="B819" s="6">
        <v>39.44</v>
      </c>
      <c r="C819" s="7">
        <f t="shared" si="60"/>
        <v>3.3272203301021541E-2</v>
      </c>
      <c r="D819" s="6">
        <f>MAX($B819:$B$1261)</f>
        <v>58.02</v>
      </c>
      <c r="E819" s="7">
        <f t="shared" si="61"/>
        <v>-0.32023440193036889</v>
      </c>
      <c r="G819" s="6">
        <v>7164.86</v>
      </c>
      <c r="H819" s="7">
        <f t="shared" si="62"/>
        <v>1.2921540519067021E-2</v>
      </c>
      <c r="I819" s="6">
        <f>MAX($G819:$G$1261)</f>
        <v>8109.69</v>
      </c>
      <c r="J819" s="7">
        <f t="shared" si="63"/>
        <v>-0.11650630295362707</v>
      </c>
      <c r="K819" s="6">
        <f t="shared" si="64"/>
        <v>119.73722471598401</v>
      </c>
    </row>
    <row r="820" spans="1:11" x14ac:dyDescent="0.25">
      <c r="A820" s="2">
        <f>DATE(2019,1,24)</f>
        <v>43489</v>
      </c>
      <c r="B820" s="6">
        <v>38.17</v>
      </c>
      <c r="C820" s="7">
        <f t="shared" si="60"/>
        <v>-8.0561330561329525E-3</v>
      </c>
      <c r="D820" s="6">
        <f>MAX($B820:$B$1261)</f>
        <v>58.02</v>
      </c>
      <c r="E820" s="7">
        <f t="shared" si="61"/>
        <v>-0.34212340572216482</v>
      </c>
      <c r="G820" s="6">
        <v>7073.46</v>
      </c>
      <c r="H820" s="7">
        <f t="shared" si="62"/>
        <v>6.7878680913264766E-3</v>
      </c>
      <c r="I820" s="6">
        <f>MAX($G820:$G$1261)</f>
        <v>8109.69</v>
      </c>
      <c r="J820" s="7">
        <f t="shared" si="63"/>
        <v>-0.1277767707520262</v>
      </c>
      <c r="K820" s="6">
        <f t="shared" si="64"/>
        <v>118.2097723527779</v>
      </c>
    </row>
    <row r="821" spans="1:11" x14ac:dyDescent="0.25">
      <c r="A821" s="2">
        <f>DATE(2019,1,23)</f>
        <v>43488</v>
      </c>
      <c r="B821" s="6">
        <v>38.479999999999997</v>
      </c>
      <c r="C821" s="7">
        <f t="shared" si="60"/>
        <v>3.9133837725018328E-3</v>
      </c>
      <c r="D821" s="6">
        <f>MAX($B821:$B$1261)</f>
        <v>58.02</v>
      </c>
      <c r="E821" s="7">
        <f t="shared" si="61"/>
        <v>-0.33678042054463986</v>
      </c>
      <c r="G821" s="6">
        <v>7025.77</v>
      </c>
      <c r="H821" s="7">
        <f t="shared" si="62"/>
        <v>7.7061575189896203E-4</v>
      </c>
      <c r="I821" s="6">
        <f>MAX($G821:$G$1261)</f>
        <v>8109.69</v>
      </c>
      <c r="J821" s="7">
        <f t="shared" si="63"/>
        <v>-0.13365739010985611</v>
      </c>
      <c r="K821" s="6">
        <f t="shared" si="64"/>
        <v>117.41278982322322</v>
      </c>
    </row>
    <row r="822" spans="1:11" x14ac:dyDescent="0.25">
      <c r="A822" s="2">
        <f>DATE(2019,1,22)</f>
        <v>43487</v>
      </c>
      <c r="B822" s="6">
        <v>38.33</v>
      </c>
      <c r="C822" s="7">
        <f t="shared" si="60"/>
        <v>-2.2443254271869439E-2</v>
      </c>
      <c r="D822" s="6">
        <f>MAX($B822:$B$1261)</f>
        <v>58.02</v>
      </c>
      <c r="E822" s="7">
        <f t="shared" si="61"/>
        <v>-0.3393657359531197</v>
      </c>
      <c r="G822" s="6">
        <v>7020.36</v>
      </c>
      <c r="H822" s="7">
        <f t="shared" si="62"/>
        <v>-1.912332005538453E-2</v>
      </c>
      <c r="I822" s="6">
        <f>MAX($G822:$G$1261)</f>
        <v>8109.69</v>
      </c>
      <c r="J822" s="7">
        <f t="shared" si="63"/>
        <v>-0.13432449329135887</v>
      </c>
      <c r="K822" s="6">
        <f t="shared" si="64"/>
        <v>117.32237934964611</v>
      </c>
    </row>
    <row r="823" spans="1:11" x14ac:dyDescent="0.25">
      <c r="A823" s="2">
        <f>DATE(2019,1,18)</f>
        <v>43483</v>
      </c>
      <c r="B823" s="6">
        <v>39.21</v>
      </c>
      <c r="C823" s="7">
        <f t="shared" si="60"/>
        <v>6.1585835257891297E-3</v>
      </c>
      <c r="D823" s="6">
        <f>MAX($B823:$B$1261)</f>
        <v>58.02</v>
      </c>
      <c r="E823" s="7">
        <f t="shared" si="61"/>
        <v>-0.32419855222337124</v>
      </c>
      <c r="G823" s="6">
        <v>7157.23</v>
      </c>
      <c r="H823" s="7">
        <f t="shared" si="62"/>
        <v>1.0271777947789884E-2</v>
      </c>
      <c r="I823" s="6">
        <f>MAX($G823:$G$1261)</f>
        <v>8109.69</v>
      </c>
      <c r="J823" s="7">
        <f t="shared" si="63"/>
        <v>-0.11744715272716966</v>
      </c>
      <c r="K823" s="6">
        <f t="shared" si="64"/>
        <v>119.6097141959483</v>
      </c>
    </row>
    <row r="824" spans="1:11" x14ac:dyDescent="0.25">
      <c r="A824" s="2">
        <f>DATE(2019,1,17)</f>
        <v>43482</v>
      </c>
      <c r="B824" s="6">
        <v>38.97</v>
      </c>
      <c r="C824" s="7">
        <f t="shared" si="60"/>
        <v>5.9370160041301023E-3</v>
      </c>
      <c r="D824" s="6">
        <f>MAX($B824:$B$1261)</f>
        <v>58.02</v>
      </c>
      <c r="E824" s="7">
        <f t="shared" si="61"/>
        <v>-0.32833505687693909</v>
      </c>
      <c r="G824" s="6">
        <v>7084.46</v>
      </c>
      <c r="H824" s="7">
        <f t="shared" si="62"/>
        <v>7.0749386255826163E-3</v>
      </c>
      <c r="I824" s="6">
        <f>MAX($G824:$G$1261)</f>
        <v>8109.69</v>
      </c>
      <c r="J824" s="7">
        <f t="shared" si="63"/>
        <v>-0.1264203687193961</v>
      </c>
      <c r="K824" s="6">
        <f t="shared" si="64"/>
        <v>118.39360141180707</v>
      </c>
    </row>
    <row r="825" spans="1:11" x14ac:dyDescent="0.25">
      <c r="A825" s="2">
        <f>DATE(2019,1,16)</f>
        <v>43481</v>
      </c>
      <c r="B825" s="6">
        <v>38.74</v>
      </c>
      <c r="C825" s="7">
        <f t="shared" si="60"/>
        <v>1.228116017768488E-2</v>
      </c>
      <c r="D825" s="6">
        <f>MAX($B825:$B$1261)</f>
        <v>58.02</v>
      </c>
      <c r="E825" s="7">
        <f t="shared" si="61"/>
        <v>-0.33229920716994144</v>
      </c>
      <c r="G825" s="6">
        <v>7034.69</v>
      </c>
      <c r="H825" s="7">
        <f t="shared" si="62"/>
        <v>1.5461649840613489E-3</v>
      </c>
      <c r="I825" s="6">
        <f>MAX($G825:$G$1261)</f>
        <v>8109.69</v>
      </c>
      <c r="J825" s="7">
        <f t="shared" si="63"/>
        <v>-0.13255747137066898</v>
      </c>
      <c r="K825" s="6">
        <f t="shared" si="64"/>
        <v>117.56185847836322</v>
      </c>
    </row>
    <row r="826" spans="1:11" x14ac:dyDescent="0.25">
      <c r="A826" s="2">
        <f>DATE(2019,1,15)</f>
        <v>43480</v>
      </c>
      <c r="B826" s="6">
        <v>38.270000000000003</v>
      </c>
      <c r="C826" s="7">
        <f t="shared" si="60"/>
        <v>2.0533333333333514E-2</v>
      </c>
      <c r="D826" s="6">
        <f>MAX($B826:$B$1261)</f>
        <v>58.02</v>
      </c>
      <c r="E826" s="7">
        <f t="shared" si="61"/>
        <v>-0.34039986211651152</v>
      </c>
      <c r="G826" s="6">
        <v>7023.83</v>
      </c>
      <c r="H826" s="7">
        <f t="shared" si="62"/>
        <v>1.7073757008479573E-2</v>
      </c>
      <c r="I826" s="6">
        <f>MAX($G826:$G$1261)</f>
        <v>8109.69</v>
      </c>
      <c r="J826" s="7">
        <f t="shared" si="63"/>
        <v>-0.13389661010470189</v>
      </c>
      <c r="K826" s="6">
        <f t="shared" si="64"/>
        <v>117.38036906190351</v>
      </c>
    </row>
    <row r="827" spans="1:11" x14ac:dyDescent="0.25">
      <c r="A827" s="2">
        <f>DATE(2019,1,14)</f>
        <v>43479</v>
      </c>
      <c r="B827" s="6">
        <v>37.5</v>
      </c>
      <c r="C827" s="7">
        <f t="shared" si="60"/>
        <v>-1.4972419227738398E-2</v>
      </c>
      <c r="D827" s="6">
        <f>MAX($B827:$B$1261)</f>
        <v>58.02</v>
      </c>
      <c r="E827" s="7">
        <f t="shared" si="61"/>
        <v>-0.35367114788004139</v>
      </c>
      <c r="G827" s="6">
        <v>6905.92</v>
      </c>
      <c r="H827" s="7">
        <f t="shared" si="62"/>
        <v>-9.4040289866713644E-3</v>
      </c>
      <c r="I827" s="6">
        <f>MAX($G827:$G$1261)</f>
        <v>8109.69</v>
      </c>
      <c r="J827" s="7">
        <f t="shared" si="63"/>
        <v>-0.14843600680173963</v>
      </c>
      <c r="K827" s="6">
        <f t="shared" si="64"/>
        <v>115.40988866643708</v>
      </c>
    </row>
    <row r="828" spans="1:11" x14ac:dyDescent="0.25">
      <c r="A828" s="2">
        <f>DATE(2019,1,11)</f>
        <v>43476</v>
      </c>
      <c r="B828" s="6">
        <v>38.07</v>
      </c>
      <c r="C828" s="7">
        <f t="shared" si="60"/>
        <v>-9.8829648894669386E-3</v>
      </c>
      <c r="D828" s="6">
        <f>MAX($B828:$B$1261)</f>
        <v>58.02</v>
      </c>
      <c r="E828" s="7">
        <f t="shared" si="61"/>
        <v>-0.34384694932781801</v>
      </c>
      <c r="G828" s="6">
        <v>6971.48</v>
      </c>
      <c r="H828" s="7">
        <f t="shared" si="62"/>
        <v>-2.0884417132951416E-3</v>
      </c>
      <c r="I828" s="6">
        <f>MAX($G828:$G$1261)</f>
        <v>8109.69</v>
      </c>
      <c r="J828" s="7">
        <f t="shared" si="63"/>
        <v>-0.1403518506872643</v>
      </c>
      <c r="K828" s="6">
        <f t="shared" si="64"/>
        <v>116.505509858251</v>
      </c>
    </row>
    <row r="829" spans="1:11" x14ac:dyDescent="0.25">
      <c r="A829" s="2">
        <f>DATE(2019,1,10)</f>
        <v>43475</v>
      </c>
      <c r="B829" s="6">
        <v>38.450000000000003</v>
      </c>
      <c r="C829" s="7">
        <f t="shared" si="60"/>
        <v>3.1307070180017771E-3</v>
      </c>
      <c r="D829" s="6">
        <f>MAX($B829:$B$1261)</f>
        <v>58.02</v>
      </c>
      <c r="E829" s="7">
        <f t="shared" si="61"/>
        <v>-0.33729748362633571</v>
      </c>
      <c r="G829" s="6">
        <v>6986.07</v>
      </c>
      <c r="H829" s="7">
        <f t="shared" si="62"/>
        <v>4.1669781000075456E-3</v>
      </c>
      <c r="I829" s="6">
        <f>MAX($G829:$G$1261)</f>
        <v>8109.69</v>
      </c>
      <c r="J829" s="7">
        <f t="shared" si="63"/>
        <v>-0.13855276835489394</v>
      </c>
      <c r="K829" s="6">
        <f t="shared" si="64"/>
        <v>116.74933403745425</v>
      </c>
    </row>
    <row r="830" spans="1:11" x14ac:dyDescent="0.25">
      <c r="A830" s="2">
        <f>DATE(2019,1,9)</f>
        <v>43474</v>
      </c>
      <c r="B830" s="6">
        <v>38.33</v>
      </c>
      <c r="C830" s="7">
        <f t="shared" si="60"/>
        <v>1.6980631467232721E-2</v>
      </c>
      <c r="D830" s="6">
        <f>MAX($B830:$B$1261)</f>
        <v>58.02</v>
      </c>
      <c r="E830" s="7">
        <f t="shared" si="61"/>
        <v>-0.3393657359531197</v>
      </c>
      <c r="G830" s="6">
        <v>6957.08</v>
      </c>
      <c r="H830" s="7">
        <f t="shared" si="62"/>
        <v>8.711033782804023E-3</v>
      </c>
      <c r="I830" s="6">
        <f>MAX($G830:$G$1261)</f>
        <v>8109.69</v>
      </c>
      <c r="J830" s="7">
        <f t="shared" si="63"/>
        <v>-0.14212750425725273</v>
      </c>
      <c r="K830" s="6">
        <f t="shared" si="64"/>
        <v>116.26486090824915</v>
      </c>
    </row>
    <row r="831" spans="1:11" x14ac:dyDescent="0.25">
      <c r="A831" s="2">
        <f>DATE(2019,1,8)</f>
        <v>43473</v>
      </c>
      <c r="B831" s="6">
        <v>37.69</v>
      </c>
      <c r="C831" s="7">
        <f t="shared" si="60"/>
        <v>1.919956733369399E-2</v>
      </c>
      <c r="D831" s="6">
        <f>MAX($B831:$B$1261)</f>
        <v>58.02</v>
      </c>
      <c r="E831" s="7">
        <f t="shared" si="61"/>
        <v>-0.3503964150293003</v>
      </c>
      <c r="G831" s="6">
        <v>6897</v>
      </c>
      <c r="H831" s="7">
        <f t="shared" si="62"/>
        <v>1.0776042101745764E-2</v>
      </c>
      <c r="I831" s="6">
        <f>MAX($G831:$G$1261)</f>
        <v>8109.69</v>
      </c>
      <c r="J831" s="7">
        <f t="shared" si="63"/>
        <v>-0.14953592554092687</v>
      </c>
      <c r="K831" s="6">
        <f t="shared" si="64"/>
        <v>115.26082001129704</v>
      </c>
    </row>
    <row r="832" spans="1:11" x14ac:dyDescent="0.25">
      <c r="A832" s="2">
        <f>DATE(2019,1,7)</f>
        <v>43472</v>
      </c>
      <c r="B832" s="6">
        <v>36.979999999999997</v>
      </c>
      <c r="C832" s="7">
        <f t="shared" si="60"/>
        <v>-2.1586616297897265E-3</v>
      </c>
      <c r="D832" s="6">
        <f>MAX($B832:$B$1261)</f>
        <v>58.02</v>
      </c>
      <c r="E832" s="7">
        <f t="shared" si="61"/>
        <v>-0.36263357462943824</v>
      </c>
      <c r="G832" s="6">
        <v>6823.47</v>
      </c>
      <c r="H832" s="7">
        <f t="shared" si="62"/>
        <v>1.2555536099577713E-2</v>
      </c>
      <c r="I832" s="6">
        <f>MAX($G832:$G$1261)</f>
        <v>8109.69</v>
      </c>
      <c r="J832" s="7">
        <f t="shared" si="63"/>
        <v>-0.1586028565826807</v>
      </c>
      <c r="K832" s="6">
        <f t="shared" si="64"/>
        <v>114.03200631035017</v>
      </c>
    </row>
    <row r="833" spans="1:11" x14ac:dyDescent="0.25">
      <c r="A833" s="2">
        <f>DATE(2019,1,4)</f>
        <v>43469</v>
      </c>
      <c r="B833" s="6">
        <v>37.06</v>
      </c>
      <c r="C833" s="7">
        <f t="shared" si="60"/>
        <v>4.2475386779184499E-2</v>
      </c>
      <c r="D833" s="6">
        <f>MAX($B833:$B$1261)</f>
        <v>58.02</v>
      </c>
      <c r="E833" s="7">
        <f t="shared" si="61"/>
        <v>-0.36125473974491551</v>
      </c>
      <c r="G833" s="6">
        <v>6738.86</v>
      </c>
      <c r="H833" s="7">
        <f t="shared" si="62"/>
        <v>4.2602305252572137E-2</v>
      </c>
      <c r="I833" s="6">
        <f>MAX($G833:$G$1261)</f>
        <v>8109.69</v>
      </c>
      <c r="J833" s="7">
        <f t="shared" si="63"/>
        <v>-0.16903605439912006</v>
      </c>
      <c r="K833" s="6">
        <f t="shared" si="64"/>
        <v>112.61802661176297</v>
      </c>
    </row>
    <row r="834" spans="1:11" x14ac:dyDescent="0.25">
      <c r="A834" s="2">
        <f>DATE(2019,1,3)</f>
        <v>43468</v>
      </c>
      <c r="B834" s="6">
        <v>35.549999999999997</v>
      </c>
      <c r="C834" s="7">
        <f t="shared" ref="C834:C897" si="65">IFERROR(B834/B835-1,0)</f>
        <v>-9.9544072948328233E-2</v>
      </c>
      <c r="D834" s="6">
        <f>MAX($B834:$B$1261)</f>
        <v>58.02</v>
      </c>
      <c r="E834" s="7">
        <f t="shared" ref="E834:E897" si="66">$B834/$D834-1</f>
        <v>-0.38728024819027929</v>
      </c>
      <c r="G834" s="6">
        <v>6463.5</v>
      </c>
      <c r="H834" s="7">
        <f t="shared" ref="H834:H897" si="67">IFERROR(G834/G835-1,0)</f>
        <v>-3.0369310254817705E-2</v>
      </c>
      <c r="I834" s="6">
        <f>MAX($G834:$G$1261)</f>
        <v>8109.69</v>
      </c>
      <c r="J834" s="7">
        <f t="shared" ref="J834:J897" si="68">$G834/$I834-1</f>
        <v>-0.20299049655412227</v>
      </c>
      <c r="K834" s="6">
        <f t="shared" ref="K834:K897" si="69">$K835*(1+H834)</f>
        <v>108.01628391228338</v>
      </c>
    </row>
    <row r="835" spans="1:11" x14ac:dyDescent="0.25">
      <c r="A835" s="2">
        <f>DATE(2019,1,2)</f>
        <v>43467</v>
      </c>
      <c r="B835" s="6">
        <v>39.479999999999997</v>
      </c>
      <c r="C835" s="7">
        <f t="shared" si="65"/>
        <v>1.0141987829614951E-3</v>
      </c>
      <c r="D835" s="6">
        <f>MAX($B835:$B$1261)</f>
        <v>58.02</v>
      </c>
      <c r="E835" s="7">
        <f t="shared" si="66"/>
        <v>-0.31954498448810764</v>
      </c>
      <c r="G835" s="6">
        <v>6665.94</v>
      </c>
      <c r="H835" s="7">
        <f t="shared" si="67"/>
        <v>4.6207545122436411E-3</v>
      </c>
      <c r="I835" s="6">
        <f>MAX($G835:$G$1261)</f>
        <v>8109.69</v>
      </c>
      <c r="J835" s="7">
        <f t="shared" si="68"/>
        <v>-0.17802776678270071</v>
      </c>
      <c r="K835" s="6">
        <f t="shared" si="69"/>
        <v>111.39940706772589</v>
      </c>
    </row>
    <row r="836" spans="1:11" x14ac:dyDescent="0.25">
      <c r="A836" s="2">
        <f>DATE(2018,12,31)</f>
        <v>43465</v>
      </c>
      <c r="B836" s="6">
        <v>39.44</v>
      </c>
      <c r="C836" s="7">
        <f t="shared" si="65"/>
        <v>9.7286226318482605E-3</v>
      </c>
      <c r="D836" s="6">
        <f>MAX($B836:$B$1261)</f>
        <v>58.02</v>
      </c>
      <c r="E836" s="7">
        <f t="shared" si="66"/>
        <v>-0.32023440193036889</v>
      </c>
      <c r="G836" s="6">
        <v>6635.28</v>
      </c>
      <c r="H836" s="7">
        <f t="shared" si="67"/>
        <v>7.708990176960473E-3</v>
      </c>
      <c r="I836" s="6">
        <f>MAX($G836:$G$1261)</f>
        <v>8109.69</v>
      </c>
      <c r="J836" s="7">
        <f t="shared" si="68"/>
        <v>-0.18180842917546791</v>
      </c>
      <c r="K836" s="6">
        <f t="shared" si="69"/>
        <v>110.88702534501364</v>
      </c>
    </row>
    <row r="837" spans="1:11" x14ac:dyDescent="0.25">
      <c r="A837" s="2">
        <f>DATE(2018,12,28)</f>
        <v>43462</v>
      </c>
      <c r="B837" s="6">
        <v>39.06</v>
      </c>
      <c r="C837" s="7">
        <f t="shared" si="65"/>
        <v>5.1229508196737328E-4</v>
      </c>
      <c r="D837" s="6">
        <f>MAX($B837:$B$1261)</f>
        <v>58.02</v>
      </c>
      <c r="E837" s="7">
        <f t="shared" si="66"/>
        <v>-0.32678386763185108</v>
      </c>
      <c r="G837" s="6">
        <v>6584.52</v>
      </c>
      <c r="H837" s="7">
        <f t="shared" si="67"/>
        <v>7.6449694429214787E-4</v>
      </c>
      <c r="I837" s="6">
        <f>MAX($G837:$G$1261)</f>
        <v>8109.69</v>
      </c>
      <c r="J837" s="7">
        <f t="shared" si="68"/>
        <v>-0.18806760800967726</v>
      </c>
      <c r="K837" s="6">
        <f t="shared" si="69"/>
        <v>110.03873779625717</v>
      </c>
    </row>
    <row r="838" spans="1:11" x14ac:dyDescent="0.25">
      <c r="A838" s="2">
        <f>DATE(2018,12,27)</f>
        <v>43461</v>
      </c>
      <c r="B838" s="6">
        <v>39.04</v>
      </c>
      <c r="C838" s="7">
        <f t="shared" si="65"/>
        <v>-6.3629422244846356E-3</v>
      </c>
      <c r="D838" s="6">
        <f>MAX($B838:$B$1261)</f>
        <v>58.02</v>
      </c>
      <c r="E838" s="7">
        <f t="shared" si="66"/>
        <v>-0.32712857635298176</v>
      </c>
      <c r="G838" s="6">
        <v>6579.49</v>
      </c>
      <c r="H838" s="7">
        <f t="shared" si="67"/>
        <v>3.834089064378432E-3</v>
      </c>
      <c r="I838" s="6">
        <f>MAX($G838:$G$1261)</f>
        <v>8109.69</v>
      </c>
      <c r="J838" s="7">
        <f t="shared" si="68"/>
        <v>-0.18868785366641638</v>
      </c>
      <c r="K838" s="6">
        <f t="shared" si="69"/>
        <v>109.95467778108291</v>
      </c>
    </row>
    <row r="839" spans="1:11" x14ac:dyDescent="0.25">
      <c r="A839" s="2">
        <f>DATE(2018,12,26)</f>
        <v>43460</v>
      </c>
      <c r="B839" s="6">
        <v>39.29</v>
      </c>
      <c r="C839" s="7">
        <f t="shared" si="65"/>
        <v>7.028057749931893E-2</v>
      </c>
      <c r="D839" s="6">
        <f>MAX($B839:$B$1261)</f>
        <v>58.02</v>
      </c>
      <c r="E839" s="7">
        <f t="shared" si="66"/>
        <v>-0.32281971733884873</v>
      </c>
      <c r="G839" s="6">
        <v>6554.36</v>
      </c>
      <c r="H839" s="7">
        <f t="shared" si="67"/>
        <v>5.8363421455468467E-2</v>
      </c>
      <c r="I839" s="6">
        <f>MAX($G839:$G$1261)</f>
        <v>8109.69</v>
      </c>
      <c r="J839" s="7">
        <f t="shared" si="68"/>
        <v>-0.19178661576459766</v>
      </c>
      <c r="K839" s="6">
        <f t="shared" si="69"/>
        <v>109.53471193986444</v>
      </c>
    </row>
    <row r="840" spans="1:11" x14ac:dyDescent="0.25">
      <c r="A840" s="2">
        <f>DATE(2018,12,24)</f>
        <v>43458</v>
      </c>
      <c r="B840" s="6">
        <v>36.71</v>
      </c>
      <c r="C840" s="7">
        <f t="shared" si="65"/>
        <v>-2.5743099787685741E-2</v>
      </c>
      <c r="D840" s="6">
        <f>MAX($B840:$B$1261)</f>
        <v>58.02</v>
      </c>
      <c r="E840" s="7">
        <f t="shared" si="66"/>
        <v>-0.36728714236470184</v>
      </c>
      <c r="G840" s="6">
        <v>6192.92</v>
      </c>
      <c r="H840" s="7">
        <f t="shared" si="67"/>
        <v>-2.2117514791591297E-2</v>
      </c>
      <c r="I840" s="6">
        <f>MAX($G840:$G$1261)</f>
        <v>8109.69</v>
      </c>
      <c r="J840" s="7">
        <f t="shared" si="68"/>
        <v>-0.2363555203713088</v>
      </c>
      <c r="K840" s="6">
        <f t="shared" si="69"/>
        <v>103.4944232948183</v>
      </c>
    </row>
    <row r="841" spans="1:11" x14ac:dyDescent="0.25">
      <c r="A841" s="2">
        <f>DATE(2018,12,21)</f>
        <v>43455</v>
      </c>
      <c r="B841" s="6">
        <v>37.68</v>
      </c>
      <c r="C841" s="7">
        <f t="shared" si="65"/>
        <v>-3.9020657995409325E-2</v>
      </c>
      <c r="D841" s="6">
        <f>MAX($B841:$B$1261)</f>
        <v>58.02</v>
      </c>
      <c r="E841" s="7">
        <f t="shared" si="66"/>
        <v>-0.35056876938986559</v>
      </c>
      <c r="G841" s="6">
        <v>6332.99</v>
      </c>
      <c r="H841" s="7">
        <f t="shared" si="67"/>
        <v>-2.9933781732458642E-2</v>
      </c>
      <c r="I841" s="6">
        <f>MAX($G841:$G$1261)</f>
        <v>8109.69</v>
      </c>
      <c r="J841" s="7">
        <f t="shared" si="68"/>
        <v>-0.21908359012489997</v>
      </c>
      <c r="K841" s="6">
        <f t="shared" si="69"/>
        <v>105.83523568556535</v>
      </c>
    </row>
    <row r="842" spans="1:11" x14ac:dyDescent="0.25">
      <c r="A842" s="2">
        <f>DATE(2018,12,20)</f>
        <v>43454</v>
      </c>
      <c r="B842" s="6">
        <v>39.21</v>
      </c>
      <c r="C842" s="7">
        <f t="shared" si="65"/>
        <v>-2.5111884634510195E-2</v>
      </c>
      <c r="D842" s="6">
        <f>MAX($B842:$B$1261)</f>
        <v>58.02</v>
      </c>
      <c r="E842" s="7">
        <f t="shared" si="66"/>
        <v>-0.32419855222337124</v>
      </c>
      <c r="G842" s="6">
        <v>6528.41</v>
      </c>
      <c r="H842" s="7">
        <f t="shared" si="67"/>
        <v>-1.6336112270466496E-2</v>
      </c>
      <c r="I842" s="6">
        <f>MAX($G842:$G$1261)</f>
        <v>8109.69</v>
      </c>
      <c r="J842" s="7">
        <f t="shared" si="68"/>
        <v>-0.19498649146884772</v>
      </c>
      <c r="K842" s="6">
        <f t="shared" si="69"/>
        <v>109.10104247788198</v>
      </c>
    </row>
    <row r="843" spans="1:11" x14ac:dyDescent="0.25">
      <c r="A843" s="2">
        <f>DATE(2018,12,19)</f>
        <v>43453</v>
      </c>
      <c r="B843" s="6">
        <v>40.22</v>
      </c>
      <c r="C843" s="7">
        <f t="shared" si="65"/>
        <v>-3.1310211946050215E-2</v>
      </c>
      <c r="D843" s="6">
        <f>MAX($B843:$B$1261)</f>
        <v>58.02</v>
      </c>
      <c r="E843" s="7">
        <f t="shared" si="66"/>
        <v>-0.30679076180627374</v>
      </c>
      <c r="G843" s="6">
        <v>6636.83</v>
      </c>
      <c r="H843" s="7">
        <f t="shared" si="67"/>
        <v>-2.1680712155674242E-2</v>
      </c>
      <c r="I843" s="6">
        <f>MAX($G843:$G$1261)</f>
        <v>8109.69</v>
      </c>
      <c r="J843" s="7">
        <f t="shared" si="68"/>
        <v>-0.18161729979814267</v>
      </c>
      <c r="K843" s="6">
        <f t="shared" si="69"/>
        <v>110.91292853060415</v>
      </c>
    </row>
    <row r="844" spans="1:11" x14ac:dyDescent="0.25">
      <c r="A844" s="2">
        <f>DATE(2018,12,18)</f>
        <v>43452</v>
      </c>
      <c r="B844" s="6">
        <v>41.52</v>
      </c>
      <c r="C844" s="7">
        <f t="shared" si="65"/>
        <v>1.2929982922664118E-2</v>
      </c>
      <c r="D844" s="6">
        <f>MAX($B844:$B$1261)</f>
        <v>58.02</v>
      </c>
      <c r="E844" s="7">
        <f t="shared" si="66"/>
        <v>-0.28438469493278173</v>
      </c>
      <c r="G844" s="6">
        <v>6783.91</v>
      </c>
      <c r="H844" s="7">
        <f t="shared" si="67"/>
        <v>4.4686417727686223E-3</v>
      </c>
      <c r="I844" s="6">
        <f>MAX($G844:$G$1261)</f>
        <v>8109.69</v>
      </c>
      <c r="J844" s="7">
        <f t="shared" si="68"/>
        <v>-0.16348097152912133</v>
      </c>
      <c r="K844" s="6">
        <f t="shared" si="69"/>
        <v>113.3708901671507</v>
      </c>
    </row>
    <row r="845" spans="1:11" x14ac:dyDescent="0.25">
      <c r="A845" s="2">
        <f>DATE(2018,12,17)</f>
        <v>43451</v>
      </c>
      <c r="B845" s="6">
        <v>40.99</v>
      </c>
      <c r="C845" s="7">
        <f t="shared" si="65"/>
        <v>-9.1854000483441167E-3</v>
      </c>
      <c r="D845" s="6">
        <f>MAX($B845:$B$1261)</f>
        <v>58.02</v>
      </c>
      <c r="E845" s="7">
        <f t="shared" si="66"/>
        <v>-0.29351947604274387</v>
      </c>
      <c r="G845" s="6">
        <v>6753.73</v>
      </c>
      <c r="H845" s="7">
        <f t="shared" si="67"/>
        <v>-2.2708395435457773E-2</v>
      </c>
      <c r="I845" s="6">
        <f>MAX($G845:$G$1261)</f>
        <v>8109.69</v>
      </c>
      <c r="J845" s="7">
        <f t="shared" si="68"/>
        <v>-0.16720244546955554</v>
      </c>
      <c r="K845" s="6">
        <f t="shared" si="69"/>
        <v>112.86653007610518</v>
      </c>
    </row>
    <row r="846" spans="1:11" x14ac:dyDescent="0.25">
      <c r="A846" s="2">
        <f>DATE(2018,12,14)</f>
        <v>43448</v>
      </c>
      <c r="B846" s="6">
        <v>41.37</v>
      </c>
      <c r="C846" s="7">
        <f t="shared" si="65"/>
        <v>-3.2054281703322474E-2</v>
      </c>
      <c r="D846" s="6">
        <f>MAX($B846:$B$1261)</f>
        <v>58.02</v>
      </c>
      <c r="E846" s="7">
        <f t="shared" si="66"/>
        <v>-0.28697001034126168</v>
      </c>
      <c r="G846" s="6">
        <v>6910.66</v>
      </c>
      <c r="H846" s="7">
        <f t="shared" si="67"/>
        <v>-2.2583104324692016E-2</v>
      </c>
      <c r="I846" s="6">
        <f>MAX($G846:$G$1261)</f>
        <v>8109.69</v>
      </c>
      <c r="J846" s="7">
        <f t="shared" si="68"/>
        <v>-0.14785152083495179</v>
      </c>
      <c r="K846" s="6">
        <f t="shared" si="69"/>
        <v>115.48910227914605</v>
      </c>
    </row>
    <row r="847" spans="1:11" x14ac:dyDescent="0.25">
      <c r="A847" s="2">
        <f>DATE(2018,12,13)</f>
        <v>43447</v>
      </c>
      <c r="B847" s="6">
        <v>42.74</v>
      </c>
      <c r="C847" s="7">
        <f t="shared" si="65"/>
        <v>1.0879848628192912E-2</v>
      </c>
      <c r="D847" s="6">
        <f>MAX($B847:$B$1261)</f>
        <v>58.02</v>
      </c>
      <c r="E847" s="7">
        <f t="shared" si="66"/>
        <v>-0.26335746294381246</v>
      </c>
      <c r="G847" s="6">
        <v>7070.33</v>
      </c>
      <c r="H847" s="7">
        <f t="shared" si="67"/>
        <v>-3.9417833258903467E-3</v>
      </c>
      <c r="I847" s="6">
        <f>MAX($G847:$G$1261)</f>
        <v>8109.69</v>
      </c>
      <c r="J847" s="7">
        <f t="shared" si="68"/>
        <v>-0.12816272878494739</v>
      </c>
      <c r="K847" s="6">
        <f t="shared" si="69"/>
        <v>118.15746462961782</v>
      </c>
    </row>
    <row r="848" spans="1:11" x14ac:dyDescent="0.25">
      <c r="A848" s="2">
        <f>DATE(2018,12,12)</f>
        <v>43446</v>
      </c>
      <c r="B848" s="6">
        <v>42.28</v>
      </c>
      <c r="C848" s="7">
        <f t="shared" si="65"/>
        <v>2.8462998102467552E-3</v>
      </c>
      <c r="D848" s="6">
        <f>MAX($B848:$B$1261)</f>
        <v>58.02</v>
      </c>
      <c r="E848" s="7">
        <f t="shared" si="66"/>
        <v>-0.27128576352981737</v>
      </c>
      <c r="G848" s="6">
        <v>7098.31</v>
      </c>
      <c r="H848" s="7">
        <f t="shared" si="67"/>
        <v>9.4541534707182073E-3</v>
      </c>
      <c r="I848" s="6">
        <f>MAX($G848:$G$1261)</f>
        <v>8109.69</v>
      </c>
      <c r="J848" s="7">
        <f t="shared" si="68"/>
        <v>-0.12471253525103909</v>
      </c>
      <c r="K848" s="6">
        <f t="shared" si="69"/>
        <v>118.62505890885751</v>
      </c>
    </row>
    <row r="849" spans="1:11" x14ac:dyDescent="0.25">
      <c r="A849" s="2">
        <f>DATE(2018,12,11)</f>
        <v>43445</v>
      </c>
      <c r="B849" s="6">
        <v>42.16</v>
      </c>
      <c r="C849" s="7">
        <f t="shared" si="65"/>
        <v>-5.6603773584905648E-3</v>
      </c>
      <c r="D849" s="6">
        <f>MAX($B849:$B$1261)</f>
        <v>58.02</v>
      </c>
      <c r="E849" s="7">
        <f t="shared" si="66"/>
        <v>-0.27335401585660124</v>
      </c>
      <c r="G849" s="6">
        <v>7031.83</v>
      </c>
      <c r="H849" s="7">
        <f t="shared" si="67"/>
        <v>1.610991778386639E-3</v>
      </c>
      <c r="I849" s="6">
        <f>MAX($G849:$G$1261)</f>
        <v>8109.69</v>
      </c>
      <c r="J849" s="7">
        <f t="shared" si="68"/>
        <v>-0.13291013589915268</v>
      </c>
      <c r="K849" s="6">
        <f t="shared" si="69"/>
        <v>117.51406292301569</v>
      </c>
    </row>
    <row r="850" spans="1:11" x14ac:dyDescent="0.25">
      <c r="A850" s="2">
        <f>DATE(2018,12,10)</f>
        <v>43444</v>
      </c>
      <c r="B850" s="6">
        <v>42.4</v>
      </c>
      <c r="C850" s="7">
        <f t="shared" si="65"/>
        <v>6.647673314339908E-3</v>
      </c>
      <c r="D850" s="6">
        <f>MAX($B850:$B$1261)</f>
        <v>58.02</v>
      </c>
      <c r="E850" s="7">
        <f t="shared" si="66"/>
        <v>-0.2692175112030335</v>
      </c>
      <c r="G850" s="6">
        <v>7020.52</v>
      </c>
      <c r="H850" s="7">
        <f t="shared" si="67"/>
        <v>7.3566022168813916E-3</v>
      </c>
      <c r="I850" s="6">
        <f>MAX($G850:$G$1261)</f>
        <v>8109.69</v>
      </c>
      <c r="J850" s="7">
        <f t="shared" si="68"/>
        <v>-0.13430476380724776</v>
      </c>
      <c r="K850" s="6">
        <f t="shared" si="69"/>
        <v>117.32505322686842</v>
      </c>
    </row>
    <row r="851" spans="1:11" x14ac:dyDescent="0.25">
      <c r="A851" s="2">
        <f>DATE(2018,12,7)</f>
        <v>43441</v>
      </c>
      <c r="B851" s="6">
        <v>42.12</v>
      </c>
      <c r="C851" s="7">
        <f t="shared" si="65"/>
        <v>-3.5714285714285809E-2</v>
      </c>
      <c r="D851" s="6">
        <f>MAX($B851:$B$1261)</f>
        <v>58.02</v>
      </c>
      <c r="E851" s="7">
        <f t="shared" si="66"/>
        <v>-0.27404343329886249</v>
      </c>
      <c r="G851" s="6">
        <v>6969.25</v>
      </c>
      <c r="H851" s="7">
        <f t="shared" si="67"/>
        <v>-3.0467734889945586E-2</v>
      </c>
      <c r="I851" s="6">
        <f>MAX($G851:$G$1261)</f>
        <v>8109.69</v>
      </c>
      <c r="J851" s="7">
        <f t="shared" si="68"/>
        <v>-0.14062683037206103</v>
      </c>
      <c r="K851" s="6">
        <f t="shared" si="69"/>
        <v>116.46824269446603</v>
      </c>
    </row>
    <row r="852" spans="1:11" x14ac:dyDescent="0.25">
      <c r="A852" s="2">
        <f>DATE(2018,12,6)</f>
        <v>43440</v>
      </c>
      <c r="B852" s="6">
        <v>43.68</v>
      </c>
      <c r="C852" s="7">
        <f t="shared" si="65"/>
        <v>-1.1093502377179099E-2</v>
      </c>
      <c r="D852" s="6">
        <f>MAX($B852:$B$1261)</f>
        <v>58.02</v>
      </c>
      <c r="E852" s="7">
        <f t="shared" si="66"/>
        <v>-0.24715615305067218</v>
      </c>
      <c r="G852" s="6">
        <v>7188.26</v>
      </c>
      <c r="H852" s="7">
        <f t="shared" si="67"/>
        <v>4.1671148561905902E-3</v>
      </c>
      <c r="I852" s="6">
        <f>MAX($G852:$G$1261)</f>
        <v>8109.69</v>
      </c>
      <c r="J852" s="7">
        <f t="shared" si="68"/>
        <v>-0.11362086590239573</v>
      </c>
      <c r="K852" s="6">
        <f t="shared" si="69"/>
        <v>120.12827925973704</v>
      </c>
    </row>
    <row r="853" spans="1:11" x14ac:dyDescent="0.25">
      <c r="A853" s="2">
        <f>DATE(2018,12,4)</f>
        <v>43438</v>
      </c>
      <c r="B853" s="6">
        <v>44.17</v>
      </c>
      <c r="C853" s="7">
        <f t="shared" si="65"/>
        <v>-4.4146288682103463E-2</v>
      </c>
      <c r="D853" s="6">
        <f>MAX($B853:$B$1261)</f>
        <v>58.02</v>
      </c>
      <c r="E853" s="7">
        <f t="shared" si="66"/>
        <v>-0.23871078938297141</v>
      </c>
      <c r="G853" s="6">
        <v>7158.43</v>
      </c>
      <c r="H853" s="7">
        <f t="shared" si="67"/>
        <v>-3.8040666477636931E-2</v>
      </c>
      <c r="I853" s="6">
        <f>MAX($G853:$G$1261)</f>
        <v>8109.69</v>
      </c>
      <c r="J853" s="7">
        <f t="shared" si="68"/>
        <v>-0.11729918159633712</v>
      </c>
      <c r="K853" s="6">
        <f t="shared" si="69"/>
        <v>119.62976827511517</v>
      </c>
    </row>
    <row r="854" spans="1:11" x14ac:dyDescent="0.25">
      <c r="A854" s="2">
        <f>DATE(2018,12,3)</f>
        <v>43437</v>
      </c>
      <c r="B854" s="6">
        <v>46.21</v>
      </c>
      <c r="C854" s="7">
        <f t="shared" si="65"/>
        <v>3.4938409854423425E-2</v>
      </c>
      <c r="D854" s="6">
        <f>MAX($B854:$B$1261)</f>
        <v>58.02</v>
      </c>
      <c r="E854" s="7">
        <f t="shared" si="66"/>
        <v>-0.20355049982764561</v>
      </c>
      <c r="G854" s="6">
        <v>7441.51</v>
      </c>
      <c r="H854" s="7">
        <f t="shared" si="67"/>
        <v>1.513803894392507E-2</v>
      </c>
      <c r="I854" s="6">
        <f>MAX($G854:$G$1261)</f>
        <v>8109.69</v>
      </c>
      <c r="J854" s="7">
        <f t="shared" si="68"/>
        <v>-8.2392791832979984E-2</v>
      </c>
      <c r="K854" s="6">
        <f t="shared" si="69"/>
        <v>124.36052555056797</v>
      </c>
    </row>
    <row r="855" spans="1:11" x14ac:dyDescent="0.25">
      <c r="A855" s="2">
        <f>DATE(2018,11,30)</f>
        <v>43434</v>
      </c>
      <c r="B855" s="6">
        <v>44.65</v>
      </c>
      <c r="C855" s="7">
        <f t="shared" si="65"/>
        <v>-5.3464023167744124E-3</v>
      </c>
      <c r="D855" s="6">
        <f>MAX($B855:$B$1261)</f>
        <v>58.02</v>
      </c>
      <c r="E855" s="7">
        <f t="shared" si="66"/>
        <v>-0.23043778007583593</v>
      </c>
      <c r="G855" s="6">
        <v>7330.54</v>
      </c>
      <c r="H855" s="7">
        <f t="shared" si="67"/>
        <v>7.9003668322086273E-3</v>
      </c>
      <c r="I855" s="6">
        <f>MAX($G855:$G$1261)</f>
        <v>8109.69</v>
      </c>
      <c r="J855" s="7">
        <f t="shared" si="68"/>
        <v>-9.6076422156703867E-2</v>
      </c>
      <c r="K855" s="6">
        <f t="shared" si="69"/>
        <v>122.50602457961629</v>
      </c>
    </row>
    <row r="856" spans="1:11" x14ac:dyDescent="0.25">
      <c r="A856" s="2">
        <f>DATE(2018,11,29)</f>
        <v>43433</v>
      </c>
      <c r="B856" s="6">
        <v>44.89</v>
      </c>
      <c r="C856" s="7">
        <f t="shared" si="65"/>
        <v>-7.7365163572060691E-3</v>
      </c>
      <c r="D856" s="6">
        <f>MAX($B856:$B$1261)</f>
        <v>58.02</v>
      </c>
      <c r="E856" s="7">
        <f t="shared" si="66"/>
        <v>-0.22630127542226819</v>
      </c>
      <c r="G856" s="6">
        <v>7273.08</v>
      </c>
      <c r="H856" s="7">
        <f t="shared" si="67"/>
        <v>-2.538540976659398E-3</v>
      </c>
      <c r="I856" s="6">
        <f>MAX($G856:$G$1261)</f>
        <v>8109.69</v>
      </c>
      <c r="J856" s="7">
        <f t="shared" si="68"/>
        <v>-0.10316177313806074</v>
      </c>
      <c r="K856" s="6">
        <f t="shared" si="69"/>
        <v>121.54576842217841</v>
      </c>
    </row>
    <row r="857" spans="1:11" x14ac:dyDescent="0.25">
      <c r="A857" s="2">
        <f>DATE(2018,11,28)</f>
        <v>43432</v>
      </c>
      <c r="B857" s="6">
        <v>45.24</v>
      </c>
      <c r="C857" s="7">
        <f t="shared" si="65"/>
        <v>3.8567493112947604E-2</v>
      </c>
      <c r="D857" s="6">
        <f>MAX($B857:$B$1261)</f>
        <v>58.02</v>
      </c>
      <c r="E857" s="7">
        <f t="shared" si="66"/>
        <v>-0.22026887280248186</v>
      </c>
      <c r="G857" s="6">
        <v>7291.59</v>
      </c>
      <c r="H857" s="7">
        <f t="shared" si="67"/>
        <v>2.9492989961455329E-2</v>
      </c>
      <c r="I857" s="6">
        <f>MAX($G857:$G$1261)</f>
        <v>8109.69</v>
      </c>
      <c r="J857" s="7">
        <f t="shared" si="68"/>
        <v>-0.10087931844497133</v>
      </c>
      <c r="K857" s="6">
        <f t="shared" si="69"/>
        <v>121.85510259332661</v>
      </c>
    </row>
    <row r="858" spans="1:11" x14ac:dyDescent="0.25">
      <c r="A858" s="2">
        <f>DATE(2018,11,27)</f>
        <v>43431</v>
      </c>
      <c r="B858" s="6">
        <v>43.56</v>
      </c>
      <c r="C858" s="7">
        <f t="shared" si="65"/>
        <v>-2.0618556701029744E-3</v>
      </c>
      <c r="D858" s="6">
        <f>MAX($B858:$B$1261)</f>
        <v>58.02</v>
      </c>
      <c r="E858" s="7">
        <f t="shared" si="66"/>
        <v>-0.24922440537745605</v>
      </c>
      <c r="G858" s="6">
        <v>7082.7</v>
      </c>
      <c r="H858" s="7">
        <f t="shared" si="67"/>
        <v>1.2002513467512799E-4</v>
      </c>
      <c r="I858" s="6">
        <f>MAX($G858:$G$1261)</f>
        <v>8109.69</v>
      </c>
      <c r="J858" s="7">
        <f t="shared" si="68"/>
        <v>-0.12663739304461696</v>
      </c>
      <c r="K858" s="6">
        <f t="shared" si="69"/>
        <v>118.36418876236245</v>
      </c>
    </row>
    <row r="859" spans="1:11" x14ac:dyDescent="0.25">
      <c r="A859" s="2">
        <f>DATE(2018,11,26)</f>
        <v>43430</v>
      </c>
      <c r="B859" s="6">
        <v>43.65</v>
      </c>
      <c r="C859" s="7">
        <f t="shared" si="65"/>
        <v>1.3466449965172878E-2</v>
      </c>
      <c r="D859" s="6">
        <f>MAX($B859:$B$1261)</f>
        <v>58.02</v>
      </c>
      <c r="E859" s="7">
        <f t="shared" si="66"/>
        <v>-0.24767321613236826</v>
      </c>
      <c r="G859" s="6">
        <v>7081.85</v>
      </c>
      <c r="H859" s="7">
        <f t="shared" si="67"/>
        <v>2.058948145116446E-2</v>
      </c>
      <c r="I859" s="6">
        <f>MAX($G859:$G$1261)</f>
        <v>8109.69</v>
      </c>
      <c r="J859" s="7">
        <f t="shared" si="68"/>
        <v>-0.12674220592895646</v>
      </c>
      <c r="K859" s="6">
        <f t="shared" si="69"/>
        <v>118.3499837896193</v>
      </c>
    </row>
    <row r="860" spans="1:11" x14ac:dyDescent="0.25">
      <c r="A860" s="2">
        <f>DATE(2018,11,23)</f>
        <v>43427</v>
      </c>
      <c r="B860" s="6">
        <v>43.07</v>
      </c>
      <c r="C860" s="7">
        <f t="shared" si="65"/>
        <v>-2.5565610859728527E-2</v>
      </c>
      <c r="D860" s="6">
        <f>MAX($B860:$B$1261)</f>
        <v>58.02</v>
      </c>
      <c r="E860" s="7">
        <f t="shared" si="66"/>
        <v>-0.25766976904515693</v>
      </c>
      <c r="G860" s="6">
        <v>6938.98</v>
      </c>
      <c r="H860" s="7">
        <f t="shared" si="67"/>
        <v>-4.7717738176342728E-3</v>
      </c>
      <c r="I860" s="6">
        <f>MAX($G860:$G$1261)</f>
        <v>8109.69</v>
      </c>
      <c r="J860" s="7">
        <f t="shared" si="68"/>
        <v>-0.14435940214730769</v>
      </c>
      <c r="K860" s="6">
        <f t="shared" si="69"/>
        <v>115.96237854748298</v>
      </c>
    </row>
    <row r="861" spans="1:11" x14ac:dyDescent="0.25">
      <c r="A861" s="2">
        <f>DATE(2018,11,21)</f>
        <v>43425</v>
      </c>
      <c r="B861" s="6">
        <v>44.2</v>
      </c>
      <c r="C861" s="7">
        <f t="shared" si="65"/>
        <v>-9.0415913200725395E-4</v>
      </c>
      <c r="D861" s="6">
        <f>MAX($B861:$B$1261)</f>
        <v>58.02</v>
      </c>
      <c r="E861" s="7">
        <f t="shared" si="66"/>
        <v>-0.23819372630127544</v>
      </c>
      <c r="G861" s="6">
        <v>6972.25</v>
      </c>
      <c r="H861" s="7">
        <f t="shared" si="67"/>
        <v>9.1810178872804293E-3</v>
      </c>
      <c r="I861" s="6">
        <f>MAX($G861:$G$1261)</f>
        <v>8109.69</v>
      </c>
      <c r="J861" s="7">
        <f t="shared" si="68"/>
        <v>-0.14025690254498013</v>
      </c>
      <c r="K861" s="6">
        <f t="shared" si="69"/>
        <v>116.51837789238307</v>
      </c>
    </row>
    <row r="862" spans="1:11" x14ac:dyDescent="0.25">
      <c r="A862" s="2">
        <f>DATE(2018,11,20)</f>
        <v>43424</v>
      </c>
      <c r="B862" s="6">
        <v>44.24</v>
      </c>
      <c r="C862" s="7">
        <f t="shared" si="65"/>
        <v>-4.7987949214546965E-2</v>
      </c>
      <c r="D862" s="6">
        <f>MAX($B862:$B$1261)</f>
        <v>58.02</v>
      </c>
      <c r="E862" s="7">
        <f t="shared" si="66"/>
        <v>-0.23750430885901419</v>
      </c>
      <c r="G862" s="6">
        <v>6908.82</v>
      </c>
      <c r="H862" s="7">
        <f t="shared" si="67"/>
        <v>-1.7025018211618947E-2</v>
      </c>
      <c r="I862" s="6">
        <f>MAX($G862:$G$1261)</f>
        <v>8109.69</v>
      </c>
      <c r="J862" s="7">
        <f t="shared" si="68"/>
        <v>-0.14807840990222809</v>
      </c>
      <c r="K862" s="6">
        <f t="shared" si="69"/>
        <v>115.45835269109024</v>
      </c>
    </row>
    <row r="863" spans="1:11" x14ac:dyDescent="0.25">
      <c r="A863" s="2">
        <f>DATE(2018,11,19)</f>
        <v>43423</v>
      </c>
      <c r="B863" s="6">
        <v>46.47</v>
      </c>
      <c r="C863" s="7">
        <f t="shared" si="65"/>
        <v>-3.9479123604795441E-2</v>
      </c>
      <c r="D863" s="6">
        <f>MAX($B863:$B$1261)</f>
        <v>58.02</v>
      </c>
      <c r="E863" s="7">
        <f t="shared" si="66"/>
        <v>-0.1990692864529473</v>
      </c>
      <c r="G863" s="6">
        <v>7028.48</v>
      </c>
      <c r="H863" s="7">
        <f t="shared" si="67"/>
        <v>-3.0269582649799176E-2</v>
      </c>
      <c r="I863" s="6">
        <f>MAX($G863:$G$1261)</f>
        <v>8109.69</v>
      </c>
      <c r="J863" s="7">
        <f t="shared" si="68"/>
        <v>-0.1333232219727265</v>
      </c>
      <c r="K863" s="6">
        <f t="shared" si="69"/>
        <v>117.45807861867495</v>
      </c>
    </row>
    <row r="864" spans="1:11" x14ac:dyDescent="0.25">
      <c r="A864" s="2">
        <f>DATE(2018,11,16)</f>
        <v>43420</v>
      </c>
      <c r="B864" s="6">
        <v>48.38</v>
      </c>
      <c r="C864" s="7">
        <f t="shared" si="65"/>
        <v>1.1076280041797393E-2</v>
      </c>
      <c r="D864" s="6">
        <f>MAX($B864:$B$1261)</f>
        <v>58.02</v>
      </c>
      <c r="E864" s="7">
        <f t="shared" si="66"/>
        <v>-0.16614960358497066</v>
      </c>
      <c r="G864" s="6">
        <v>7247.87</v>
      </c>
      <c r="H864" s="7">
        <f t="shared" si="67"/>
        <v>-1.537395492235194E-3</v>
      </c>
      <c r="I864" s="6">
        <f>MAX($G864:$G$1261)</f>
        <v>8109.69</v>
      </c>
      <c r="J864" s="7">
        <f t="shared" si="68"/>
        <v>-0.10627039997829757</v>
      </c>
      <c r="K864" s="6">
        <f t="shared" si="69"/>
        <v>121.12446564234878</v>
      </c>
    </row>
    <row r="865" spans="1:11" x14ac:dyDescent="0.25">
      <c r="A865" s="2">
        <f>DATE(2018,11,15)</f>
        <v>43419</v>
      </c>
      <c r="B865" s="6">
        <v>47.85</v>
      </c>
      <c r="C865" s="7">
        <f t="shared" si="65"/>
        <v>2.4625267665952855E-2</v>
      </c>
      <c r="D865" s="6">
        <f>MAX($B865:$B$1261)</f>
        <v>58.02</v>
      </c>
      <c r="E865" s="7">
        <f t="shared" si="66"/>
        <v>-0.17528438469493279</v>
      </c>
      <c r="G865" s="6">
        <v>7259.03</v>
      </c>
      <c r="H865" s="7">
        <f t="shared" si="67"/>
        <v>1.7185159443359854E-2</v>
      </c>
      <c r="I865" s="6">
        <f>MAX($G865:$G$1261)</f>
        <v>8109.69</v>
      </c>
      <c r="J865" s="7">
        <f t="shared" si="68"/>
        <v>-0.10489426846155647</v>
      </c>
      <c r="K865" s="6">
        <f t="shared" si="69"/>
        <v>121.31096857860021</v>
      </c>
    </row>
    <row r="866" spans="1:11" x14ac:dyDescent="0.25">
      <c r="A866" s="2">
        <f>DATE(2018,11,14)</f>
        <v>43418</v>
      </c>
      <c r="B866" s="6">
        <v>46.7</v>
      </c>
      <c r="C866" s="7">
        <f t="shared" si="65"/>
        <v>-2.8297960882230577E-2</v>
      </c>
      <c r="D866" s="6">
        <f>MAX($B866:$B$1261)</f>
        <v>58.02</v>
      </c>
      <c r="E866" s="7">
        <f t="shared" si="66"/>
        <v>-0.19510513615994485</v>
      </c>
      <c r="G866" s="6">
        <v>7136.39</v>
      </c>
      <c r="H866" s="7">
        <f t="shared" si="67"/>
        <v>-8.9544735566674527E-3</v>
      </c>
      <c r="I866" s="6">
        <f>MAX($G866:$G$1261)</f>
        <v>8109.69</v>
      </c>
      <c r="J866" s="7">
        <f t="shared" si="68"/>
        <v>-0.12001691803262504</v>
      </c>
      <c r="K866" s="6">
        <f t="shared" si="69"/>
        <v>119.26144168775124</v>
      </c>
    </row>
    <row r="867" spans="1:11" x14ac:dyDescent="0.25">
      <c r="A867" s="2">
        <f>DATE(2018,11,13)</f>
        <v>43417</v>
      </c>
      <c r="B867" s="6">
        <v>48.06</v>
      </c>
      <c r="C867" s="7">
        <f t="shared" si="65"/>
        <v>-9.8887515451173691E-3</v>
      </c>
      <c r="D867" s="6">
        <f>MAX($B867:$B$1261)</f>
        <v>58.02</v>
      </c>
      <c r="E867" s="7">
        <f t="shared" si="66"/>
        <v>-0.17166494312306102</v>
      </c>
      <c r="G867" s="6">
        <v>7200.87</v>
      </c>
      <c r="H867" s="7">
        <f t="shared" si="67"/>
        <v>0</v>
      </c>
      <c r="I867" s="6">
        <f>MAX($G867:$G$1261)</f>
        <v>8109.69</v>
      </c>
      <c r="J867" s="7">
        <f t="shared" si="68"/>
        <v>-0.11206593593589886</v>
      </c>
      <c r="K867" s="6">
        <f t="shared" si="69"/>
        <v>120.33901420831504</v>
      </c>
    </row>
    <row r="868" spans="1:11" x14ac:dyDescent="0.25">
      <c r="A868" s="2">
        <f>DATE(2018,11,12)</f>
        <v>43416</v>
      </c>
      <c r="B868" s="6">
        <v>48.54</v>
      </c>
      <c r="C868" s="7">
        <f t="shared" si="65"/>
        <v>-5.0469483568075124E-2</v>
      </c>
      <c r="D868" s="6">
        <f>MAX($B868:$B$1261)</f>
        <v>58.02</v>
      </c>
      <c r="E868" s="7">
        <f t="shared" si="66"/>
        <v>-0.16339193381592565</v>
      </c>
      <c r="G868" s="6">
        <v>7200.87</v>
      </c>
      <c r="H868" s="7">
        <f t="shared" si="67"/>
        <v>-2.7815955392944347E-2</v>
      </c>
      <c r="I868" s="6">
        <f>MAX($G868:$G$1261)</f>
        <v>8109.69</v>
      </c>
      <c r="J868" s="7">
        <f t="shared" si="68"/>
        <v>-0.11206593593589886</v>
      </c>
      <c r="K868" s="6">
        <f t="shared" si="69"/>
        <v>120.33901420831504</v>
      </c>
    </row>
    <row r="869" spans="1:11" x14ac:dyDescent="0.25">
      <c r="A869" s="2">
        <f>DATE(2018,11,9)</f>
        <v>43413</v>
      </c>
      <c r="B869" s="6">
        <v>51.12</v>
      </c>
      <c r="C869" s="7">
        <f t="shared" si="65"/>
        <v>-1.9186492709132752E-2</v>
      </c>
      <c r="D869" s="6">
        <f>MAX($B869:$B$1261)</f>
        <v>58.02</v>
      </c>
      <c r="E869" s="7">
        <f t="shared" si="66"/>
        <v>-0.11892450879007244</v>
      </c>
      <c r="G869" s="6">
        <v>7406.9</v>
      </c>
      <c r="H869" s="7">
        <f t="shared" si="67"/>
        <v>-1.6462883487719959E-2</v>
      </c>
      <c r="I869" s="6">
        <f>MAX($G869:$G$1261)</f>
        <v>8109.69</v>
      </c>
      <c r="J869" s="7">
        <f t="shared" si="68"/>
        <v>-8.6660525864737159E-2</v>
      </c>
      <c r="K869" s="6">
        <f t="shared" si="69"/>
        <v>123.7821324839316</v>
      </c>
    </row>
    <row r="870" spans="1:11" x14ac:dyDescent="0.25">
      <c r="A870" s="2">
        <f>DATE(2018,11,8)</f>
        <v>43412</v>
      </c>
      <c r="B870" s="6">
        <v>52.12</v>
      </c>
      <c r="C870" s="7">
        <f t="shared" si="65"/>
        <v>-7.0489617069918742E-3</v>
      </c>
      <c r="D870" s="6">
        <f>MAX($B870:$B$1261)</f>
        <v>58.02</v>
      </c>
      <c r="E870" s="7">
        <f t="shared" si="66"/>
        <v>-0.10168907273354022</v>
      </c>
      <c r="G870" s="6">
        <v>7530.88</v>
      </c>
      <c r="H870" s="7">
        <f t="shared" si="67"/>
        <v>-5.2663210382062342E-3</v>
      </c>
      <c r="I870" s="6">
        <f>MAX($G870:$G$1261)</f>
        <v>8109.69</v>
      </c>
      <c r="J870" s="7">
        <f t="shared" si="68"/>
        <v>-7.1372641864238862E-2</v>
      </c>
      <c r="K870" s="6">
        <f t="shared" si="69"/>
        <v>125.85405309651688</v>
      </c>
    </row>
    <row r="871" spans="1:11" x14ac:dyDescent="0.25">
      <c r="A871" s="2">
        <f>DATE(2018,11,7)</f>
        <v>43411</v>
      </c>
      <c r="B871" s="6">
        <v>52.49</v>
      </c>
      <c r="C871" s="7">
        <f t="shared" si="65"/>
        <v>3.042795445622315E-2</v>
      </c>
      <c r="D871" s="6">
        <f>MAX($B871:$B$1261)</f>
        <v>58.02</v>
      </c>
      <c r="E871" s="7">
        <f t="shared" si="66"/>
        <v>-9.5311961392623212E-2</v>
      </c>
      <c r="G871" s="6">
        <v>7570.75</v>
      </c>
      <c r="H871" s="7">
        <f t="shared" si="67"/>
        <v>2.6408765774217802E-2</v>
      </c>
      <c r="I871" s="6">
        <f>MAX($G871:$G$1261)</f>
        <v>8109.69</v>
      </c>
      <c r="J871" s="7">
        <f t="shared" si="68"/>
        <v>-6.6456301042333243E-2</v>
      </c>
      <c r="K871" s="6">
        <f t="shared" si="69"/>
        <v>126.52034987683446</v>
      </c>
    </row>
    <row r="872" spans="1:11" x14ac:dyDescent="0.25">
      <c r="A872" s="2">
        <f>DATE(2018,11,6)</f>
        <v>43410</v>
      </c>
      <c r="B872" s="6">
        <v>50.94</v>
      </c>
      <c r="C872" s="7">
        <f t="shared" si="65"/>
        <v>1.0714285714285676E-2</v>
      </c>
      <c r="D872" s="6">
        <f>MAX($B872:$B$1261)</f>
        <v>58.02</v>
      </c>
      <c r="E872" s="7">
        <f t="shared" si="66"/>
        <v>-0.12202688728024824</v>
      </c>
      <c r="G872" s="6">
        <v>7375.96</v>
      </c>
      <c r="H872" s="7">
        <f t="shared" si="67"/>
        <v>6.4280207672418044E-3</v>
      </c>
      <c r="I872" s="6">
        <f>MAX($G872:$G$1261)</f>
        <v>8109.69</v>
      </c>
      <c r="J872" s="7">
        <f t="shared" si="68"/>
        <v>-9.0475714854698519E-2</v>
      </c>
      <c r="K872" s="6">
        <f t="shared" si="69"/>
        <v>123.26507147608044</v>
      </c>
    </row>
    <row r="873" spans="1:11" x14ac:dyDescent="0.25">
      <c r="A873" s="2">
        <f>DATE(2018,11,5)</f>
        <v>43409</v>
      </c>
      <c r="B873" s="6">
        <v>50.4</v>
      </c>
      <c r="C873" s="7">
        <f t="shared" si="65"/>
        <v>-2.8340080971659853E-2</v>
      </c>
      <c r="D873" s="6">
        <f>MAX($B873:$B$1261)</f>
        <v>58.02</v>
      </c>
      <c r="E873" s="7">
        <f t="shared" si="66"/>
        <v>-0.13133402275077566</v>
      </c>
      <c r="G873" s="6">
        <v>7328.85</v>
      </c>
      <c r="H873" s="7">
        <f t="shared" si="67"/>
        <v>-3.8249338384310771E-3</v>
      </c>
      <c r="I873" s="6">
        <f>MAX($G873:$G$1261)</f>
        <v>8109.69</v>
      </c>
      <c r="J873" s="7">
        <f t="shared" si="68"/>
        <v>-9.6284814832626076E-2</v>
      </c>
      <c r="K873" s="6">
        <f t="shared" si="69"/>
        <v>122.47778175145636</v>
      </c>
    </row>
    <row r="874" spans="1:11" x14ac:dyDescent="0.25">
      <c r="A874" s="2">
        <f>DATE(2018,11,2)</f>
        <v>43406</v>
      </c>
      <c r="B874" s="6">
        <v>51.87</v>
      </c>
      <c r="C874" s="7">
        <f t="shared" si="65"/>
        <v>-6.6246624662466225E-2</v>
      </c>
      <c r="D874" s="6">
        <f>MAX($B874:$B$1261)</f>
        <v>58.02</v>
      </c>
      <c r="E874" s="7">
        <f t="shared" si="66"/>
        <v>-0.10599793174767336</v>
      </c>
      <c r="G874" s="6">
        <v>7356.99</v>
      </c>
      <c r="H874" s="7">
        <f t="shared" si="67"/>
        <v>-1.0367147964907564E-2</v>
      </c>
      <c r="I874" s="6">
        <f>MAX($G874:$G$1261)</f>
        <v>8109.69</v>
      </c>
      <c r="J874" s="7">
        <f t="shared" si="68"/>
        <v>-9.2814891814607003E-2</v>
      </c>
      <c r="K874" s="6">
        <f t="shared" si="69"/>
        <v>122.94804990791827</v>
      </c>
    </row>
    <row r="875" spans="1:11" x14ac:dyDescent="0.25">
      <c r="A875" s="2">
        <f>DATE(2018,11,1)</f>
        <v>43405</v>
      </c>
      <c r="B875" s="6">
        <v>55.55</v>
      </c>
      <c r="C875" s="7">
        <f t="shared" si="65"/>
        <v>1.5168128654970747E-2</v>
      </c>
      <c r="D875" s="6">
        <f>MAX($B875:$B$1261)</f>
        <v>58.02</v>
      </c>
      <c r="E875" s="7">
        <f t="shared" si="66"/>
        <v>-4.2571527059634739E-2</v>
      </c>
      <c r="G875" s="6">
        <v>7434.06</v>
      </c>
      <c r="H875" s="7">
        <f t="shared" si="67"/>
        <v>1.7541986613559102E-2</v>
      </c>
      <c r="I875" s="6">
        <f>MAX($G875:$G$1261)</f>
        <v>8109.69</v>
      </c>
      <c r="J875" s="7">
        <f t="shared" si="68"/>
        <v>-8.3311445936897655E-2</v>
      </c>
      <c r="K875" s="6">
        <f t="shared" si="69"/>
        <v>124.23602314240729</v>
      </c>
    </row>
    <row r="876" spans="1:11" x14ac:dyDescent="0.25">
      <c r="A876" s="2">
        <f>DATE(2018,10,31)</f>
        <v>43404</v>
      </c>
      <c r="B876" s="6">
        <v>54.72</v>
      </c>
      <c r="C876" s="7">
        <f t="shared" si="65"/>
        <v>2.6064129008062986E-2</v>
      </c>
      <c r="D876" s="6">
        <f>MAX($B876:$B$1261)</f>
        <v>58.02</v>
      </c>
      <c r="E876" s="7">
        <f t="shared" si="66"/>
        <v>-5.6876938986556436E-2</v>
      </c>
      <c r="G876" s="6">
        <v>7305.9</v>
      </c>
      <c r="H876" s="7">
        <f t="shared" si="67"/>
        <v>2.0142006381210997E-2</v>
      </c>
      <c r="I876" s="6">
        <f>MAX($G876:$G$1261)</f>
        <v>8109.69</v>
      </c>
      <c r="J876" s="7">
        <f t="shared" si="68"/>
        <v>-9.9114762709795357E-2</v>
      </c>
      <c r="K876" s="6">
        <f t="shared" si="69"/>
        <v>122.0942474873909</v>
      </c>
    </row>
    <row r="877" spans="1:11" x14ac:dyDescent="0.25">
      <c r="A877" s="2">
        <f>DATE(2018,10,30)</f>
        <v>43403</v>
      </c>
      <c r="B877" s="6">
        <v>53.33</v>
      </c>
      <c r="C877" s="7">
        <f t="shared" si="65"/>
        <v>5.0885789672068249E-3</v>
      </c>
      <c r="D877" s="6">
        <f>MAX($B877:$B$1261)</f>
        <v>58.02</v>
      </c>
      <c r="E877" s="7">
        <f t="shared" si="66"/>
        <v>-8.0834195105136231E-2</v>
      </c>
      <c r="G877" s="6">
        <v>7161.65</v>
      </c>
      <c r="H877" s="7">
        <f t="shared" si="67"/>
        <v>1.5795094953540811E-2</v>
      </c>
      <c r="I877" s="6">
        <f>MAX($G877:$G$1261)</f>
        <v>8109.69</v>
      </c>
      <c r="J877" s="7">
        <f t="shared" si="68"/>
        <v>-0.1169021257286037</v>
      </c>
      <c r="K877" s="6">
        <f t="shared" si="69"/>
        <v>119.68358005421277</v>
      </c>
    </row>
    <row r="878" spans="1:11" x14ac:dyDescent="0.25">
      <c r="A878" s="2">
        <f>DATE(2018,10,29)</f>
        <v>43402</v>
      </c>
      <c r="B878" s="6">
        <v>53.06</v>
      </c>
      <c r="C878" s="7">
        <f t="shared" si="65"/>
        <v>-1.8860946745562046E-2</v>
      </c>
      <c r="D878" s="6">
        <f>MAX($B878:$B$1261)</f>
        <v>58.02</v>
      </c>
      <c r="E878" s="7">
        <f t="shared" si="66"/>
        <v>-8.5487762840399828E-2</v>
      </c>
      <c r="G878" s="6">
        <v>7050.29</v>
      </c>
      <c r="H878" s="7">
        <f t="shared" si="67"/>
        <v>-1.6313181837842028E-2</v>
      </c>
      <c r="I878" s="6">
        <f>MAX($G878:$G$1261)</f>
        <v>8109.69</v>
      </c>
      <c r="J878" s="7">
        <f t="shared" si="68"/>
        <v>-0.13063384666984801</v>
      </c>
      <c r="K878" s="6">
        <f t="shared" si="69"/>
        <v>117.8225615075319</v>
      </c>
    </row>
    <row r="879" spans="1:11" x14ac:dyDescent="0.25">
      <c r="A879" s="2">
        <f>DATE(2018,10,26)</f>
        <v>43399</v>
      </c>
      <c r="B879" s="6">
        <v>54.08</v>
      </c>
      <c r="C879" s="7">
        <f t="shared" si="65"/>
        <v>-1.5832575068243981E-2</v>
      </c>
      <c r="D879" s="6">
        <f>MAX($B879:$B$1261)</f>
        <v>58.02</v>
      </c>
      <c r="E879" s="7">
        <f t="shared" si="66"/>
        <v>-6.7907618062737041E-2</v>
      </c>
      <c r="G879" s="6">
        <v>7167.21</v>
      </c>
      <c r="H879" s="7">
        <f t="shared" si="67"/>
        <v>-2.0650857981454829E-2</v>
      </c>
      <c r="I879" s="6">
        <f>MAX($G879:$G$1261)</f>
        <v>8109.69</v>
      </c>
      <c r="J879" s="7">
        <f t="shared" si="68"/>
        <v>-0.11621652615574696</v>
      </c>
      <c r="K879" s="6">
        <f t="shared" si="69"/>
        <v>119.77649728768571</v>
      </c>
    </row>
    <row r="880" spans="1:11" x14ac:dyDescent="0.25">
      <c r="A880" s="2">
        <f>DATE(2018,10,25)</f>
        <v>43398</v>
      </c>
      <c r="B880" s="6">
        <v>54.95</v>
      </c>
      <c r="C880" s="7">
        <f t="shared" si="65"/>
        <v>2.1945322670634093E-2</v>
      </c>
      <c r="D880" s="6">
        <f>MAX($B880:$B$1261)</f>
        <v>58.02</v>
      </c>
      <c r="E880" s="7">
        <f t="shared" si="66"/>
        <v>-5.291278869355398E-2</v>
      </c>
      <c r="G880" s="6">
        <v>7318.34</v>
      </c>
      <c r="H880" s="7">
        <f t="shared" si="67"/>
        <v>2.9534072365089203E-2</v>
      </c>
      <c r="I880" s="6">
        <f>MAX($G880:$G$1261)</f>
        <v>8109.69</v>
      </c>
      <c r="J880" s="7">
        <f t="shared" si="68"/>
        <v>-9.758079532016628E-2</v>
      </c>
      <c r="K880" s="6">
        <f t="shared" si="69"/>
        <v>122.30214144142029</v>
      </c>
    </row>
    <row r="881" spans="1:11" x14ac:dyDescent="0.25">
      <c r="A881" s="2">
        <f>DATE(2018,10,24)</f>
        <v>43397</v>
      </c>
      <c r="B881" s="6">
        <v>53.77</v>
      </c>
      <c r="C881" s="7">
        <f t="shared" si="65"/>
        <v>-3.4303160919540221E-2</v>
      </c>
      <c r="D881" s="6">
        <f>MAX($B881:$B$1261)</f>
        <v>58.02</v>
      </c>
      <c r="E881" s="7">
        <f t="shared" si="66"/>
        <v>-7.3250603240262002E-2</v>
      </c>
      <c r="G881" s="6">
        <v>7108.4</v>
      </c>
      <c r="H881" s="7">
        <f t="shared" si="67"/>
        <v>-4.4253879643000316E-2</v>
      </c>
      <c r="I881" s="6">
        <f>MAX($G881:$G$1261)</f>
        <v>8109.69</v>
      </c>
      <c r="J881" s="7">
        <f t="shared" si="68"/>
        <v>-0.12346834465929035</v>
      </c>
      <c r="K881" s="6">
        <f t="shared" si="69"/>
        <v>118.79368029118515</v>
      </c>
    </row>
    <row r="882" spans="1:11" x14ac:dyDescent="0.25">
      <c r="A882" s="2">
        <f>DATE(2018,10,23)</f>
        <v>43396</v>
      </c>
      <c r="B882" s="6">
        <v>55.68</v>
      </c>
      <c r="C882" s="7">
        <f t="shared" si="65"/>
        <v>9.4271211022480816E-3</v>
      </c>
      <c r="D882" s="6">
        <f>MAX($B882:$B$1261)</f>
        <v>58.02</v>
      </c>
      <c r="E882" s="7">
        <f t="shared" si="66"/>
        <v>-4.0330920372285473E-2</v>
      </c>
      <c r="G882" s="6">
        <v>7437.54</v>
      </c>
      <c r="H882" s="7">
        <f t="shared" si="67"/>
        <v>-4.1627447068606216E-3</v>
      </c>
      <c r="I882" s="6">
        <f>MAX($G882:$G$1261)</f>
        <v>8109.69</v>
      </c>
      <c r="J882" s="7">
        <f t="shared" si="68"/>
        <v>-8.2882329657483766E-2</v>
      </c>
      <c r="K882" s="6">
        <f t="shared" si="69"/>
        <v>124.29417997199107</v>
      </c>
    </row>
    <row r="883" spans="1:11" x14ac:dyDescent="0.25">
      <c r="A883" s="2">
        <f>DATE(2018,10,22)</f>
        <v>43395</v>
      </c>
      <c r="B883" s="6">
        <v>55.16</v>
      </c>
      <c r="C883" s="7">
        <f t="shared" si="65"/>
        <v>6.0186029545867825E-3</v>
      </c>
      <c r="D883" s="6">
        <f>MAX($B883:$B$1261)</f>
        <v>58.02</v>
      </c>
      <c r="E883" s="7">
        <f t="shared" si="66"/>
        <v>-4.9293347121682318E-2</v>
      </c>
      <c r="G883" s="6">
        <v>7468.63</v>
      </c>
      <c r="H883" s="7">
        <f t="shared" si="67"/>
        <v>2.6312150709555393E-3</v>
      </c>
      <c r="I883" s="6">
        <f>MAX($G883:$G$1261)</f>
        <v>8109.69</v>
      </c>
      <c r="J883" s="7">
        <f t="shared" si="68"/>
        <v>-7.9048644276168312E-2</v>
      </c>
      <c r="K883" s="6">
        <f t="shared" si="69"/>
        <v>124.8137477397381</v>
      </c>
    </row>
    <row r="884" spans="1:11" x14ac:dyDescent="0.25">
      <c r="A884" s="2">
        <f>DATE(2018,10,19)</f>
        <v>43392</v>
      </c>
      <c r="B884" s="6">
        <v>54.83</v>
      </c>
      <c r="C884" s="7">
        <f t="shared" si="65"/>
        <v>1.5182373634512025E-2</v>
      </c>
      <c r="D884" s="6">
        <f>MAX($B884:$B$1261)</f>
        <v>58.02</v>
      </c>
      <c r="E884" s="7">
        <f t="shared" si="66"/>
        <v>-5.4981041020337851E-2</v>
      </c>
      <c r="G884" s="6">
        <v>7449.03</v>
      </c>
      <c r="H884" s="7">
        <f t="shared" si="67"/>
        <v>-4.8242250645946783E-3</v>
      </c>
      <c r="I884" s="6">
        <f>MAX($G884:$G$1261)</f>
        <v>8109.69</v>
      </c>
      <c r="J884" s="7">
        <f t="shared" si="68"/>
        <v>-8.1465506079763772E-2</v>
      </c>
      <c r="K884" s="6">
        <f t="shared" si="69"/>
        <v>124.48619778001338</v>
      </c>
    </row>
    <row r="885" spans="1:11" x14ac:dyDescent="0.25">
      <c r="A885" s="2">
        <f>DATE(2018,10,18)</f>
        <v>43391</v>
      </c>
      <c r="B885" s="6">
        <v>54.01</v>
      </c>
      <c r="C885" s="7">
        <f t="shared" si="65"/>
        <v>-2.3327305605786552E-2</v>
      </c>
      <c r="D885" s="6">
        <f>MAX($B885:$B$1261)</f>
        <v>58.02</v>
      </c>
      <c r="E885" s="7">
        <f t="shared" si="66"/>
        <v>-6.9114098586694372E-2</v>
      </c>
      <c r="G885" s="6">
        <v>7485.14</v>
      </c>
      <c r="H885" s="7">
        <f t="shared" si="67"/>
        <v>-2.0615750978057457E-2</v>
      </c>
      <c r="I885" s="6">
        <f>MAX($G885:$G$1261)</f>
        <v>8109.69</v>
      </c>
      <c r="J885" s="7">
        <f t="shared" si="68"/>
        <v>-7.7012808134466204E-2</v>
      </c>
      <c r="K885" s="6">
        <f t="shared" si="69"/>
        <v>125.08965844560828</v>
      </c>
    </row>
    <row r="886" spans="1:11" x14ac:dyDescent="0.25">
      <c r="A886" s="2">
        <f>DATE(2018,10,17)</f>
        <v>43390</v>
      </c>
      <c r="B886" s="6">
        <v>55.3</v>
      </c>
      <c r="C886" s="7">
        <f t="shared" si="65"/>
        <v>-4.3212099387829328E-3</v>
      </c>
      <c r="D886" s="6">
        <f>MAX($B886:$B$1261)</f>
        <v>58.02</v>
      </c>
      <c r="E886" s="7">
        <f t="shared" si="66"/>
        <v>-4.6880386073767766E-2</v>
      </c>
      <c r="G886" s="6">
        <v>7642.7</v>
      </c>
      <c r="H886" s="7">
        <f t="shared" si="67"/>
        <v>-3.6492101879670447E-4</v>
      </c>
      <c r="I886" s="6">
        <f>MAX($G886:$G$1261)</f>
        <v>8109.69</v>
      </c>
      <c r="J886" s="7">
        <f t="shared" si="68"/>
        <v>-5.7584198656175478E-2</v>
      </c>
      <c r="K886" s="6">
        <f t="shared" si="69"/>
        <v>127.72275904021173</v>
      </c>
    </row>
    <row r="887" spans="1:11" x14ac:dyDescent="0.25">
      <c r="A887" s="2">
        <f>DATE(2018,10,16)</f>
        <v>43389</v>
      </c>
      <c r="B887" s="6">
        <v>55.54</v>
      </c>
      <c r="C887" s="7">
        <f t="shared" si="65"/>
        <v>2.2083179977916645E-2</v>
      </c>
      <c r="D887" s="6">
        <f>MAX($B887:$B$1261)</f>
        <v>58.02</v>
      </c>
      <c r="E887" s="7">
        <f t="shared" si="66"/>
        <v>-4.2743881420200025E-2</v>
      </c>
      <c r="G887" s="6">
        <v>7645.49</v>
      </c>
      <c r="H887" s="7">
        <f t="shared" si="67"/>
        <v>2.8900217205823475E-2</v>
      </c>
      <c r="I887" s="6">
        <f>MAX($G887:$G$1261)</f>
        <v>8109.69</v>
      </c>
      <c r="J887" s="7">
        <f t="shared" si="68"/>
        <v>-5.7240165776990204E-2</v>
      </c>
      <c r="K887" s="6">
        <f t="shared" si="69"/>
        <v>127.76938477427458</v>
      </c>
    </row>
    <row r="888" spans="1:11" x14ac:dyDescent="0.25">
      <c r="A888" s="2">
        <f>DATE(2018,10,15)</f>
        <v>43388</v>
      </c>
      <c r="B888" s="6">
        <v>54.34</v>
      </c>
      <c r="C888" s="7">
        <f t="shared" si="65"/>
        <v>-2.1429857734557856E-2</v>
      </c>
      <c r="D888" s="6">
        <f>MAX($B888:$B$1261)</f>
        <v>58.02</v>
      </c>
      <c r="E888" s="7">
        <f t="shared" si="66"/>
        <v>-6.3426404688038618E-2</v>
      </c>
      <c r="G888" s="6">
        <v>7430.74</v>
      </c>
      <c r="H888" s="7">
        <f t="shared" si="67"/>
        <v>-8.8236588772144797E-3</v>
      </c>
      <c r="I888" s="6">
        <f>MAX($G888:$G$1261)</f>
        <v>8109.69</v>
      </c>
      <c r="J888" s="7">
        <f t="shared" si="68"/>
        <v>-8.3720832732200545E-2</v>
      </c>
      <c r="K888" s="6">
        <f t="shared" si="69"/>
        <v>124.18054019004578</v>
      </c>
    </row>
    <row r="889" spans="1:11" x14ac:dyDescent="0.25">
      <c r="A889" s="2">
        <f>DATE(2018,10,12)</f>
        <v>43385</v>
      </c>
      <c r="B889" s="6">
        <v>55.53</v>
      </c>
      <c r="C889" s="7">
        <f t="shared" si="65"/>
        <v>3.5814213766088399E-2</v>
      </c>
      <c r="D889" s="6">
        <f>MAX($B889:$B$1261)</f>
        <v>58.02</v>
      </c>
      <c r="E889" s="7">
        <f t="shared" si="66"/>
        <v>-4.2916235780765311E-2</v>
      </c>
      <c r="G889" s="6">
        <v>7496.89</v>
      </c>
      <c r="H889" s="7">
        <f t="shared" si="67"/>
        <v>2.2899253110221451E-2</v>
      </c>
      <c r="I889" s="6">
        <f>MAX($G889:$G$1261)</f>
        <v>8109.69</v>
      </c>
      <c r="J889" s="7">
        <f t="shared" si="68"/>
        <v>-7.5563924145065853E-2</v>
      </c>
      <c r="K889" s="6">
        <f t="shared" si="69"/>
        <v>125.28602130411673</v>
      </c>
    </row>
    <row r="890" spans="1:11" x14ac:dyDescent="0.25">
      <c r="A890" s="2">
        <f>DATE(2018,10,11)</f>
        <v>43384</v>
      </c>
      <c r="B890" s="6">
        <v>53.61</v>
      </c>
      <c r="C890" s="7">
        <f t="shared" si="65"/>
        <v>-8.8740987243484115E-3</v>
      </c>
      <c r="D890" s="6">
        <f>MAX($B890:$B$1261)</f>
        <v>58.02</v>
      </c>
      <c r="E890" s="7">
        <f t="shared" si="66"/>
        <v>-7.6008273009307237E-2</v>
      </c>
      <c r="G890" s="6">
        <v>7329.06</v>
      </c>
      <c r="H890" s="7">
        <f t="shared" si="67"/>
        <v>-1.2528883529483115E-2</v>
      </c>
      <c r="I890" s="6">
        <f>MAX($G890:$G$1261)</f>
        <v>8109.69</v>
      </c>
      <c r="J890" s="7">
        <f t="shared" si="68"/>
        <v>-9.6258919884730343E-2</v>
      </c>
      <c r="K890" s="6">
        <f t="shared" si="69"/>
        <v>122.48129121531059</v>
      </c>
    </row>
    <row r="891" spans="1:11" x14ac:dyDescent="0.25">
      <c r="A891" s="2">
        <f>DATE(2018,10,10)</f>
        <v>43383</v>
      </c>
      <c r="B891" s="6">
        <v>54.09</v>
      </c>
      <c r="C891" s="7">
        <f t="shared" si="65"/>
        <v>-4.6368124118476683E-2</v>
      </c>
      <c r="D891" s="6">
        <f>MAX($B891:$B$1261)</f>
        <v>58.02</v>
      </c>
      <c r="E891" s="7">
        <f t="shared" si="66"/>
        <v>-6.7735263702171644E-2</v>
      </c>
      <c r="G891" s="6">
        <v>7422.05</v>
      </c>
      <c r="H891" s="7">
        <f t="shared" si="67"/>
        <v>-4.0833443180555262E-2</v>
      </c>
      <c r="I891" s="6">
        <f>MAX($G891:$G$1261)</f>
        <v>8109.69</v>
      </c>
      <c r="J891" s="7">
        <f t="shared" si="68"/>
        <v>-8.4792390337978363E-2</v>
      </c>
      <c r="K891" s="6">
        <f t="shared" si="69"/>
        <v>124.03531523341275</v>
      </c>
    </row>
    <row r="892" spans="1:11" x14ac:dyDescent="0.25">
      <c r="A892" s="2">
        <f>DATE(2018,10,9)</f>
        <v>43382</v>
      </c>
      <c r="B892" s="6">
        <v>56.72</v>
      </c>
      <c r="C892" s="7">
        <f t="shared" si="65"/>
        <v>1.394351090454049E-2</v>
      </c>
      <c r="D892" s="6">
        <f>MAX($B892:$B$1261)</f>
        <v>58.02</v>
      </c>
      <c r="E892" s="7">
        <f t="shared" si="66"/>
        <v>-2.2406066873492003E-2</v>
      </c>
      <c r="G892" s="6">
        <v>7738.02</v>
      </c>
      <c r="H892" s="7">
        <f t="shared" si="67"/>
        <v>2.6758187423658875E-4</v>
      </c>
      <c r="I892" s="6">
        <f>MAX($G892:$G$1261)</f>
        <v>8109.69</v>
      </c>
      <c r="J892" s="7">
        <f t="shared" si="68"/>
        <v>-4.5830358497057078E-2</v>
      </c>
      <c r="K892" s="6">
        <f t="shared" si="69"/>
        <v>129.3157213953628</v>
      </c>
    </row>
    <row r="893" spans="1:11" x14ac:dyDescent="0.25">
      <c r="A893" s="2">
        <f>DATE(2018,10,8)</f>
        <v>43381</v>
      </c>
      <c r="B893" s="6">
        <v>55.94</v>
      </c>
      <c r="C893" s="7">
        <f t="shared" si="65"/>
        <v>-2.318530408418118E-3</v>
      </c>
      <c r="D893" s="6">
        <f>MAX($B893:$B$1261)</f>
        <v>58.02</v>
      </c>
      <c r="E893" s="7">
        <f t="shared" si="66"/>
        <v>-3.5849706997587161E-2</v>
      </c>
      <c r="G893" s="6">
        <v>7735.95</v>
      </c>
      <c r="H893" s="7">
        <f t="shared" si="67"/>
        <v>-6.7407507270381695E-3</v>
      </c>
      <c r="I893" s="6">
        <f>MAX($G893:$G$1261)</f>
        <v>8109.69</v>
      </c>
      <c r="J893" s="7">
        <f t="shared" si="68"/>
        <v>-4.608560869774303E-2</v>
      </c>
      <c r="K893" s="6">
        <f t="shared" si="69"/>
        <v>129.28112810880003</v>
      </c>
    </row>
    <row r="894" spans="1:11" x14ac:dyDescent="0.25">
      <c r="A894" s="2">
        <f>DATE(2018,10,5)</f>
        <v>43378</v>
      </c>
      <c r="B894" s="6">
        <v>56.07</v>
      </c>
      <c r="C894" s="7">
        <f t="shared" si="65"/>
        <v>-1.6315789473684172E-2</v>
      </c>
      <c r="D894" s="6">
        <f>MAX($B894:$B$1261)</f>
        <v>58.02</v>
      </c>
      <c r="E894" s="7">
        <f t="shared" si="66"/>
        <v>-3.3609100310237894E-2</v>
      </c>
      <c r="G894" s="6">
        <v>7788.45</v>
      </c>
      <c r="H894" s="7">
        <f t="shared" si="67"/>
        <v>-1.1556556181793076E-2</v>
      </c>
      <c r="I894" s="6">
        <f>MAX($G894:$G$1261)</f>
        <v>8109.69</v>
      </c>
      <c r="J894" s="7">
        <f t="shared" si="68"/>
        <v>-3.961187172382663E-2</v>
      </c>
      <c r="K894" s="6">
        <f t="shared" si="69"/>
        <v>130.15849407234842</v>
      </c>
    </row>
    <row r="895" spans="1:11" x14ac:dyDescent="0.25">
      <c r="A895" s="2">
        <f>DATE(2018,10,4)</f>
        <v>43377</v>
      </c>
      <c r="B895" s="6">
        <v>57</v>
      </c>
      <c r="C895" s="7">
        <f t="shared" si="65"/>
        <v>-1.7580144777662898E-2</v>
      </c>
      <c r="D895" s="6">
        <f>MAX($B895:$B$1261)</f>
        <v>58.02</v>
      </c>
      <c r="E895" s="7">
        <f t="shared" si="66"/>
        <v>-1.7580144777662898E-2</v>
      </c>
      <c r="G895" s="6">
        <v>7879.51</v>
      </c>
      <c r="H895" s="7">
        <f t="shared" si="67"/>
        <v>-1.8140606522792924E-2</v>
      </c>
      <c r="I895" s="6">
        <f>MAX($G895:$G$1261)</f>
        <v>8109.69</v>
      </c>
      <c r="J895" s="7">
        <f t="shared" si="68"/>
        <v>-2.83833290791633E-2</v>
      </c>
      <c r="K895" s="6">
        <f t="shared" si="69"/>
        <v>131.68026444645727</v>
      </c>
    </row>
    <row r="896" spans="1:11" x14ac:dyDescent="0.25">
      <c r="A896" s="2">
        <f>DATE(2018,10,3)</f>
        <v>43376</v>
      </c>
      <c r="B896" s="6">
        <v>58.02</v>
      </c>
      <c r="C896" s="7">
        <f t="shared" si="65"/>
        <v>1.2212142358688061E-2</v>
      </c>
      <c r="D896" s="6">
        <f>MAX($B896:$B$1261)</f>
        <v>58.02</v>
      </c>
      <c r="E896" s="7">
        <f t="shared" si="66"/>
        <v>0</v>
      </c>
      <c r="G896" s="6">
        <v>8025.09</v>
      </c>
      <c r="H896" s="7">
        <f t="shared" si="67"/>
        <v>3.1926795882268877E-3</v>
      </c>
      <c r="I896" s="6">
        <f>MAX($G896:$G$1261)</f>
        <v>8109.69</v>
      </c>
      <c r="J896" s="7">
        <f t="shared" si="68"/>
        <v>-1.0431964723682352E-2</v>
      </c>
      <c r="K896" s="6">
        <f t="shared" si="69"/>
        <v>134.1131584840453</v>
      </c>
    </row>
    <row r="897" spans="1:11" x14ac:dyDescent="0.25">
      <c r="A897" s="2">
        <f>DATE(2018,10,2)</f>
        <v>43375</v>
      </c>
      <c r="B897" s="6">
        <v>57.32</v>
      </c>
      <c r="C897" s="7">
        <f t="shared" si="65"/>
        <v>8.9772927301530192E-3</v>
      </c>
      <c r="D897" s="6">
        <f>MAX($B897:$B$1261)</f>
        <v>57.32</v>
      </c>
      <c r="E897" s="7">
        <f t="shared" si="66"/>
        <v>0</v>
      </c>
      <c r="G897" s="6">
        <v>7999.55</v>
      </c>
      <c r="H897" s="7">
        <f t="shared" si="67"/>
        <v>-4.6968509325271413E-3</v>
      </c>
      <c r="I897" s="6">
        <f>MAX($G897:$G$1261)</f>
        <v>8109.69</v>
      </c>
      <c r="J897" s="7">
        <f t="shared" si="68"/>
        <v>-1.3581283624898077E-2</v>
      </c>
      <c r="K897" s="6">
        <f t="shared" si="69"/>
        <v>133.68634083244481</v>
      </c>
    </row>
    <row r="898" spans="1:11" x14ac:dyDescent="0.25">
      <c r="A898" s="2">
        <f>DATE(2018,10,1)</f>
        <v>43374</v>
      </c>
      <c r="B898" s="6">
        <v>56.81</v>
      </c>
      <c r="C898" s="7">
        <f t="shared" ref="C898:C961" si="70">IFERROR(B898/B899-1,0)</f>
        <v>6.5556343019135266E-3</v>
      </c>
      <c r="D898" s="6">
        <f>MAX($B898:$B$1261)</f>
        <v>57.09</v>
      </c>
      <c r="E898" s="7">
        <f t="shared" ref="E898:E961" si="71">$B898/$D898-1</f>
        <v>-4.904536696444195E-3</v>
      </c>
      <c r="G898" s="6">
        <v>8037.3</v>
      </c>
      <c r="H898" s="7">
        <f t="shared" ref="H898:H961" si="72">IFERROR(G898/G899-1,0)</f>
        <v>-1.124733574850767E-3</v>
      </c>
      <c r="I898" s="6">
        <f>MAX($G898:$G$1261)</f>
        <v>8109.69</v>
      </c>
      <c r="J898" s="7">
        <f t="shared" ref="J898:J961" si="73">$G898/$I898-1</f>
        <v>-8.9263584674629248E-3</v>
      </c>
      <c r="K898" s="6">
        <f t="shared" ref="K898:K961" si="74">$K899*(1+H898)</f>
        <v>134.31720873956769</v>
      </c>
    </row>
    <row r="899" spans="1:11" x14ac:dyDescent="0.25">
      <c r="A899" s="2">
        <f>DATE(2018,9,28)</f>
        <v>43371</v>
      </c>
      <c r="B899" s="6">
        <v>56.44</v>
      </c>
      <c r="C899" s="7">
        <f t="shared" si="70"/>
        <v>3.5561877667140696E-3</v>
      </c>
      <c r="D899" s="6">
        <f>MAX($B899:$B$1261)</f>
        <v>57.09</v>
      </c>
      <c r="E899" s="7">
        <f t="shared" si="71"/>
        <v>-1.1385531616745603E-2</v>
      </c>
      <c r="G899" s="6">
        <v>8046.35</v>
      </c>
      <c r="H899" s="7">
        <f t="shared" si="72"/>
        <v>5.4464266840081876E-4</v>
      </c>
      <c r="I899" s="6">
        <f>MAX($G899:$G$1261)</f>
        <v>8109.69</v>
      </c>
      <c r="J899" s="7">
        <f t="shared" si="73"/>
        <v>-7.8104095224353909E-3</v>
      </c>
      <c r="K899" s="6">
        <f t="shared" si="74"/>
        <v>134.46844991995079</v>
      </c>
    </row>
    <row r="900" spans="1:11" x14ac:dyDescent="0.25">
      <c r="A900" s="2">
        <f>DATE(2018,9,27)</f>
        <v>43370</v>
      </c>
      <c r="B900" s="6">
        <v>56.24</v>
      </c>
      <c r="C900" s="7">
        <f t="shared" si="70"/>
        <v>2.0689655172413834E-2</v>
      </c>
      <c r="D900" s="6">
        <f>MAX($B900:$B$1261)</f>
        <v>57.09</v>
      </c>
      <c r="E900" s="7">
        <f t="shared" si="71"/>
        <v>-1.4888772114205695E-2</v>
      </c>
      <c r="G900" s="6">
        <v>8041.97</v>
      </c>
      <c r="H900" s="7">
        <f t="shared" si="72"/>
        <v>6.4577735449047324E-3</v>
      </c>
      <c r="I900" s="6">
        <f>MAX($G900:$G$1261)</f>
        <v>8109.69</v>
      </c>
      <c r="J900" s="7">
        <f t="shared" si="73"/>
        <v>-8.3505041499736254E-3</v>
      </c>
      <c r="K900" s="6">
        <f t="shared" si="74"/>
        <v>134.39525253099191</v>
      </c>
    </row>
    <row r="901" spans="1:11" x14ac:dyDescent="0.25">
      <c r="A901" s="2">
        <f>DATE(2018,9,26)</f>
        <v>43369</v>
      </c>
      <c r="B901" s="6">
        <v>55.1</v>
      </c>
      <c r="C901" s="7">
        <f t="shared" si="70"/>
        <v>-8.1008100810080474E-3</v>
      </c>
      <c r="D901" s="6">
        <f>MAX($B901:$B$1261)</f>
        <v>57.09</v>
      </c>
      <c r="E901" s="7">
        <f t="shared" si="71"/>
        <v>-3.4857242949728584E-2</v>
      </c>
      <c r="G901" s="6">
        <v>7990.37</v>
      </c>
      <c r="H901" s="7">
        <f t="shared" si="72"/>
        <v>-2.1355059712993008E-3</v>
      </c>
      <c r="I901" s="6">
        <f>MAX($G901:$G$1261)</f>
        <v>8109.69</v>
      </c>
      <c r="J901" s="7">
        <f t="shared" si="73"/>
        <v>-1.471326277576579E-2</v>
      </c>
      <c r="K901" s="6">
        <f t="shared" si="74"/>
        <v>133.53292712681866</v>
      </c>
    </row>
    <row r="902" spans="1:11" x14ac:dyDescent="0.25">
      <c r="A902" s="2">
        <f>DATE(2018,9,25)</f>
        <v>43368</v>
      </c>
      <c r="B902" s="6">
        <v>55.55</v>
      </c>
      <c r="C902" s="7">
        <f t="shared" si="70"/>
        <v>6.3405797101447892E-3</v>
      </c>
      <c r="D902" s="6">
        <f>MAX($B902:$B$1261)</f>
        <v>57.09</v>
      </c>
      <c r="E902" s="7">
        <f t="shared" si="71"/>
        <v>-2.6974951830443294E-2</v>
      </c>
      <c r="G902" s="6">
        <v>8007.47</v>
      </c>
      <c r="H902" s="7">
        <f t="shared" si="72"/>
        <v>1.7790010321208083E-3</v>
      </c>
      <c r="I902" s="6">
        <f>MAX($G902:$G$1261)</f>
        <v>8109.69</v>
      </c>
      <c r="J902" s="7">
        <f t="shared" si="73"/>
        <v>-1.2604674161404317E-2</v>
      </c>
      <c r="K902" s="6">
        <f t="shared" si="74"/>
        <v>133.81869775494584</v>
      </c>
    </row>
    <row r="903" spans="1:11" x14ac:dyDescent="0.25">
      <c r="A903" s="2">
        <f>DATE(2018,9,24)</f>
        <v>43367</v>
      </c>
      <c r="B903" s="6">
        <v>55.2</v>
      </c>
      <c r="C903" s="7">
        <f t="shared" si="70"/>
        <v>1.4332965821389321E-2</v>
      </c>
      <c r="D903" s="6">
        <f>MAX($B903:$B$1261)</f>
        <v>57.09</v>
      </c>
      <c r="E903" s="7">
        <f t="shared" si="71"/>
        <v>-3.3105622700998483E-2</v>
      </c>
      <c r="G903" s="6">
        <v>7993.25</v>
      </c>
      <c r="H903" s="7">
        <f t="shared" si="72"/>
        <v>7.8753367989814471E-4</v>
      </c>
      <c r="I903" s="6">
        <f>MAX($G903:$G$1261)</f>
        <v>8109.69</v>
      </c>
      <c r="J903" s="7">
        <f t="shared" si="73"/>
        <v>-1.4358132061768059E-2</v>
      </c>
      <c r="K903" s="6">
        <f t="shared" si="74"/>
        <v>133.58105691681902</v>
      </c>
    </row>
    <row r="904" spans="1:11" x14ac:dyDescent="0.25">
      <c r="A904" s="2">
        <f>DATE(2018,9,21)</f>
        <v>43364</v>
      </c>
      <c r="B904" s="6">
        <v>54.42</v>
      </c>
      <c r="C904" s="7">
        <f t="shared" si="70"/>
        <v>-1.0725322668605597E-2</v>
      </c>
      <c r="D904" s="6">
        <f>MAX($B904:$B$1261)</f>
        <v>57.09</v>
      </c>
      <c r="E904" s="7">
        <f t="shared" si="71"/>
        <v>-4.6768260641093073E-2</v>
      </c>
      <c r="G904" s="6">
        <v>7986.96</v>
      </c>
      <c r="H904" s="7">
        <f t="shared" si="72"/>
        <v>-5.1406100722076742E-3</v>
      </c>
      <c r="I904" s="6">
        <f>MAX($G904:$G$1261)</f>
        <v>8109.69</v>
      </c>
      <c r="J904" s="7">
        <f t="shared" si="73"/>
        <v>-1.5133747405881026E-2</v>
      </c>
      <c r="K904" s="6">
        <f t="shared" si="74"/>
        <v>133.47594011851962</v>
      </c>
    </row>
    <row r="905" spans="1:11" x14ac:dyDescent="0.25">
      <c r="A905" s="2">
        <f>DATE(2018,9,20)</f>
        <v>43363</v>
      </c>
      <c r="B905" s="6">
        <v>55.01</v>
      </c>
      <c r="C905" s="7">
        <f t="shared" si="70"/>
        <v>7.6937167979482801E-3</v>
      </c>
      <c r="D905" s="6">
        <f>MAX($B905:$B$1261)</f>
        <v>57.09</v>
      </c>
      <c r="E905" s="7">
        <f t="shared" si="71"/>
        <v>-3.6433701173585686E-2</v>
      </c>
      <c r="G905" s="6">
        <v>8028.23</v>
      </c>
      <c r="H905" s="7">
        <f t="shared" si="72"/>
        <v>9.8351706406507589E-3</v>
      </c>
      <c r="I905" s="6">
        <f>MAX($G905:$G$1261)</f>
        <v>8109.69</v>
      </c>
      <c r="J905" s="7">
        <f t="shared" si="73"/>
        <v>-1.0044773598004375E-2</v>
      </c>
      <c r="K905" s="6">
        <f t="shared" si="74"/>
        <v>134.16563332453183</v>
      </c>
    </row>
    <row r="906" spans="1:11" x14ac:dyDescent="0.25">
      <c r="A906" s="2">
        <f>DATE(2018,9,19)</f>
        <v>43362</v>
      </c>
      <c r="B906" s="6">
        <v>54.59</v>
      </c>
      <c r="C906" s="7">
        <f t="shared" si="70"/>
        <v>5.498533724339616E-4</v>
      </c>
      <c r="D906" s="6">
        <f>MAX($B906:$B$1261)</f>
        <v>57.09</v>
      </c>
      <c r="E906" s="7">
        <f t="shared" si="71"/>
        <v>-4.3790506218251868E-2</v>
      </c>
      <c r="G906" s="6">
        <v>7950.04</v>
      </c>
      <c r="H906" s="7">
        <f t="shared" si="72"/>
        <v>-7.6293565574125921E-4</v>
      </c>
      <c r="I906" s="6">
        <f>MAX($G906:$G$1261)</f>
        <v>8109.69</v>
      </c>
      <c r="J906" s="7">
        <f t="shared" si="73"/>
        <v>-1.9686325864490484E-2</v>
      </c>
      <c r="K906" s="6">
        <f t="shared" si="74"/>
        <v>132.85894294948713</v>
      </c>
    </row>
    <row r="907" spans="1:11" x14ac:dyDescent="0.25">
      <c r="A907" s="2">
        <f>DATE(2018,9,18)</f>
        <v>43361</v>
      </c>
      <c r="B907" s="6">
        <v>54.56</v>
      </c>
      <c r="C907" s="7">
        <f t="shared" si="70"/>
        <v>1.6522856618321757E-3</v>
      </c>
      <c r="D907" s="6">
        <f>MAX($B907:$B$1261)</f>
        <v>57.09</v>
      </c>
      <c r="E907" s="7">
        <f t="shared" si="71"/>
        <v>-4.4315992292870976E-2</v>
      </c>
      <c r="G907" s="6">
        <v>7956.11</v>
      </c>
      <c r="H907" s="7">
        <f t="shared" si="72"/>
        <v>7.6395142221361567E-3</v>
      </c>
      <c r="I907" s="6">
        <f>MAX($G907:$G$1261)</f>
        <v>8109.69</v>
      </c>
      <c r="J907" s="7">
        <f t="shared" si="73"/>
        <v>-1.893783856103004E-2</v>
      </c>
      <c r="K907" s="6">
        <f t="shared" si="74"/>
        <v>132.96038316660596</v>
      </c>
    </row>
    <row r="908" spans="1:11" x14ac:dyDescent="0.25">
      <c r="A908" s="2">
        <f>DATE(2018,9,17)</f>
        <v>43360</v>
      </c>
      <c r="B908" s="6">
        <v>54.47</v>
      </c>
      <c r="C908" s="7">
        <f t="shared" si="70"/>
        <v>-2.6626161543960025E-2</v>
      </c>
      <c r="D908" s="6">
        <f>MAX($B908:$B$1261)</f>
        <v>57.09</v>
      </c>
      <c r="E908" s="7">
        <f t="shared" si="71"/>
        <v>-4.5892450516728078E-2</v>
      </c>
      <c r="G908" s="6">
        <v>7895.79</v>
      </c>
      <c r="H908" s="7">
        <f t="shared" si="72"/>
        <v>-1.4263349496382083E-2</v>
      </c>
      <c r="I908" s="6">
        <f>MAX($G908:$G$1261)</f>
        <v>8109.69</v>
      </c>
      <c r="J908" s="7">
        <f t="shared" si="73"/>
        <v>-2.637585407087073E-2</v>
      </c>
      <c r="K908" s="6">
        <f t="shared" si="74"/>
        <v>131.95233145382048</v>
      </c>
    </row>
    <row r="909" spans="1:11" x14ac:dyDescent="0.25">
      <c r="A909" s="2">
        <f>DATE(2018,9,14)</f>
        <v>43357</v>
      </c>
      <c r="B909" s="6">
        <v>55.96</v>
      </c>
      <c r="C909" s="7">
        <f t="shared" si="70"/>
        <v>-1.1307420494699683E-2</v>
      </c>
      <c r="D909" s="6">
        <f>MAX($B909:$B$1261)</f>
        <v>57.09</v>
      </c>
      <c r="E909" s="7">
        <f t="shared" si="71"/>
        <v>-1.979330881064989E-2</v>
      </c>
      <c r="G909" s="6">
        <v>8010.04</v>
      </c>
      <c r="H909" s="7">
        <f t="shared" si="72"/>
        <v>-4.5796516220331096E-4</v>
      </c>
      <c r="I909" s="6">
        <f>MAX($G909:$G$1261)</f>
        <v>8109.69</v>
      </c>
      <c r="J909" s="7">
        <f t="shared" si="73"/>
        <v>-1.2287769322871678E-2</v>
      </c>
      <c r="K909" s="6">
        <f t="shared" si="74"/>
        <v>133.86164690782812</v>
      </c>
    </row>
    <row r="910" spans="1:11" x14ac:dyDescent="0.25">
      <c r="A910" s="2">
        <f>DATE(2018,9,13)</f>
        <v>43356</v>
      </c>
      <c r="B910" s="6">
        <v>56.6</v>
      </c>
      <c r="C910" s="7">
        <f t="shared" si="70"/>
        <v>2.4063687352994467E-2</v>
      </c>
      <c r="D910" s="6">
        <f>MAX($B910:$B$1261)</f>
        <v>57.09</v>
      </c>
      <c r="E910" s="7">
        <f t="shared" si="71"/>
        <v>-8.5829392187773967E-3</v>
      </c>
      <c r="G910" s="6">
        <v>8013.71</v>
      </c>
      <c r="H910" s="7">
        <f t="shared" si="72"/>
        <v>7.477782261765098E-3</v>
      </c>
      <c r="I910" s="6">
        <f>MAX($G910:$G$1261)</f>
        <v>8109.69</v>
      </c>
      <c r="J910" s="7">
        <f t="shared" si="73"/>
        <v>-1.1835224281076084E-2</v>
      </c>
      <c r="K910" s="6">
        <f t="shared" si="74"/>
        <v>133.9229789666133</v>
      </c>
    </row>
    <row r="911" spans="1:11" x14ac:dyDescent="0.25">
      <c r="A911" s="2">
        <f>DATE(2018,9,12)</f>
        <v>43355</v>
      </c>
      <c r="B911" s="6">
        <v>55.27</v>
      </c>
      <c r="C911" s="7">
        <f t="shared" si="70"/>
        <v>-1.2330235882773377E-2</v>
      </c>
      <c r="D911" s="6">
        <f>MAX($B911:$B$1261)</f>
        <v>57.09</v>
      </c>
      <c r="E911" s="7">
        <f t="shared" si="71"/>
        <v>-3.1879488526887378E-2</v>
      </c>
      <c r="G911" s="6">
        <v>7954.23</v>
      </c>
      <c r="H911" s="7">
        <f t="shared" si="72"/>
        <v>-2.2878731434550215E-3</v>
      </c>
      <c r="I911" s="6">
        <f>MAX($G911:$G$1261)</f>
        <v>8109.69</v>
      </c>
      <c r="J911" s="7">
        <f t="shared" si="73"/>
        <v>-1.9169659999334177E-2</v>
      </c>
      <c r="K911" s="6">
        <f t="shared" si="74"/>
        <v>132.92896510924459</v>
      </c>
    </row>
    <row r="912" spans="1:11" x14ac:dyDescent="0.25">
      <c r="A912" s="2">
        <f>DATE(2018,9,11)</f>
        <v>43354</v>
      </c>
      <c r="B912" s="6">
        <v>55.96</v>
      </c>
      <c r="C912" s="7">
        <f t="shared" si="70"/>
        <v>2.5283986808354753E-2</v>
      </c>
      <c r="D912" s="6">
        <f>MAX($B912:$B$1261)</f>
        <v>57.09</v>
      </c>
      <c r="E912" s="7">
        <f t="shared" si="71"/>
        <v>-1.979330881064989E-2</v>
      </c>
      <c r="G912" s="6">
        <v>7972.47</v>
      </c>
      <c r="H912" s="7">
        <f t="shared" si="72"/>
        <v>6.0965452489600835E-3</v>
      </c>
      <c r="I912" s="6">
        <f>MAX($G912:$G$1261)</f>
        <v>8109.69</v>
      </c>
      <c r="J912" s="7">
        <f t="shared" si="73"/>
        <v>-1.6920498810681917E-2</v>
      </c>
      <c r="K912" s="6">
        <f t="shared" si="74"/>
        <v>133.23378711258027</v>
      </c>
    </row>
    <row r="913" spans="1:11" x14ac:dyDescent="0.25">
      <c r="A913" s="2">
        <f>DATE(2018,9,10)</f>
        <v>43353</v>
      </c>
      <c r="B913" s="6">
        <v>54.58</v>
      </c>
      <c r="C913" s="7">
        <f t="shared" si="70"/>
        <v>-1.3555033435749153E-2</v>
      </c>
      <c r="D913" s="6">
        <f>MAX($B913:$B$1261)</f>
        <v>57.09</v>
      </c>
      <c r="E913" s="7">
        <f t="shared" si="71"/>
        <v>-4.3965668243124978E-2</v>
      </c>
      <c r="G913" s="6">
        <v>7924.16</v>
      </c>
      <c r="H913" s="7">
        <f t="shared" si="72"/>
        <v>2.7358292397128281E-3</v>
      </c>
      <c r="I913" s="6">
        <f>MAX($G913:$G$1261)</f>
        <v>8109.69</v>
      </c>
      <c r="J913" s="7">
        <f t="shared" si="73"/>
        <v>-2.2877569919442009E-2</v>
      </c>
      <c r="K913" s="6">
        <f t="shared" si="74"/>
        <v>132.4264433087894</v>
      </c>
    </row>
    <row r="914" spans="1:11" x14ac:dyDescent="0.25">
      <c r="A914" s="2">
        <f>DATE(2018,9,7)</f>
        <v>43350</v>
      </c>
      <c r="B914" s="6">
        <v>55.33</v>
      </c>
      <c r="C914" s="7">
        <f t="shared" si="70"/>
        <v>-8.0674076730011812E-3</v>
      </c>
      <c r="D914" s="6">
        <f>MAX($B914:$B$1261)</f>
        <v>57.09</v>
      </c>
      <c r="E914" s="7">
        <f t="shared" si="71"/>
        <v>-3.0828516377649384E-2</v>
      </c>
      <c r="G914" s="6">
        <v>7902.54</v>
      </c>
      <c r="H914" s="7">
        <f t="shared" si="72"/>
        <v>-2.5483640108900918E-3</v>
      </c>
      <c r="I914" s="6">
        <f>MAX($G914:$G$1261)</f>
        <v>8109.69</v>
      </c>
      <c r="J914" s="7">
        <f t="shared" si="73"/>
        <v>-2.5543516459938576E-2</v>
      </c>
      <c r="K914" s="6">
        <f t="shared" si="74"/>
        <v>132.06513564913385</v>
      </c>
    </row>
    <row r="915" spans="1:11" x14ac:dyDescent="0.25">
      <c r="A915" s="2">
        <f>DATE(2018,9,6)</f>
        <v>43349</v>
      </c>
      <c r="B915" s="6">
        <v>55.78</v>
      </c>
      <c r="C915" s="7">
        <f t="shared" si="70"/>
        <v>-1.6572637517630384E-2</v>
      </c>
      <c r="D915" s="6">
        <f>MAX($B915:$B$1261)</f>
        <v>57.09</v>
      </c>
      <c r="E915" s="7">
        <f t="shared" si="71"/>
        <v>-2.2946225258363984E-2</v>
      </c>
      <c r="G915" s="6">
        <v>7922.73</v>
      </c>
      <c r="H915" s="7">
        <f t="shared" si="72"/>
        <v>-9.0604702589188735E-3</v>
      </c>
      <c r="I915" s="6">
        <f>MAX($G915:$G$1261)</f>
        <v>8109.69</v>
      </c>
      <c r="J915" s="7">
        <f t="shared" si="73"/>
        <v>-2.3053902183683972E-2</v>
      </c>
      <c r="K915" s="6">
        <f t="shared" si="74"/>
        <v>132.40254553111558</v>
      </c>
    </row>
    <row r="916" spans="1:11" x14ac:dyDescent="0.25">
      <c r="A916" s="2">
        <f>DATE(2018,9,5)</f>
        <v>43348</v>
      </c>
      <c r="B916" s="6">
        <v>56.72</v>
      </c>
      <c r="C916" s="7">
        <f t="shared" si="70"/>
        <v>-6.4809949203014083E-3</v>
      </c>
      <c r="D916" s="6">
        <f>MAX($B916:$B$1261)</f>
        <v>57.09</v>
      </c>
      <c r="E916" s="7">
        <f t="shared" si="71"/>
        <v>-6.4809949203014083E-3</v>
      </c>
      <c r="G916" s="6">
        <v>7995.17</v>
      </c>
      <c r="H916" s="7">
        <f t="shared" si="72"/>
        <v>-1.1874555847365964E-2</v>
      </c>
      <c r="I916" s="6">
        <f>MAX($G916:$G$1261)</f>
        <v>8109.69</v>
      </c>
      <c r="J916" s="7">
        <f t="shared" si="73"/>
        <v>-1.4121378252436201E-2</v>
      </c>
      <c r="K916" s="6">
        <f t="shared" si="74"/>
        <v>133.61314344348594</v>
      </c>
    </row>
    <row r="917" spans="1:11" x14ac:dyDescent="0.25">
      <c r="A917" s="2">
        <f>DATE(2018,9,4)</f>
        <v>43347</v>
      </c>
      <c r="B917" s="6">
        <v>57.09</v>
      </c>
      <c r="C917" s="7">
        <f t="shared" si="70"/>
        <v>3.1628887717449761E-3</v>
      </c>
      <c r="D917" s="6">
        <f>MAX($B917:$B$1261)</f>
        <v>57.09</v>
      </c>
      <c r="E917" s="7">
        <f t="shared" si="71"/>
        <v>0</v>
      </c>
      <c r="G917" s="6">
        <v>8091.25</v>
      </c>
      <c r="H917" s="7">
        <f t="shared" si="72"/>
        <v>-2.2553683686127313E-3</v>
      </c>
      <c r="I917" s="6">
        <f>MAX($G917:$G$1261)</f>
        <v>8109.69</v>
      </c>
      <c r="J917" s="7">
        <f t="shared" si="73"/>
        <v>-2.2738230437907569E-3</v>
      </c>
      <c r="K917" s="6">
        <f t="shared" si="74"/>
        <v>135.21880671544264</v>
      </c>
    </row>
    <row r="918" spans="1:11" x14ac:dyDescent="0.25">
      <c r="A918" s="2">
        <f>DATE(2018,8,31)</f>
        <v>43343</v>
      </c>
      <c r="B918" s="6">
        <v>56.91</v>
      </c>
      <c r="C918" s="7">
        <f t="shared" si="70"/>
        <v>1.1553501599715688E-2</v>
      </c>
      <c r="D918" s="6">
        <f>MAX($B918:$B$1261)</f>
        <v>56.91</v>
      </c>
      <c r="E918" s="7">
        <f t="shared" si="71"/>
        <v>0</v>
      </c>
      <c r="G918" s="6">
        <v>8109.54</v>
      </c>
      <c r="H918" s="7">
        <f t="shared" si="72"/>
        <v>2.618577808109368E-3</v>
      </c>
      <c r="I918" s="6">
        <f>MAX($G918:$G$1261)</f>
        <v>8109.69</v>
      </c>
      <c r="J918" s="7">
        <f t="shared" si="73"/>
        <v>-1.8496391353983732E-5</v>
      </c>
      <c r="K918" s="6">
        <f t="shared" si="74"/>
        <v>135.52446430541025</v>
      </c>
    </row>
    <row r="919" spans="1:11" x14ac:dyDescent="0.25">
      <c r="A919" s="2">
        <f>DATE(2018,8,30)</f>
        <v>43342</v>
      </c>
      <c r="B919" s="6">
        <v>56.26</v>
      </c>
      <c r="C919" s="7">
        <f t="shared" si="70"/>
        <v>9.3290276282740336E-3</v>
      </c>
      <c r="D919" s="6">
        <f>MAX($B919:$B$1261)</f>
        <v>56.26</v>
      </c>
      <c r="E919" s="7">
        <f t="shared" si="71"/>
        <v>0</v>
      </c>
      <c r="G919" s="6">
        <v>8088.36</v>
      </c>
      <c r="H919" s="7">
        <f t="shared" si="72"/>
        <v>-2.6301868505455017E-3</v>
      </c>
      <c r="I919" s="6">
        <f>MAX($G919:$G$1261)</f>
        <v>8109.69</v>
      </c>
      <c r="J919" s="7">
        <f t="shared" si="73"/>
        <v>-2.6301868505455017E-3</v>
      </c>
      <c r="K919" s="6">
        <f t="shared" si="74"/>
        <v>135.1705098081159</v>
      </c>
    </row>
    <row r="920" spans="1:11" x14ac:dyDescent="0.25">
      <c r="A920" s="2">
        <f>DATE(2018,8,29)</f>
        <v>43341</v>
      </c>
      <c r="B920" s="6">
        <v>55.74</v>
      </c>
      <c r="C920" s="7">
        <f t="shared" si="70"/>
        <v>1.4930808448652577E-2</v>
      </c>
      <c r="D920" s="6">
        <f>MAX($B920:$B$1261)</f>
        <v>55.74</v>
      </c>
      <c r="E920" s="7">
        <f t="shared" si="71"/>
        <v>0</v>
      </c>
      <c r="G920" s="6">
        <v>8109.69</v>
      </c>
      <c r="H920" s="7">
        <f t="shared" si="72"/>
        <v>9.9190041394563444E-3</v>
      </c>
      <c r="I920" s="6">
        <f>MAX($G920:$G$1261)</f>
        <v>8109.69</v>
      </c>
      <c r="J920" s="7">
        <f t="shared" si="73"/>
        <v>0</v>
      </c>
      <c r="K920" s="6">
        <f t="shared" si="74"/>
        <v>135.52697106530613</v>
      </c>
    </row>
    <row r="921" spans="1:11" x14ac:dyDescent="0.25">
      <c r="A921" s="2">
        <f>DATE(2018,8,28)</f>
        <v>43340</v>
      </c>
      <c r="B921" s="6">
        <v>54.92</v>
      </c>
      <c r="C921" s="7">
        <f t="shared" si="70"/>
        <v>7.8913562121489811E-3</v>
      </c>
      <c r="D921" s="6">
        <f>MAX($B921:$B$1261)</f>
        <v>54.92</v>
      </c>
      <c r="E921" s="7">
        <f t="shared" si="71"/>
        <v>0</v>
      </c>
      <c r="G921" s="6">
        <v>8030.04</v>
      </c>
      <c r="H921" s="7">
        <f t="shared" si="72"/>
        <v>1.5141121740107621E-3</v>
      </c>
      <c r="I921" s="6">
        <f>MAX($G921:$G$1261)</f>
        <v>8030.04</v>
      </c>
      <c r="J921" s="7">
        <f t="shared" si="73"/>
        <v>0</v>
      </c>
      <c r="K921" s="6">
        <f t="shared" si="74"/>
        <v>134.19588156060846</v>
      </c>
    </row>
    <row r="922" spans="1:11" x14ac:dyDescent="0.25">
      <c r="A922" s="2">
        <f>DATE(2018,8,27)</f>
        <v>43339</v>
      </c>
      <c r="B922" s="6">
        <v>54.49</v>
      </c>
      <c r="C922" s="7">
        <f t="shared" si="70"/>
        <v>8.3271650629164196E-3</v>
      </c>
      <c r="D922" s="6">
        <f>MAX($B922:$B$1261)</f>
        <v>54.49</v>
      </c>
      <c r="E922" s="7">
        <f t="shared" si="71"/>
        <v>0</v>
      </c>
      <c r="G922" s="6">
        <v>8017.9</v>
      </c>
      <c r="H922" s="7">
        <f t="shared" si="72"/>
        <v>9.0511176720806663E-3</v>
      </c>
      <c r="I922" s="6">
        <f>MAX($G922:$G$1261)</f>
        <v>8017.9</v>
      </c>
      <c r="J922" s="7">
        <f t="shared" si="73"/>
        <v>0</v>
      </c>
      <c r="K922" s="6">
        <f t="shared" si="74"/>
        <v>133.99300112637079</v>
      </c>
    </row>
    <row r="923" spans="1:11" x14ac:dyDescent="0.25">
      <c r="A923" s="2">
        <f>DATE(2018,8,24)</f>
        <v>43336</v>
      </c>
      <c r="B923" s="6">
        <v>54.04</v>
      </c>
      <c r="C923" s="7">
        <f t="shared" si="70"/>
        <v>3.1557453127901702E-3</v>
      </c>
      <c r="D923" s="6">
        <f>MAX($B923:$B$1261)</f>
        <v>54.4</v>
      </c>
      <c r="E923" s="7">
        <f t="shared" si="71"/>
        <v>-6.6176470588235059E-3</v>
      </c>
      <c r="G923" s="6">
        <v>7945.98</v>
      </c>
      <c r="H923" s="7">
        <f t="shared" si="72"/>
        <v>8.5702028061320767E-3</v>
      </c>
      <c r="I923" s="6">
        <f>MAX($G923:$G$1261)</f>
        <v>7945.98</v>
      </c>
      <c r="J923" s="7">
        <f t="shared" si="73"/>
        <v>0</v>
      </c>
      <c r="K923" s="6">
        <f t="shared" si="74"/>
        <v>132.79109331497273</v>
      </c>
    </row>
    <row r="924" spans="1:11" x14ac:dyDescent="0.25">
      <c r="A924" s="2">
        <f>DATE(2018,8,23)</f>
        <v>43335</v>
      </c>
      <c r="B924" s="6">
        <v>53.87</v>
      </c>
      <c r="C924" s="7">
        <f t="shared" si="70"/>
        <v>2.0461309523809312E-3</v>
      </c>
      <c r="D924" s="6">
        <f>MAX($B924:$B$1261)</f>
        <v>54.4</v>
      </c>
      <c r="E924" s="7">
        <f t="shared" si="71"/>
        <v>-9.7426470588235503E-3</v>
      </c>
      <c r="G924" s="6">
        <v>7878.46</v>
      </c>
      <c r="H924" s="7">
        <f t="shared" si="72"/>
        <v>-1.3486963024933463E-3</v>
      </c>
      <c r="I924" s="6">
        <f>MAX($G924:$G$1261)</f>
        <v>7932.24</v>
      </c>
      <c r="J924" s="7">
        <f t="shared" si="73"/>
        <v>-6.7799259729911521E-3</v>
      </c>
      <c r="K924" s="6">
        <f t="shared" si="74"/>
        <v>131.66271712718634</v>
      </c>
    </row>
    <row r="925" spans="1:11" x14ac:dyDescent="0.25">
      <c r="A925" s="2">
        <f>DATE(2018,8,22)</f>
        <v>43334</v>
      </c>
      <c r="B925" s="6">
        <v>53.76</v>
      </c>
      <c r="C925" s="7">
        <f t="shared" si="70"/>
        <v>0</v>
      </c>
      <c r="D925" s="6">
        <f>MAX($B925:$B$1261)</f>
        <v>54.4</v>
      </c>
      <c r="E925" s="7">
        <f t="shared" si="71"/>
        <v>-1.1764705882352899E-2</v>
      </c>
      <c r="G925" s="6">
        <v>7889.1</v>
      </c>
      <c r="H925" s="7">
        <f t="shared" si="72"/>
        <v>3.8082901884042286E-3</v>
      </c>
      <c r="I925" s="6">
        <f>MAX($G925:$G$1261)</f>
        <v>7932.24</v>
      </c>
      <c r="J925" s="7">
        <f t="shared" si="73"/>
        <v>-5.4385646425221257E-3</v>
      </c>
      <c r="K925" s="6">
        <f t="shared" si="74"/>
        <v>131.84052996246547</v>
      </c>
    </row>
    <row r="926" spans="1:11" x14ac:dyDescent="0.25">
      <c r="A926" s="2">
        <f>DATE(2018,8,21)</f>
        <v>43333</v>
      </c>
      <c r="B926" s="6">
        <v>53.76</v>
      </c>
      <c r="C926" s="7">
        <f t="shared" si="70"/>
        <v>-2.0419528494524108E-3</v>
      </c>
      <c r="D926" s="6">
        <f>MAX($B926:$B$1261)</f>
        <v>54.4</v>
      </c>
      <c r="E926" s="7">
        <f t="shared" si="71"/>
        <v>-1.1764705882352899E-2</v>
      </c>
      <c r="G926" s="6">
        <v>7859.17</v>
      </c>
      <c r="H926" s="7">
        <f t="shared" si="72"/>
        <v>4.8791652229058791E-3</v>
      </c>
      <c r="I926" s="6">
        <f>MAX($G926:$G$1261)</f>
        <v>7932.24</v>
      </c>
      <c r="J926" s="7">
        <f t="shared" si="73"/>
        <v>-9.2117737234375108E-3</v>
      </c>
      <c r="K926" s="6">
        <f t="shared" si="74"/>
        <v>131.34034780457969</v>
      </c>
    </row>
    <row r="927" spans="1:11" x14ac:dyDescent="0.25">
      <c r="A927" s="2">
        <f>DATE(2018,8,20)</f>
        <v>43332</v>
      </c>
      <c r="B927" s="6">
        <v>53.87</v>
      </c>
      <c r="C927" s="7">
        <f t="shared" si="70"/>
        <v>-9.7426470588235503E-3</v>
      </c>
      <c r="D927" s="6">
        <f>MAX($B927:$B$1261)</f>
        <v>54.4</v>
      </c>
      <c r="E927" s="7">
        <f t="shared" si="71"/>
        <v>-9.7426470588235503E-3</v>
      </c>
      <c r="G927" s="6">
        <v>7821.01</v>
      </c>
      <c r="H927" s="7">
        <f t="shared" si="72"/>
        <v>5.9874647053037577E-4</v>
      </c>
      <c r="I927" s="6">
        <f>MAX($G927:$G$1261)</f>
        <v>7932.24</v>
      </c>
      <c r="J927" s="7">
        <f t="shared" si="73"/>
        <v>-1.4022520750758827E-2</v>
      </c>
      <c r="K927" s="6">
        <f t="shared" si="74"/>
        <v>130.70262808707483</v>
      </c>
    </row>
    <row r="928" spans="1:11" x14ac:dyDescent="0.25">
      <c r="A928" s="2">
        <f>DATE(2018,8,17)</f>
        <v>43329</v>
      </c>
      <c r="B928" s="6">
        <v>54.4</v>
      </c>
      <c r="C928" s="7">
        <f t="shared" si="70"/>
        <v>2.0063753984624011E-2</v>
      </c>
      <c r="D928" s="6">
        <f>MAX($B928:$B$1261)</f>
        <v>54.4</v>
      </c>
      <c r="E928" s="7">
        <f t="shared" si="71"/>
        <v>0</v>
      </c>
      <c r="G928" s="6">
        <v>7816.33</v>
      </c>
      <c r="H928" s="7">
        <f t="shared" si="72"/>
        <v>1.2566418839636828E-3</v>
      </c>
      <c r="I928" s="6">
        <f>MAX($G928:$G$1261)</f>
        <v>7932.24</v>
      </c>
      <c r="J928" s="7">
        <f t="shared" si="73"/>
        <v>-1.4612518027694588E-2</v>
      </c>
      <c r="K928" s="6">
        <f t="shared" si="74"/>
        <v>130.62441717832422</v>
      </c>
    </row>
    <row r="929" spans="1:11" x14ac:dyDescent="0.25">
      <c r="A929" s="2">
        <f>DATE(2018,8,16)</f>
        <v>43328</v>
      </c>
      <c r="B929" s="6">
        <v>53.33</v>
      </c>
      <c r="C929" s="7">
        <f t="shared" si="70"/>
        <v>1.4649923896499217E-2</v>
      </c>
      <c r="D929" s="6">
        <f>MAX($B929:$B$1261)</f>
        <v>53.33</v>
      </c>
      <c r="E929" s="7">
        <f t="shared" si="71"/>
        <v>0</v>
      </c>
      <c r="G929" s="6">
        <v>7806.52</v>
      </c>
      <c r="H929" s="7">
        <f t="shared" si="72"/>
        <v>4.1676742833915981E-3</v>
      </c>
      <c r="I929" s="6">
        <f>MAX($G929:$G$1261)</f>
        <v>7932.24</v>
      </c>
      <c r="J929" s="7">
        <f t="shared" si="73"/>
        <v>-1.5849243088963405E-2</v>
      </c>
      <c r="K929" s="6">
        <f t="shared" si="74"/>
        <v>130.46047508113546</v>
      </c>
    </row>
    <row r="930" spans="1:11" x14ac:dyDescent="0.25">
      <c r="A930" s="2">
        <f>DATE(2018,8,15)</f>
        <v>43327</v>
      </c>
      <c r="B930" s="6">
        <v>52.56</v>
      </c>
      <c r="C930" s="7">
        <f t="shared" si="70"/>
        <v>2.2883295194509046E-3</v>
      </c>
      <c r="D930" s="6">
        <f>MAX($B930:$B$1261)</f>
        <v>52.56</v>
      </c>
      <c r="E930" s="7">
        <f t="shared" si="71"/>
        <v>0</v>
      </c>
      <c r="G930" s="6">
        <v>7774.12</v>
      </c>
      <c r="H930" s="7">
        <f t="shared" si="72"/>
        <v>-1.2294670615394243E-2</v>
      </c>
      <c r="I930" s="6">
        <f>MAX($G930:$G$1261)</f>
        <v>7932.24</v>
      </c>
      <c r="J930" s="7">
        <f t="shared" si="73"/>
        <v>-1.9933839621594895E-2</v>
      </c>
      <c r="K930" s="6">
        <f t="shared" si="74"/>
        <v>129.91901494363131</v>
      </c>
    </row>
    <row r="931" spans="1:11" x14ac:dyDescent="0.25">
      <c r="A931" s="2">
        <f>DATE(2018,8,14)</f>
        <v>43326</v>
      </c>
      <c r="B931" s="6">
        <v>52.44</v>
      </c>
      <c r="C931" s="7">
        <f t="shared" si="70"/>
        <v>4.2129452317118954E-3</v>
      </c>
      <c r="D931" s="6">
        <f>MAX($B931:$B$1261)</f>
        <v>52.44</v>
      </c>
      <c r="E931" s="7">
        <f t="shared" si="71"/>
        <v>0</v>
      </c>
      <c r="G931" s="6">
        <v>7870.89</v>
      </c>
      <c r="H931" s="7">
        <f t="shared" si="72"/>
        <v>6.5449997506301649E-3</v>
      </c>
      <c r="I931" s="6">
        <f>MAX($G931:$G$1261)</f>
        <v>7932.24</v>
      </c>
      <c r="J931" s="7">
        <f t="shared" si="73"/>
        <v>-7.7342591752139755E-3</v>
      </c>
      <c r="K931" s="6">
        <f t="shared" si="74"/>
        <v>131.53620931110896</v>
      </c>
    </row>
    <row r="932" spans="1:11" x14ac:dyDescent="0.25">
      <c r="A932" s="2">
        <f>DATE(2018,8,13)</f>
        <v>43325</v>
      </c>
      <c r="B932" s="6">
        <v>52.22</v>
      </c>
      <c r="C932" s="7">
        <f t="shared" si="70"/>
        <v>6.5535851966074254E-3</v>
      </c>
      <c r="D932" s="6">
        <f>MAX($B932:$B$1261)</f>
        <v>52.27</v>
      </c>
      <c r="E932" s="7">
        <f t="shared" si="71"/>
        <v>-9.5657164721640875E-4</v>
      </c>
      <c r="G932" s="6">
        <v>7819.71</v>
      </c>
      <c r="H932" s="7">
        <f t="shared" si="72"/>
        <v>-2.4747707329020319E-3</v>
      </c>
      <c r="I932" s="6">
        <f>MAX($G932:$G$1261)</f>
        <v>7932.24</v>
      </c>
      <c r="J932" s="7">
        <f t="shared" si="73"/>
        <v>-1.4186408883241075E-2</v>
      </c>
      <c r="K932" s="6">
        <f t="shared" si="74"/>
        <v>130.68090283464409</v>
      </c>
    </row>
    <row r="933" spans="1:11" x14ac:dyDescent="0.25">
      <c r="A933" s="2">
        <f>DATE(2018,8,10)</f>
        <v>43322</v>
      </c>
      <c r="B933" s="6">
        <v>51.88</v>
      </c>
      <c r="C933" s="7">
        <f t="shared" si="70"/>
        <v>-6.5109153581002222E-3</v>
      </c>
      <c r="D933" s="6">
        <f>MAX($B933:$B$1261)</f>
        <v>52.27</v>
      </c>
      <c r="E933" s="7">
        <f t="shared" si="71"/>
        <v>-7.461258848287744E-3</v>
      </c>
      <c r="G933" s="6">
        <v>7839.11</v>
      </c>
      <c r="H933" s="7">
        <f t="shared" si="72"/>
        <v>-6.6740329811525445E-3</v>
      </c>
      <c r="I933" s="6">
        <f>MAX($G933:$G$1261)</f>
        <v>7932.24</v>
      </c>
      <c r="J933" s="7">
        <f t="shared" si="73"/>
        <v>-1.1740693675430958E-2</v>
      </c>
      <c r="K933" s="6">
        <f t="shared" si="74"/>
        <v>131.00511044784099</v>
      </c>
    </row>
    <row r="934" spans="1:11" x14ac:dyDescent="0.25">
      <c r="A934" s="2">
        <f>DATE(2018,8,9)</f>
        <v>43321</v>
      </c>
      <c r="B934" s="6">
        <v>52.22</v>
      </c>
      <c r="C934" s="7">
        <f t="shared" si="70"/>
        <v>7.9135302065238555E-3</v>
      </c>
      <c r="D934" s="6">
        <f>MAX($B934:$B$1261)</f>
        <v>52.27</v>
      </c>
      <c r="E934" s="7">
        <f t="shared" si="71"/>
        <v>-9.5657164721640875E-4</v>
      </c>
      <c r="G934" s="6">
        <v>7891.78</v>
      </c>
      <c r="H934" s="7">
        <f t="shared" si="72"/>
        <v>4.3735492810270671E-4</v>
      </c>
      <c r="I934" s="6">
        <f>MAX($G934:$G$1261)</f>
        <v>7932.24</v>
      </c>
      <c r="J934" s="7">
        <f t="shared" si="73"/>
        <v>-5.1007029540205417E-3</v>
      </c>
      <c r="K934" s="6">
        <f t="shared" si="74"/>
        <v>131.885317405938</v>
      </c>
    </row>
    <row r="935" spans="1:11" x14ac:dyDescent="0.25">
      <c r="A935" s="2">
        <f>DATE(2018,8,8)</f>
        <v>43320</v>
      </c>
      <c r="B935" s="6">
        <v>51.81</v>
      </c>
      <c r="C935" s="7">
        <f t="shared" si="70"/>
        <v>5.7937427578225176E-4</v>
      </c>
      <c r="D935" s="6">
        <f>MAX($B935:$B$1261)</f>
        <v>52.27</v>
      </c>
      <c r="E935" s="7">
        <f t="shared" si="71"/>
        <v>-8.8004591543906496E-3</v>
      </c>
      <c r="G935" s="6">
        <v>7888.33</v>
      </c>
      <c r="H935" s="7">
        <f t="shared" si="72"/>
        <v>5.9236446016197597E-4</v>
      </c>
      <c r="I935" s="6">
        <f>MAX($G935:$G$1261)</f>
        <v>7932.24</v>
      </c>
      <c r="J935" s="7">
        <f t="shared" si="73"/>
        <v>-5.5356368440692139E-3</v>
      </c>
      <c r="K935" s="6">
        <f t="shared" si="74"/>
        <v>131.82766192833338</v>
      </c>
    </row>
    <row r="936" spans="1:11" x14ac:dyDescent="0.25">
      <c r="A936" s="2">
        <f>DATE(2018,8,7)</f>
        <v>43319</v>
      </c>
      <c r="B936" s="6">
        <v>51.78</v>
      </c>
      <c r="C936" s="7">
        <f t="shared" si="70"/>
        <v>-9.3744021427205615E-3</v>
      </c>
      <c r="D936" s="6">
        <f>MAX($B936:$B$1261)</f>
        <v>52.27</v>
      </c>
      <c r="E936" s="7">
        <f t="shared" si="71"/>
        <v>-9.3744021427205615E-3</v>
      </c>
      <c r="G936" s="6">
        <v>7883.66</v>
      </c>
      <c r="H936" s="7">
        <f t="shared" si="72"/>
        <v>3.0510147995845838E-3</v>
      </c>
      <c r="I936" s="6">
        <f>MAX($G936:$G$1261)</f>
        <v>7932.24</v>
      </c>
      <c r="J936" s="7">
        <f t="shared" si="73"/>
        <v>-6.1243734430627139E-3</v>
      </c>
      <c r="K936" s="6">
        <f t="shared" si="74"/>
        <v>131.74961813690916</v>
      </c>
    </row>
    <row r="937" spans="1:11" x14ac:dyDescent="0.25">
      <c r="A937" s="2">
        <f>DATE(2018,8,6)</f>
        <v>43318</v>
      </c>
      <c r="B937" s="6">
        <v>52.27</v>
      </c>
      <c r="C937" s="7">
        <f t="shared" si="70"/>
        <v>5.1923076923077183E-3</v>
      </c>
      <c r="D937" s="6">
        <f>MAX($B937:$B$1261)</f>
        <v>52.27</v>
      </c>
      <c r="E937" s="7">
        <f t="shared" si="71"/>
        <v>0</v>
      </c>
      <c r="G937" s="6">
        <v>7859.68</v>
      </c>
      <c r="H937" s="7">
        <f t="shared" si="72"/>
        <v>6.1021427263918682E-3</v>
      </c>
      <c r="I937" s="6">
        <f>MAX($G937:$G$1261)</f>
        <v>7932.24</v>
      </c>
      <c r="J937" s="7">
        <f t="shared" si="73"/>
        <v>-9.1474791483867612E-3</v>
      </c>
      <c r="K937" s="6">
        <f t="shared" si="74"/>
        <v>131.34887078822555</v>
      </c>
    </row>
    <row r="938" spans="1:11" x14ac:dyDescent="0.25">
      <c r="A938" s="2">
        <f>DATE(2018,8,3)</f>
        <v>43315</v>
      </c>
      <c r="B938" s="6">
        <v>52</v>
      </c>
      <c r="C938" s="7">
        <f t="shared" si="70"/>
        <v>2.8929604628735728E-3</v>
      </c>
      <c r="D938" s="6">
        <f>MAX($B938:$B$1261)</f>
        <v>52</v>
      </c>
      <c r="E938" s="7">
        <f t="shared" si="71"/>
        <v>0</v>
      </c>
      <c r="G938" s="6">
        <v>7812.01</v>
      </c>
      <c r="H938" s="7">
        <f t="shared" si="72"/>
        <v>1.1944598593562894E-3</v>
      </c>
      <c r="I938" s="6">
        <f>MAX($G938:$G$1261)</f>
        <v>7932.24</v>
      </c>
      <c r="J938" s="7">
        <f t="shared" si="73"/>
        <v>-1.5157130898712068E-2</v>
      </c>
      <c r="K938" s="6">
        <f t="shared" si="74"/>
        <v>130.55222249332363</v>
      </c>
    </row>
    <row r="939" spans="1:11" x14ac:dyDescent="0.25">
      <c r="A939" s="2">
        <f>DATE(2018,8,2)</f>
        <v>43314</v>
      </c>
      <c r="B939" s="6">
        <v>51.85</v>
      </c>
      <c r="C939" s="7">
        <f t="shared" si="70"/>
        <v>2.9178245335450548E-2</v>
      </c>
      <c r="D939" s="6">
        <f>MAX($B939:$B$1261)</f>
        <v>51.85</v>
      </c>
      <c r="E939" s="7">
        <f t="shared" si="71"/>
        <v>0</v>
      </c>
      <c r="G939" s="6">
        <v>7802.69</v>
      </c>
      <c r="H939" s="7">
        <f t="shared" si="72"/>
        <v>1.2377891580568567E-2</v>
      </c>
      <c r="I939" s="6">
        <f>MAX($G939:$G$1261)</f>
        <v>7932.24</v>
      </c>
      <c r="J939" s="7">
        <f t="shared" si="73"/>
        <v>-1.6332082740814768E-2</v>
      </c>
      <c r="K939" s="6">
        <f t="shared" si="74"/>
        <v>130.39646914512798</v>
      </c>
    </row>
    <row r="940" spans="1:11" x14ac:dyDescent="0.25">
      <c r="A940" s="2">
        <f>DATE(2018,8,1)</f>
        <v>43313</v>
      </c>
      <c r="B940" s="6">
        <v>50.38</v>
      </c>
      <c r="C940" s="7">
        <f t="shared" si="70"/>
        <v>5.9070842968257375E-2</v>
      </c>
      <c r="D940" s="6">
        <f>MAX($B940:$B$1261)</f>
        <v>50.38</v>
      </c>
      <c r="E940" s="7">
        <f t="shared" si="71"/>
        <v>0</v>
      </c>
      <c r="G940" s="6">
        <v>7707.29</v>
      </c>
      <c r="H940" s="7">
        <f t="shared" si="72"/>
        <v>4.6273425106786448E-3</v>
      </c>
      <c r="I940" s="6">
        <f>MAX($G940:$G$1261)</f>
        <v>7932.24</v>
      </c>
      <c r="J940" s="7">
        <f t="shared" si="73"/>
        <v>-2.8358950309118169E-2</v>
      </c>
      <c r="K940" s="6">
        <f t="shared" si="74"/>
        <v>128.80216985136579</v>
      </c>
    </row>
    <row r="941" spans="1:11" x14ac:dyDescent="0.25">
      <c r="A941" s="2">
        <f>DATE(2018,7,31)</f>
        <v>43312</v>
      </c>
      <c r="B941" s="6">
        <v>47.57</v>
      </c>
      <c r="C941" s="7">
        <f t="shared" si="70"/>
        <v>1.8955349620892736E-3</v>
      </c>
      <c r="D941" s="6">
        <f>MAX($B941:$B$1261)</f>
        <v>48.71</v>
      </c>
      <c r="E941" s="7">
        <f t="shared" si="71"/>
        <v>-2.340381851775819E-2</v>
      </c>
      <c r="G941" s="6">
        <v>7671.79</v>
      </c>
      <c r="H941" s="7">
        <f t="shared" si="72"/>
        <v>5.4770642201835695E-3</v>
      </c>
      <c r="I941" s="6">
        <f>MAX($G941:$G$1261)</f>
        <v>7932.24</v>
      </c>
      <c r="J941" s="7">
        <f t="shared" si="73"/>
        <v>-3.2834357003822312E-2</v>
      </c>
      <c r="K941" s="6">
        <f t="shared" si="74"/>
        <v>128.20890334268071</v>
      </c>
    </row>
    <row r="942" spans="1:11" x14ac:dyDescent="0.25">
      <c r="A942" s="2">
        <f>DATE(2018,7,30)</f>
        <v>43311</v>
      </c>
      <c r="B942" s="6">
        <v>47.48</v>
      </c>
      <c r="C942" s="7">
        <f t="shared" si="70"/>
        <v>-5.446166736489455E-3</v>
      </c>
      <c r="D942" s="6">
        <f>MAX($B942:$B$1261)</f>
        <v>48.71</v>
      </c>
      <c r="E942" s="7">
        <f t="shared" si="71"/>
        <v>-2.5251488400739097E-2</v>
      </c>
      <c r="G942" s="6">
        <v>7630</v>
      </c>
      <c r="H942" s="7">
        <f t="shared" si="72"/>
        <v>-1.3883180698475717E-2</v>
      </c>
      <c r="I942" s="6">
        <f>MAX($G942:$G$1261)</f>
        <v>7932.24</v>
      </c>
      <c r="J942" s="7">
        <f t="shared" si="73"/>
        <v>-3.8102730124151551E-2</v>
      </c>
      <c r="K942" s="6">
        <f t="shared" si="74"/>
        <v>127.5105200356962</v>
      </c>
    </row>
    <row r="943" spans="1:11" x14ac:dyDescent="0.25">
      <c r="A943" s="2">
        <f>DATE(2018,7,27)</f>
        <v>43308</v>
      </c>
      <c r="B943" s="6">
        <v>47.74</v>
      </c>
      <c r="C943" s="7">
        <f t="shared" si="70"/>
        <v>-1.6683831101956592E-2</v>
      </c>
      <c r="D943" s="6">
        <f>MAX($B943:$B$1261)</f>
        <v>48.71</v>
      </c>
      <c r="E943" s="7">
        <f t="shared" si="71"/>
        <v>-1.991377540546091E-2</v>
      </c>
      <c r="G943" s="6">
        <v>7737.42</v>
      </c>
      <c r="H943" s="7">
        <f t="shared" si="72"/>
        <v>-1.461504957858839E-2</v>
      </c>
      <c r="I943" s="6">
        <f>MAX($G943:$G$1261)</f>
        <v>7932.24</v>
      </c>
      <c r="J943" s="7">
        <f t="shared" si="73"/>
        <v>-2.4560527669359455E-2</v>
      </c>
      <c r="K943" s="6">
        <f t="shared" si="74"/>
        <v>129.30569435577937</v>
      </c>
    </row>
    <row r="944" spans="1:11" x14ac:dyDescent="0.25">
      <c r="A944" s="2">
        <f>DATE(2018,7,26)</f>
        <v>43307</v>
      </c>
      <c r="B944" s="6">
        <v>48.55</v>
      </c>
      <c r="C944" s="7">
        <f t="shared" si="70"/>
        <v>-3.2847464586327479E-3</v>
      </c>
      <c r="D944" s="6">
        <f>MAX($B944:$B$1261)</f>
        <v>48.71</v>
      </c>
      <c r="E944" s="7">
        <f t="shared" si="71"/>
        <v>-3.2847464586327479E-3</v>
      </c>
      <c r="G944" s="6">
        <v>7852.18</v>
      </c>
      <c r="H944" s="7">
        <f t="shared" si="72"/>
        <v>-1.0092987605014425E-2</v>
      </c>
      <c r="I944" s="6">
        <f>MAX($G944:$G$1261)</f>
        <v>7932.24</v>
      </c>
      <c r="J944" s="7">
        <f t="shared" si="73"/>
        <v>-1.0092987605014425E-2</v>
      </c>
      <c r="K944" s="6">
        <f t="shared" si="74"/>
        <v>131.2235327934329</v>
      </c>
    </row>
    <row r="945" spans="1:11" x14ac:dyDescent="0.25">
      <c r="A945" s="2">
        <f>DATE(2018,7,25)</f>
        <v>43306</v>
      </c>
      <c r="B945" s="6">
        <v>48.71</v>
      </c>
      <c r="C945" s="7">
        <f t="shared" si="70"/>
        <v>9.5336787564765935E-3</v>
      </c>
      <c r="D945" s="6">
        <f>MAX($B945:$B$1261)</f>
        <v>48.71</v>
      </c>
      <c r="E945" s="7">
        <f t="shared" si="71"/>
        <v>0</v>
      </c>
      <c r="G945" s="6">
        <v>7932.24</v>
      </c>
      <c r="H945" s="7">
        <f t="shared" si="72"/>
        <v>1.1665946074173705E-2</v>
      </c>
      <c r="I945" s="6">
        <f>MAX($G945:$G$1261)</f>
        <v>7932.24</v>
      </c>
      <c r="J945" s="7">
        <f t="shared" si="73"/>
        <v>0</v>
      </c>
      <c r="K945" s="6">
        <f t="shared" si="74"/>
        <v>132.56147410851256</v>
      </c>
    </row>
    <row r="946" spans="1:11" x14ac:dyDescent="0.25">
      <c r="A946" s="2">
        <f>DATE(2018,7,24)</f>
        <v>43305</v>
      </c>
      <c r="B946" s="6">
        <v>48.25</v>
      </c>
      <c r="C946" s="7">
        <f t="shared" si="70"/>
        <v>7.3068893528183132E-3</v>
      </c>
      <c r="D946" s="6">
        <f>MAX($B946:$B$1261)</f>
        <v>48.49</v>
      </c>
      <c r="E946" s="7">
        <f t="shared" si="71"/>
        <v>-4.9494741183749857E-3</v>
      </c>
      <c r="G946" s="6">
        <v>7840.77</v>
      </c>
      <c r="H946" s="7">
        <f t="shared" si="72"/>
        <v>-1.4027266455574061E-4</v>
      </c>
      <c r="I946" s="6">
        <f>MAX($G946:$G$1261)</f>
        <v>7855.12</v>
      </c>
      <c r="J946" s="7">
        <f t="shared" si="73"/>
        <v>-1.8268339630711505E-3</v>
      </c>
      <c r="K946" s="6">
        <f t="shared" si="74"/>
        <v>131.03285192402174</v>
      </c>
    </row>
    <row r="947" spans="1:11" x14ac:dyDescent="0.25">
      <c r="A947" s="2">
        <f>DATE(2018,7,23)</f>
        <v>43304</v>
      </c>
      <c r="B947" s="6">
        <v>47.9</v>
      </c>
      <c r="C947" s="7">
        <f t="shared" si="70"/>
        <v>8.3577099874632133E-4</v>
      </c>
      <c r="D947" s="6">
        <f>MAX($B947:$B$1261)</f>
        <v>48.49</v>
      </c>
      <c r="E947" s="7">
        <f t="shared" si="71"/>
        <v>-1.2167457207671761E-2</v>
      </c>
      <c r="G947" s="6">
        <v>7841.87</v>
      </c>
      <c r="H947" s="7">
        <f t="shared" si="72"/>
        <v>2.771028873941761E-3</v>
      </c>
      <c r="I947" s="6">
        <f>MAX($G947:$G$1261)</f>
        <v>7855.12</v>
      </c>
      <c r="J947" s="7">
        <f t="shared" si="73"/>
        <v>-1.6867979101529151E-3</v>
      </c>
      <c r="K947" s="6">
        <f t="shared" si="74"/>
        <v>131.05123482992465</v>
      </c>
    </row>
    <row r="948" spans="1:11" x14ac:dyDescent="0.25">
      <c r="A948" s="2">
        <f>DATE(2018,7,20)</f>
        <v>43301</v>
      </c>
      <c r="B948" s="6">
        <v>47.86</v>
      </c>
      <c r="C948" s="7">
        <f t="shared" si="70"/>
        <v>-2.2930998540754421E-3</v>
      </c>
      <c r="D948" s="6">
        <f>MAX($B948:$B$1261)</f>
        <v>48.49</v>
      </c>
      <c r="E948" s="7">
        <f t="shared" si="71"/>
        <v>-1.299236956073424E-2</v>
      </c>
      <c r="G948" s="6">
        <v>7820.2</v>
      </c>
      <c r="H948" s="7">
        <f t="shared" si="72"/>
        <v>-6.5173220196035331E-4</v>
      </c>
      <c r="I948" s="6">
        <f>MAX($G948:$G$1261)</f>
        <v>7855.12</v>
      </c>
      <c r="J948" s="7">
        <f t="shared" si="73"/>
        <v>-4.4455081526444395E-3</v>
      </c>
      <c r="K948" s="6">
        <f t="shared" si="74"/>
        <v>130.68909158363718</v>
      </c>
    </row>
    <row r="949" spans="1:11" x14ac:dyDescent="0.25">
      <c r="A949" s="2">
        <f>DATE(2018,7,19)</f>
        <v>43300</v>
      </c>
      <c r="B949" s="6">
        <v>47.97</v>
      </c>
      <c r="C949" s="7">
        <f t="shared" si="70"/>
        <v>7.7731092436974514E-3</v>
      </c>
      <c r="D949" s="6">
        <f>MAX($B949:$B$1261)</f>
        <v>48.49</v>
      </c>
      <c r="E949" s="7">
        <f t="shared" si="71"/>
        <v>-1.0723860589812451E-2</v>
      </c>
      <c r="G949" s="6">
        <v>7825.3</v>
      </c>
      <c r="H949" s="7">
        <f t="shared" si="72"/>
        <v>-3.7100035139360221E-3</v>
      </c>
      <c r="I949" s="6">
        <f>MAX($G949:$G$1261)</f>
        <v>7855.12</v>
      </c>
      <c r="J949" s="7">
        <f t="shared" si="73"/>
        <v>-3.7962500891137729E-3</v>
      </c>
      <c r="K949" s="6">
        <f t="shared" si="74"/>
        <v>130.77432142009616</v>
      </c>
    </row>
    <row r="950" spans="1:11" x14ac:dyDescent="0.25">
      <c r="A950" s="2">
        <f>DATE(2018,7,18)</f>
        <v>43299</v>
      </c>
      <c r="B950" s="6">
        <v>47.6</v>
      </c>
      <c r="C950" s="7">
        <f t="shared" si="70"/>
        <v>-5.4325114918511996E-3</v>
      </c>
      <c r="D950" s="6">
        <f>MAX($B950:$B$1261)</f>
        <v>48.49</v>
      </c>
      <c r="E950" s="7">
        <f t="shared" si="71"/>
        <v>-1.8354299855640299E-2</v>
      </c>
      <c r="G950" s="6">
        <v>7854.44</v>
      </c>
      <c r="H950" s="7">
        <f t="shared" si="72"/>
        <v>-8.6567741804155496E-5</v>
      </c>
      <c r="I950" s="6">
        <f>MAX($G950:$G$1261)</f>
        <v>7855.12</v>
      </c>
      <c r="J950" s="7">
        <f t="shared" si="73"/>
        <v>-8.6567741804155496E-5</v>
      </c>
      <c r="K950" s="6">
        <f t="shared" si="74"/>
        <v>131.26130130919708</v>
      </c>
    </row>
    <row r="951" spans="1:11" x14ac:dyDescent="0.25">
      <c r="A951" s="2">
        <f>DATE(2018,7,17)</f>
        <v>43298</v>
      </c>
      <c r="B951" s="6">
        <v>47.86</v>
      </c>
      <c r="C951" s="7">
        <f t="shared" si="70"/>
        <v>2.723653886444577E-3</v>
      </c>
      <c r="D951" s="6">
        <f>MAX($B951:$B$1261)</f>
        <v>48.49</v>
      </c>
      <c r="E951" s="7">
        <f t="shared" si="71"/>
        <v>-1.299236956073424E-2</v>
      </c>
      <c r="G951" s="6">
        <v>7855.12</v>
      </c>
      <c r="H951" s="7">
        <f t="shared" si="72"/>
        <v>6.3286922923189159E-3</v>
      </c>
      <c r="I951" s="6">
        <f>MAX($G951:$G$1261)</f>
        <v>7855.12</v>
      </c>
      <c r="J951" s="7">
        <f t="shared" si="73"/>
        <v>0</v>
      </c>
      <c r="K951" s="6">
        <f t="shared" si="74"/>
        <v>131.27266528739162</v>
      </c>
    </row>
    <row r="952" spans="1:11" x14ac:dyDescent="0.25">
      <c r="A952" s="2">
        <f>DATE(2018,7,16)</f>
        <v>43297</v>
      </c>
      <c r="B952" s="6">
        <v>47.73</v>
      </c>
      <c r="C952" s="7">
        <f t="shared" si="70"/>
        <v>-2.0907380305248413E-3</v>
      </c>
      <c r="D952" s="6">
        <f>MAX($B952:$B$1261)</f>
        <v>48.49</v>
      </c>
      <c r="E952" s="7">
        <f t="shared" si="71"/>
        <v>-1.5673334708187325E-2</v>
      </c>
      <c r="G952" s="6">
        <v>7805.72</v>
      </c>
      <c r="H952" s="7">
        <f t="shared" si="72"/>
        <v>-2.5888131582242346E-3</v>
      </c>
      <c r="I952" s="6">
        <f>MAX($G952:$G$1261)</f>
        <v>7825.98</v>
      </c>
      <c r="J952" s="7">
        <f t="shared" si="73"/>
        <v>-2.5888131582242346E-3</v>
      </c>
      <c r="K952" s="6">
        <f t="shared" si="74"/>
        <v>130.44710569502422</v>
      </c>
    </row>
    <row r="953" spans="1:11" x14ac:dyDescent="0.25">
      <c r="A953" s="2">
        <f>DATE(2018,7,13)</f>
        <v>43294</v>
      </c>
      <c r="B953" s="6">
        <v>47.83</v>
      </c>
      <c r="C953" s="7">
        <f t="shared" si="70"/>
        <v>1.4656616415409385E-3</v>
      </c>
      <c r="D953" s="6">
        <f>MAX($B953:$B$1261)</f>
        <v>48.49</v>
      </c>
      <c r="E953" s="7">
        <f t="shared" si="71"/>
        <v>-1.3611053825531072E-2</v>
      </c>
      <c r="G953" s="6">
        <v>7825.98</v>
      </c>
      <c r="H953" s="7">
        <f t="shared" si="72"/>
        <v>2.6329512571687808E-4</v>
      </c>
      <c r="I953" s="6">
        <f>MAX($G953:$G$1261)</f>
        <v>7825.98</v>
      </c>
      <c r="J953" s="7">
        <f t="shared" si="73"/>
        <v>0</v>
      </c>
      <c r="K953" s="6">
        <f t="shared" si="74"/>
        <v>130.7856853982907</v>
      </c>
    </row>
    <row r="954" spans="1:11" x14ac:dyDescent="0.25">
      <c r="A954" s="2">
        <f>DATE(2018,7,12)</f>
        <v>43293</v>
      </c>
      <c r="B954" s="6">
        <v>47.76</v>
      </c>
      <c r="C954" s="7">
        <f t="shared" si="70"/>
        <v>1.6819246327443027E-2</v>
      </c>
      <c r="D954" s="6">
        <f>MAX($B954:$B$1261)</f>
        <v>48.49</v>
      </c>
      <c r="E954" s="7">
        <f t="shared" si="71"/>
        <v>-1.5054650443390494E-2</v>
      </c>
      <c r="G954" s="6">
        <v>7823.92</v>
      </c>
      <c r="H954" s="7">
        <f t="shared" si="72"/>
        <v>1.3906365619099637E-2</v>
      </c>
      <c r="I954" s="6">
        <f>MAX($G954:$G$1261)</f>
        <v>7823.92</v>
      </c>
      <c r="J954" s="7">
        <f t="shared" si="73"/>
        <v>0</v>
      </c>
      <c r="K954" s="6">
        <f t="shared" si="74"/>
        <v>130.75125922905434</v>
      </c>
    </row>
    <row r="955" spans="1:11" x14ac:dyDescent="0.25">
      <c r="A955" s="2">
        <f>DATE(2018,7,11)</f>
        <v>43292</v>
      </c>
      <c r="B955" s="6">
        <v>46.97</v>
      </c>
      <c r="C955" s="7">
        <f t="shared" si="70"/>
        <v>-1.3027947047699162E-2</v>
      </c>
      <c r="D955" s="6">
        <f>MAX($B955:$B$1261)</f>
        <v>48.49</v>
      </c>
      <c r="E955" s="7">
        <f t="shared" si="71"/>
        <v>-3.134666941637454E-2</v>
      </c>
      <c r="G955" s="6">
        <v>7716.61</v>
      </c>
      <c r="H955" s="7">
        <f t="shared" si="72"/>
        <v>-5.4889679348386622E-3</v>
      </c>
      <c r="I955" s="6">
        <f>MAX($G955:$G$1261)</f>
        <v>7781.51</v>
      </c>
      <c r="J955" s="7">
        <f t="shared" si="73"/>
        <v>-8.340283569641449E-3</v>
      </c>
      <c r="K955" s="6">
        <f t="shared" si="74"/>
        <v>128.95792319956146</v>
      </c>
    </row>
    <row r="956" spans="1:11" x14ac:dyDescent="0.25">
      <c r="A956" s="2">
        <f>DATE(2018,7,10)</f>
        <v>43291</v>
      </c>
      <c r="B956" s="6">
        <v>47.59</v>
      </c>
      <c r="C956" s="7">
        <f t="shared" si="70"/>
        <v>-1.2591815320041055E-3</v>
      </c>
      <c r="D956" s="6">
        <f>MAX($B956:$B$1261)</f>
        <v>48.49</v>
      </c>
      <c r="E956" s="7">
        <f t="shared" si="71"/>
        <v>-1.8560527943905947E-2</v>
      </c>
      <c r="G956" s="6">
        <v>7759.2</v>
      </c>
      <c r="H956" s="7">
        <f t="shared" si="72"/>
        <v>3.8678734431818462E-4</v>
      </c>
      <c r="I956" s="6">
        <f>MAX($G956:$G$1261)</f>
        <v>7781.51</v>
      </c>
      <c r="J956" s="7">
        <f t="shared" si="73"/>
        <v>-2.8670527956656811E-3</v>
      </c>
      <c r="K956" s="6">
        <f t="shared" si="74"/>
        <v>129.66967589265718</v>
      </c>
    </row>
    <row r="957" spans="1:11" x14ac:dyDescent="0.25">
      <c r="A957" s="2">
        <f>DATE(2018,7,9)</f>
        <v>43290</v>
      </c>
      <c r="B957" s="6">
        <v>47.65</v>
      </c>
      <c r="C957" s="7">
        <f t="shared" si="70"/>
        <v>1.404554160459659E-2</v>
      </c>
      <c r="D957" s="6">
        <f>MAX($B957:$B$1261)</f>
        <v>48.49</v>
      </c>
      <c r="E957" s="7">
        <f t="shared" si="71"/>
        <v>-1.7323159414312284E-2</v>
      </c>
      <c r="G957" s="6">
        <v>7756.2</v>
      </c>
      <c r="H957" s="7">
        <f t="shared" si="72"/>
        <v>8.8197919200247998E-3</v>
      </c>
      <c r="I957" s="6">
        <f>MAX($G957:$G$1261)</f>
        <v>7781.51</v>
      </c>
      <c r="J957" s="7">
        <f t="shared" si="73"/>
        <v>-3.2525820823979812E-3</v>
      </c>
      <c r="K957" s="6">
        <f t="shared" si="74"/>
        <v>129.61954069474012</v>
      </c>
    </row>
    <row r="958" spans="1:11" x14ac:dyDescent="0.25">
      <c r="A958" s="2">
        <f>DATE(2018,7,6)</f>
        <v>43287</v>
      </c>
      <c r="B958" s="6">
        <v>46.99</v>
      </c>
      <c r="C958" s="7">
        <f t="shared" si="70"/>
        <v>1.3807982740021485E-2</v>
      </c>
      <c r="D958" s="6">
        <f>MAX($B958:$B$1261)</f>
        <v>48.49</v>
      </c>
      <c r="E958" s="7">
        <f t="shared" si="71"/>
        <v>-3.0934213239843245E-2</v>
      </c>
      <c r="G958" s="6">
        <v>7688.39</v>
      </c>
      <c r="H958" s="7">
        <f t="shared" si="72"/>
        <v>1.3439786566276979E-2</v>
      </c>
      <c r="I958" s="6">
        <f>MAX($G958:$G$1261)</f>
        <v>7781.51</v>
      </c>
      <c r="J958" s="7">
        <f t="shared" si="73"/>
        <v>-1.1966829060169548E-2</v>
      </c>
      <c r="K958" s="6">
        <f t="shared" si="74"/>
        <v>128.48631810448842</v>
      </c>
    </row>
    <row r="959" spans="1:11" x14ac:dyDescent="0.25">
      <c r="A959" s="2">
        <f>DATE(2018,7,5)</f>
        <v>43286</v>
      </c>
      <c r="B959" s="6">
        <v>46.35</v>
      </c>
      <c r="C959" s="7">
        <f t="shared" si="70"/>
        <v>8.0469769464985852E-3</v>
      </c>
      <c r="D959" s="6">
        <f>MAX($B959:$B$1261)</f>
        <v>48.49</v>
      </c>
      <c r="E959" s="7">
        <f t="shared" si="71"/>
        <v>-4.4132810888843022E-2</v>
      </c>
      <c r="G959" s="6">
        <v>7586.43</v>
      </c>
      <c r="H959" s="7">
        <f t="shared" si="72"/>
        <v>1.1164025606883898E-2</v>
      </c>
      <c r="I959" s="6">
        <f>MAX($G959:$G$1261)</f>
        <v>7781.51</v>
      </c>
      <c r="J959" s="7">
        <f t="shared" si="73"/>
        <v>-2.5069684418576821E-2</v>
      </c>
      <c r="K959" s="6">
        <f t="shared" si="74"/>
        <v>126.78238984461427</v>
      </c>
    </row>
    <row r="960" spans="1:11" x14ac:dyDescent="0.25">
      <c r="A960" s="2">
        <f>DATE(2018,7,3)</f>
        <v>43284</v>
      </c>
      <c r="B960" s="6">
        <v>45.98</v>
      </c>
      <c r="C960" s="7">
        <f t="shared" si="70"/>
        <v>-1.7311391322932246E-2</v>
      </c>
      <c r="D960" s="6">
        <f>MAX($B960:$B$1261)</f>
        <v>48.49</v>
      </c>
      <c r="E960" s="7">
        <f t="shared" si="71"/>
        <v>-5.1763250154671203E-2</v>
      </c>
      <c r="G960" s="6">
        <v>7502.67</v>
      </c>
      <c r="H960" s="7">
        <f t="shared" si="72"/>
        <v>-8.5917895685472256E-3</v>
      </c>
      <c r="I960" s="6">
        <f>MAX($G960:$G$1261)</f>
        <v>7781.51</v>
      </c>
      <c r="J960" s="7">
        <f t="shared" si="73"/>
        <v>-3.5833662104141739E-2</v>
      </c>
      <c r="K960" s="6">
        <f t="shared" si="74"/>
        <v>125.38261511877025</v>
      </c>
    </row>
    <row r="961" spans="1:11" x14ac:dyDescent="0.25">
      <c r="A961" s="2">
        <f>DATE(2018,7,2)</f>
        <v>43283</v>
      </c>
      <c r="B961" s="6">
        <v>46.79</v>
      </c>
      <c r="C961" s="7">
        <f t="shared" si="70"/>
        <v>1.1019878997406973E-2</v>
      </c>
      <c r="D961" s="6">
        <f>MAX($B961:$B$1261)</f>
        <v>48.49</v>
      </c>
      <c r="E961" s="7">
        <f t="shared" si="71"/>
        <v>-3.5058775005155751E-2</v>
      </c>
      <c r="G961" s="6">
        <v>7567.69</v>
      </c>
      <c r="H961" s="7">
        <f t="shared" si="72"/>
        <v>7.6415056655525504E-3</v>
      </c>
      <c r="I961" s="6">
        <f>MAX($G961:$G$1261)</f>
        <v>7781.51</v>
      </c>
      <c r="J961" s="7">
        <f t="shared" si="73"/>
        <v>-2.7477957363031158E-2</v>
      </c>
      <c r="K961" s="6">
        <f t="shared" si="74"/>
        <v>126.46921197495909</v>
      </c>
    </row>
    <row r="962" spans="1:11" x14ac:dyDescent="0.25">
      <c r="A962" s="2">
        <f>DATE(2018,6,29)</f>
        <v>43280</v>
      </c>
      <c r="B962" s="6">
        <v>46.28</v>
      </c>
      <c r="C962" s="7">
        <f t="shared" ref="C962:C1025" si="75">IFERROR(B962/B963-1,0)</f>
        <v>-2.1561017680035155E-3</v>
      </c>
      <c r="D962" s="6">
        <f>MAX($B962:$B$1261)</f>
        <v>48.49</v>
      </c>
      <c r="E962" s="7">
        <f t="shared" ref="E962:E1025" si="76">$B962/$D962-1</f>
        <v>-4.5576407506702443E-2</v>
      </c>
      <c r="G962" s="6">
        <v>7510.3</v>
      </c>
      <c r="H962" s="7">
        <f t="shared" ref="H962:H1025" si="77">IFERROR(G962/G963-1,0)</f>
        <v>8.8223378395668739E-4</v>
      </c>
      <c r="I962" s="6">
        <f>MAX($G962:$G$1261)</f>
        <v>7781.51</v>
      </c>
      <c r="J962" s="7">
        <f t="shared" ref="J962:J1025" si="78">$G962/$I962-1</f>
        <v>-3.4853132618219318E-2</v>
      </c>
      <c r="K962" s="6">
        <f t="shared" ref="K962:K1025" si="79">$K963*(1+H962)</f>
        <v>125.51012563880595</v>
      </c>
    </row>
    <row r="963" spans="1:11" x14ac:dyDescent="0.25">
      <c r="A963" s="2">
        <f>DATE(2018,6,28)</f>
        <v>43279</v>
      </c>
      <c r="B963" s="6">
        <v>46.38</v>
      </c>
      <c r="C963" s="7">
        <f t="shared" si="75"/>
        <v>7.3848827106863801E-3</v>
      </c>
      <c r="D963" s="6">
        <f>MAX($B963:$B$1261)</f>
        <v>48.49</v>
      </c>
      <c r="E963" s="7">
        <f t="shared" si="76"/>
        <v>-4.351412662404619E-2</v>
      </c>
      <c r="G963" s="6">
        <v>7503.68</v>
      </c>
      <c r="H963" s="7">
        <f t="shared" si="77"/>
        <v>7.8709698216810065E-3</v>
      </c>
      <c r="I963" s="6">
        <f>MAX($G963:$G$1261)</f>
        <v>7781.51</v>
      </c>
      <c r="J963" s="7">
        <f t="shared" si="78"/>
        <v>-3.5703867244275211E-2</v>
      </c>
      <c r="K963" s="6">
        <f t="shared" si="79"/>
        <v>125.39949396873565</v>
      </c>
    </row>
    <row r="964" spans="1:11" x14ac:dyDescent="0.25">
      <c r="A964" s="2">
        <f>DATE(2018,6,27)</f>
        <v>43278</v>
      </c>
      <c r="B964" s="6">
        <v>46.04</v>
      </c>
      <c r="C964" s="7">
        <f t="shared" si="75"/>
        <v>-1.5181088700932932E-3</v>
      </c>
      <c r="D964" s="6">
        <f>MAX($B964:$B$1261)</f>
        <v>48.49</v>
      </c>
      <c r="E964" s="7">
        <f t="shared" si="76"/>
        <v>-5.0525881625077429E-2</v>
      </c>
      <c r="G964" s="6">
        <v>7445.08</v>
      </c>
      <c r="H964" s="7">
        <f t="shared" si="77"/>
        <v>-1.5413343419342196E-2</v>
      </c>
      <c r="I964" s="6">
        <f>MAX($G964:$G$1261)</f>
        <v>7781.51</v>
      </c>
      <c r="J964" s="7">
        <f t="shared" si="78"/>
        <v>-4.3234539311778897E-2</v>
      </c>
      <c r="K964" s="6">
        <f t="shared" si="79"/>
        <v>124.42018643608927</v>
      </c>
    </row>
    <row r="965" spans="1:11" x14ac:dyDescent="0.25">
      <c r="A965" s="2">
        <f>DATE(2018,6,26)</f>
        <v>43277</v>
      </c>
      <c r="B965" s="6">
        <v>46.11</v>
      </c>
      <c r="C965" s="7">
        <f t="shared" si="75"/>
        <v>1.2516469038208244E-2</v>
      </c>
      <c r="D965" s="6">
        <f>MAX($B965:$B$1261)</f>
        <v>48.49</v>
      </c>
      <c r="E965" s="7">
        <f t="shared" si="76"/>
        <v>-4.9082285007218007E-2</v>
      </c>
      <c r="G965" s="6">
        <v>7561.63</v>
      </c>
      <c r="H965" s="7">
        <f t="shared" si="77"/>
        <v>3.9325492132908924E-3</v>
      </c>
      <c r="I965" s="6">
        <f>MAX($G965:$G$1261)</f>
        <v>7781.51</v>
      </c>
      <c r="J965" s="7">
        <f t="shared" si="78"/>
        <v>-2.8256726522230324E-2</v>
      </c>
      <c r="K965" s="6">
        <f t="shared" si="79"/>
        <v>126.36793887516666</v>
      </c>
    </row>
    <row r="966" spans="1:11" x14ac:dyDescent="0.25">
      <c r="A966" s="2">
        <f>DATE(2018,6,25)</f>
        <v>43276</v>
      </c>
      <c r="B966" s="6">
        <v>45.54</v>
      </c>
      <c r="C966" s="7">
        <f t="shared" si="75"/>
        <v>-1.492537313432829E-2</v>
      </c>
      <c r="D966" s="6">
        <f>MAX($B966:$B$1261)</f>
        <v>48.49</v>
      </c>
      <c r="E966" s="7">
        <f t="shared" si="76"/>
        <v>-6.0837286038358473E-2</v>
      </c>
      <c r="G966" s="6">
        <v>7532.01</v>
      </c>
      <c r="H966" s="7">
        <f t="shared" si="77"/>
        <v>-2.0903907799740495E-2</v>
      </c>
      <c r="I966" s="6">
        <f>MAX($G966:$G$1261)</f>
        <v>7781.51</v>
      </c>
      <c r="J966" s="7">
        <f t="shared" si="78"/>
        <v>-3.2063185679900186E-2</v>
      </c>
      <c r="K966" s="6">
        <f t="shared" si="79"/>
        <v>125.872937354399</v>
      </c>
    </row>
    <row r="967" spans="1:11" x14ac:dyDescent="0.25">
      <c r="A967" s="2">
        <f>DATE(2018,6,22)</f>
        <v>43273</v>
      </c>
      <c r="B967" s="6">
        <v>46.23</v>
      </c>
      <c r="C967" s="7">
        <f t="shared" si="75"/>
        <v>-3.019193444037116E-3</v>
      </c>
      <c r="D967" s="6">
        <f>MAX($B967:$B$1261)</f>
        <v>48.49</v>
      </c>
      <c r="E967" s="7">
        <f t="shared" si="76"/>
        <v>-4.660754794803057E-2</v>
      </c>
      <c r="G967" s="6">
        <v>7692.82</v>
      </c>
      <c r="H967" s="7">
        <f t="shared" si="77"/>
        <v>-2.6098963431631095E-3</v>
      </c>
      <c r="I967" s="6">
        <f>MAX($G967:$G$1261)</f>
        <v>7781.51</v>
      </c>
      <c r="J967" s="7">
        <f t="shared" si="78"/>
        <v>-1.1397530813428314E-2</v>
      </c>
      <c r="K967" s="6">
        <f t="shared" si="79"/>
        <v>128.56035108007924</v>
      </c>
    </row>
    <row r="968" spans="1:11" x14ac:dyDescent="0.25">
      <c r="A968" s="2">
        <f>DATE(2018,6,21)</f>
        <v>43272</v>
      </c>
      <c r="B968" s="6">
        <v>46.37</v>
      </c>
      <c r="C968" s="7">
        <f t="shared" si="75"/>
        <v>-5.3625053625053765E-3</v>
      </c>
      <c r="D968" s="6">
        <f>MAX($B968:$B$1261)</f>
        <v>48.49</v>
      </c>
      <c r="E968" s="7">
        <f t="shared" si="76"/>
        <v>-4.3720354712311948E-2</v>
      </c>
      <c r="G968" s="6">
        <v>7712.95</v>
      </c>
      <c r="H968" s="7">
        <f t="shared" si="77"/>
        <v>-8.810629299454753E-3</v>
      </c>
      <c r="I968" s="6">
        <f>MAX($G968:$G$1261)</f>
        <v>7781.51</v>
      </c>
      <c r="J968" s="7">
        <f t="shared" si="78"/>
        <v>-8.810629299454753E-3</v>
      </c>
      <c r="K968" s="6">
        <f t="shared" si="79"/>
        <v>128.89675825810264</v>
      </c>
    </row>
    <row r="969" spans="1:11" x14ac:dyDescent="0.25">
      <c r="A969" s="2">
        <f>DATE(2018,6,20)</f>
        <v>43271</v>
      </c>
      <c r="B969" s="6">
        <v>46.62</v>
      </c>
      <c r="C969" s="7">
        <f t="shared" si="75"/>
        <v>4.3084877208099392E-3</v>
      </c>
      <c r="D969" s="6">
        <f>MAX($B969:$B$1261)</f>
        <v>48.49</v>
      </c>
      <c r="E969" s="7">
        <f t="shared" si="76"/>
        <v>-3.8564652505671315E-2</v>
      </c>
      <c r="G969" s="6">
        <v>7781.51</v>
      </c>
      <c r="H969" s="7">
        <f t="shared" si="77"/>
        <v>7.2382821247309881E-3</v>
      </c>
      <c r="I969" s="6">
        <f>MAX($G969:$G$1261)</f>
        <v>7781.51</v>
      </c>
      <c r="J969" s="7">
        <f t="shared" si="78"/>
        <v>0</v>
      </c>
      <c r="K969" s="6">
        <f t="shared" si="79"/>
        <v>130.0425146478336</v>
      </c>
    </row>
    <row r="970" spans="1:11" x14ac:dyDescent="0.25">
      <c r="A970" s="2">
        <f>DATE(2018,6,19)</f>
        <v>43270</v>
      </c>
      <c r="B970" s="6">
        <v>46.42</v>
      </c>
      <c r="C970" s="7">
        <f t="shared" si="75"/>
        <v>-1.6317016317016209E-2</v>
      </c>
      <c r="D970" s="6">
        <f>MAX($B970:$B$1261)</f>
        <v>48.49</v>
      </c>
      <c r="E970" s="7">
        <f t="shared" si="76"/>
        <v>-4.2689214270983711E-2</v>
      </c>
      <c r="G970" s="6">
        <v>7725.59</v>
      </c>
      <c r="H970" s="7">
        <f t="shared" si="77"/>
        <v>-2.7675121949959358E-3</v>
      </c>
      <c r="I970" s="6">
        <f>MAX($G970:$G$1261)</f>
        <v>7761.04</v>
      </c>
      <c r="J970" s="7">
        <f t="shared" si="78"/>
        <v>-4.5676868048611929E-3</v>
      </c>
      <c r="K970" s="6">
        <f t="shared" si="79"/>
        <v>129.10799455865978</v>
      </c>
    </row>
    <row r="971" spans="1:11" x14ac:dyDescent="0.25">
      <c r="A971" s="2">
        <f>DATE(2018,6,18)</f>
        <v>43269</v>
      </c>
      <c r="B971" s="6">
        <v>47.19</v>
      </c>
      <c r="C971" s="7">
        <f t="shared" si="75"/>
        <v>-4.2363905952136349E-4</v>
      </c>
      <c r="D971" s="6">
        <f>MAX($B971:$B$1261)</f>
        <v>48.49</v>
      </c>
      <c r="E971" s="7">
        <f t="shared" si="76"/>
        <v>-2.680965147453096E-2</v>
      </c>
      <c r="G971" s="6">
        <v>7747.03</v>
      </c>
      <c r="H971" s="7">
        <f t="shared" si="77"/>
        <v>8.3910161907896352E-5</v>
      </c>
      <c r="I971" s="6">
        <f>MAX($G971:$G$1261)</f>
        <v>7761.04</v>
      </c>
      <c r="J971" s="7">
        <f t="shared" si="78"/>
        <v>-1.8051704410749769E-3</v>
      </c>
      <c r="K971" s="6">
        <f t="shared" si="79"/>
        <v>129.46629410644027</v>
      </c>
    </row>
    <row r="972" spans="1:11" x14ac:dyDescent="0.25">
      <c r="A972" s="2">
        <f>DATE(2018,6,15)</f>
        <v>43266</v>
      </c>
      <c r="B972" s="6">
        <v>47.21</v>
      </c>
      <c r="C972" s="7">
        <f t="shared" si="75"/>
        <v>-1.0272536687631062E-2</v>
      </c>
      <c r="D972" s="6">
        <f>MAX($B972:$B$1261)</f>
        <v>48.49</v>
      </c>
      <c r="E972" s="7">
        <f t="shared" si="76"/>
        <v>-2.6397195297999665E-2</v>
      </c>
      <c r="G972" s="6">
        <v>7746.38</v>
      </c>
      <c r="H972" s="7">
        <f t="shared" si="77"/>
        <v>-1.8889221032232228E-3</v>
      </c>
      <c r="I972" s="6">
        <f>MAX($G972:$G$1261)</f>
        <v>7761.04</v>
      </c>
      <c r="J972" s="7">
        <f t="shared" si="78"/>
        <v>-1.8889221032232228E-3</v>
      </c>
      <c r="K972" s="6">
        <f t="shared" si="79"/>
        <v>129.45543148022492</v>
      </c>
    </row>
    <row r="973" spans="1:11" x14ac:dyDescent="0.25">
      <c r="A973" s="2">
        <f>DATE(2018,6,14)</f>
        <v>43265</v>
      </c>
      <c r="B973" s="6">
        <v>47.7</v>
      </c>
      <c r="C973" s="7">
        <f t="shared" si="75"/>
        <v>6.293266205161796E-4</v>
      </c>
      <c r="D973" s="6">
        <f>MAX($B973:$B$1261)</f>
        <v>48.49</v>
      </c>
      <c r="E973" s="7">
        <f t="shared" si="76"/>
        <v>-1.6292018972984157E-2</v>
      </c>
      <c r="G973" s="6">
        <v>7761.04</v>
      </c>
      <c r="H973" s="7">
        <f t="shared" si="77"/>
        <v>8.4904557090323962E-3</v>
      </c>
      <c r="I973" s="6">
        <f>MAX($G973:$G$1261)</f>
        <v>7761.04</v>
      </c>
      <c r="J973" s="7">
        <f t="shared" si="78"/>
        <v>0</v>
      </c>
      <c r="K973" s="6">
        <f t="shared" si="79"/>
        <v>129.70042548071288</v>
      </c>
    </row>
    <row r="974" spans="1:11" x14ac:dyDescent="0.25">
      <c r="A974" s="2">
        <f>DATE(2018,6,13)</f>
        <v>43264</v>
      </c>
      <c r="B974" s="6">
        <v>47.67</v>
      </c>
      <c r="C974" s="7">
        <f t="shared" si="75"/>
        <v>-8.3211982525482897E-3</v>
      </c>
      <c r="D974" s="6">
        <f>MAX($B974:$B$1261)</f>
        <v>48.49</v>
      </c>
      <c r="E974" s="7">
        <f t="shared" si="76"/>
        <v>-1.6910703237780988E-2</v>
      </c>
      <c r="G974" s="6">
        <v>7695.7</v>
      </c>
      <c r="H974" s="7">
        <f t="shared" si="77"/>
        <v>-1.0501324672661516E-3</v>
      </c>
      <c r="I974" s="6">
        <f>MAX($G974:$G$1261)</f>
        <v>7703.79</v>
      </c>
      <c r="J974" s="7">
        <f t="shared" si="78"/>
        <v>-1.0501324672661516E-3</v>
      </c>
      <c r="K974" s="6">
        <f t="shared" si="79"/>
        <v>128.60848087007952</v>
      </c>
    </row>
    <row r="975" spans="1:11" x14ac:dyDescent="0.25">
      <c r="A975" s="2">
        <f>DATE(2018,6,12)</f>
        <v>43263</v>
      </c>
      <c r="B975" s="6">
        <v>48.07</v>
      </c>
      <c r="C975" s="7">
        <f t="shared" si="75"/>
        <v>5.4381928466846752E-3</v>
      </c>
      <c r="D975" s="6">
        <f>MAX($B975:$B$1261)</f>
        <v>48.49</v>
      </c>
      <c r="E975" s="7">
        <f t="shared" si="76"/>
        <v>-8.6615797071561973E-3</v>
      </c>
      <c r="G975" s="6">
        <v>7703.79</v>
      </c>
      <c r="H975" s="7">
        <f t="shared" si="77"/>
        <v>5.7259008894336993E-3</v>
      </c>
      <c r="I975" s="6">
        <f>MAX($G975:$G$1261)</f>
        <v>7703.79</v>
      </c>
      <c r="J975" s="7">
        <f t="shared" si="78"/>
        <v>0</v>
      </c>
      <c r="K975" s="6">
        <f t="shared" si="79"/>
        <v>128.74367878712917</v>
      </c>
    </row>
    <row r="976" spans="1:11" x14ac:dyDescent="0.25">
      <c r="A976" s="2">
        <f>DATE(2018,6,11)</f>
        <v>43262</v>
      </c>
      <c r="B976" s="6">
        <v>47.81</v>
      </c>
      <c r="C976" s="7">
        <f t="shared" si="75"/>
        <v>-2.2954924874790672E-3</v>
      </c>
      <c r="D976" s="6">
        <f>MAX($B976:$B$1261)</f>
        <v>48.49</v>
      </c>
      <c r="E976" s="7">
        <f t="shared" si="76"/>
        <v>-1.4023510002062256E-2</v>
      </c>
      <c r="G976" s="6">
        <v>7659.93</v>
      </c>
      <c r="H976" s="7">
        <f t="shared" si="77"/>
        <v>1.886074310281538E-3</v>
      </c>
      <c r="I976" s="6">
        <f>MAX($G976:$G$1261)</f>
        <v>7689.24</v>
      </c>
      <c r="J976" s="7">
        <f t="shared" si="78"/>
        <v>-3.8118201538772656E-3</v>
      </c>
      <c r="K976" s="6">
        <f t="shared" si="79"/>
        <v>128.01070219358192</v>
      </c>
    </row>
    <row r="977" spans="1:11" x14ac:dyDescent="0.25">
      <c r="A977" s="2">
        <f>DATE(2018,6,8)</f>
        <v>43259</v>
      </c>
      <c r="B977" s="6">
        <v>47.92</v>
      </c>
      <c r="C977" s="7">
        <f t="shared" si="75"/>
        <v>-9.3032871614636692E-3</v>
      </c>
      <c r="D977" s="6">
        <f>MAX($B977:$B$1261)</f>
        <v>48.49</v>
      </c>
      <c r="E977" s="7">
        <f t="shared" si="76"/>
        <v>-1.1755001031140466E-2</v>
      </c>
      <c r="G977" s="6">
        <v>7645.51</v>
      </c>
      <c r="H977" s="7">
        <f t="shared" si="77"/>
        <v>1.3673744968940582E-3</v>
      </c>
      <c r="I977" s="6">
        <f>MAX($G977:$G$1261)</f>
        <v>7689.24</v>
      </c>
      <c r="J977" s="7">
        <f t="shared" si="78"/>
        <v>-5.6871680426153759E-3</v>
      </c>
      <c r="K977" s="6">
        <f t="shared" si="79"/>
        <v>127.7697190089273</v>
      </c>
    </row>
    <row r="978" spans="1:11" x14ac:dyDescent="0.25">
      <c r="A978" s="2">
        <f>DATE(2018,6,7)</f>
        <v>43258</v>
      </c>
      <c r="B978" s="6">
        <v>48.37</v>
      </c>
      <c r="C978" s="7">
        <f t="shared" si="75"/>
        <v>-2.4747370591875484E-3</v>
      </c>
      <c r="D978" s="6">
        <f>MAX($B978:$B$1261)</f>
        <v>48.49</v>
      </c>
      <c r="E978" s="7">
        <f t="shared" si="76"/>
        <v>-2.4747370591875484E-3</v>
      </c>
      <c r="G978" s="6">
        <v>7635.07</v>
      </c>
      <c r="H978" s="7">
        <f t="shared" si="77"/>
        <v>-7.0449095099125447E-3</v>
      </c>
      <c r="I978" s="6">
        <f>MAX($G978:$G$1261)</f>
        <v>7689.24</v>
      </c>
      <c r="J978" s="7">
        <f t="shared" si="78"/>
        <v>-7.0449095099125447E-3</v>
      </c>
      <c r="K978" s="6">
        <f t="shared" si="79"/>
        <v>127.59524852017594</v>
      </c>
    </row>
    <row r="979" spans="1:11" x14ac:dyDescent="0.25">
      <c r="A979" s="2">
        <f>DATE(2018,6,6)</f>
        <v>43257</v>
      </c>
      <c r="B979" s="6">
        <v>48.49</v>
      </c>
      <c r="C979" s="7">
        <f t="shared" si="75"/>
        <v>3.3105731429754481E-3</v>
      </c>
      <c r="D979" s="6">
        <f>MAX($B979:$B$1261)</f>
        <v>48.49</v>
      </c>
      <c r="E979" s="7">
        <f t="shared" si="76"/>
        <v>0</v>
      </c>
      <c r="G979" s="6">
        <v>7689.24</v>
      </c>
      <c r="H979" s="7">
        <f t="shared" si="77"/>
        <v>6.7270151586962257E-3</v>
      </c>
      <c r="I979" s="6">
        <f>MAX($G979:$G$1261)</f>
        <v>7689.24</v>
      </c>
      <c r="J979" s="7">
        <f t="shared" si="78"/>
        <v>0</v>
      </c>
      <c r="K979" s="6">
        <f t="shared" si="79"/>
        <v>128.50052307723146</v>
      </c>
    </row>
    <row r="980" spans="1:11" x14ac:dyDescent="0.25">
      <c r="A980" s="2">
        <f>DATE(2018,6,5)</f>
        <v>43256</v>
      </c>
      <c r="B980" s="6">
        <v>48.33</v>
      </c>
      <c r="C980" s="7">
        <f t="shared" si="75"/>
        <v>7.7147623019182543E-3</v>
      </c>
      <c r="D980" s="6">
        <f>MAX($B980:$B$1261)</f>
        <v>48.33</v>
      </c>
      <c r="E980" s="7">
        <f t="shared" si="76"/>
        <v>0</v>
      </c>
      <c r="G980" s="6">
        <v>7637.86</v>
      </c>
      <c r="H980" s="7">
        <f t="shared" si="77"/>
        <v>4.1280700877937004E-3</v>
      </c>
      <c r="I980" s="6">
        <f>MAX($G980:$G$1261)</f>
        <v>7637.86</v>
      </c>
      <c r="J980" s="7">
        <f t="shared" si="78"/>
        <v>0</v>
      </c>
      <c r="K980" s="6">
        <f t="shared" si="79"/>
        <v>127.6418742542388</v>
      </c>
    </row>
    <row r="981" spans="1:11" x14ac:dyDescent="0.25">
      <c r="A981" s="2">
        <f>DATE(2018,6,4)</f>
        <v>43255</v>
      </c>
      <c r="B981" s="6">
        <v>47.96</v>
      </c>
      <c r="C981" s="7">
        <f t="shared" si="75"/>
        <v>8.410428931875602E-3</v>
      </c>
      <c r="D981" s="6">
        <f>MAX($B981:$B$1261)</f>
        <v>47.96</v>
      </c>
      <c r="E981" s="7">
        <f t="shared" si="76"/>
        <v>0</v>
      </c>
      <c r="G981" s="6">
        <v>7606.46</v>
      </c>
      <c r="H981" s="7">
        <f t="shared" si="77"/>
        <v>6.9006781541183226E-3</v>
      </c>
      <c r="I981" s="6">
        <f>MAX($G981:$G$1261)</f>
        <v>7606.46</v>
      </c>
      <c r="J981" s="7">
        <f t="shared" si="78"/>
        <v>0</v>
      </c>
      <c r="K981" s="6">
        <f t="shared" si="79"/>
        <v>127.11712584937369</v>
      </c>
    </row>
    <row r="982" spans="1:11" x14ac:dyDescent="0.25">
      <c r="A982" s="2">
        <f>DATE(2018,6,1)</f>
        <v>43252</v>
      </c>
      <c r="B982" s="6">
        <v>47.56</v>
      </c>
      <c r="C982" s="7">
        <f t="shared" si="75"/>
        <v>1.7979452054794676E-2</v>
      </c>
      <c r="D982" s="6">
        <f>MAX($B982:$B$1261)</f>
        <v>47.56</v>
      </c>
      <c r="E982" s="7">
        <f t="shared" si="76"/>
        <v>0</v>
      </c>
      <c r="G982" s="6">
        <v>7554.33</v>
      </c>
      <c r="H982" s="7">
        <f t="shared" si="77"/>
        <v>1.5077692915459684E-2</v>
      </c>
      <c r="I982" s="6">
        <f>MAX($G982:$G$1261)</f>
        <v>7588.32</v>
      </c>
      <c r="J982" s="7">
        <f t="shared" si="78"/>
        <v>-4.4792523246252047E-3</v>
      </c>
      <c r="K982" s="6">
        <f t="shared" si="79"/>
        <v>126.24594322690174</v>
      </c>
    </row>
    <row r="983" spans="1:11" x14ac:dyDescent="0.25">
      <c r="A983" s="2">
        <f>DATE(2018,5,31)</f>
        <v>43251</v>
      </c>
      <c r="B983" s="6">
        <v>46.72</v>
      </c>
      <c r="C983" s="7">
        <f t="shared" si="75"/>
        <v>-3.4129692832765013E-3</v>
      </c>
      <c r="D983" s="6">
        <f>MAX($B983:$B$1261)</f>
        <v>47.51</v>
      </c>
      <c r="E983" s="7">
        <f t="shared" si="76"/>
        <v>-1.6628078299305349E-2</v>
      </c>
      <c r="G983" s="6">
        <v>7442.12</v>
      </c>
      <c r="H983" s="7">
        <f t="shared" si="77"/>
        <v>-2.7243063605115747E-3</v>
      </c>
      <c r="I983" s="6">
        <f>MAX($G983:$G$1261)</f>
        <v>7588.32</v>
      </c>
      <c r="J983" s="7">
        <f t="shared" si="78"/>
        <v>-1.9266451599299961E-2</v>
      </c>
      <c r="K983" s="6">
        <f t="shared" si="79"/>
        <v>124.37071970747769</v>
      </c>
    </row>
    <row r="984" spans="1:11" x14ac:dyDescent="0.25">
      <c r="A984" s="2">
        <f>DATE(2018,5,30)</f>
        <v>43250</v>
      </c>
      <c r="B984" s="6">
        <v>46.88</v>
      </c>
      <c r="C984" s="7">
        <f t="shared" si="75"/>
        <v>-1.9161166702149623E-3</v>
      </c>
      <c r="D984" s="6">
        <f>MAX($B984:$B$1261)</f>
        <v>47.51</v>
      </c>
      <c r="E984" s="7">
        <f t="shared" si="76"/>
        <v>-1.3260366238686538E-2</v>
      </c>
      <c r="G984" s="6">
        <v>7462.45</v>
      </c>
      <c r="H984" s="7">
        <f t="shared" si="77"/>
        <v>8.9041031069723164E-3</v>
      </c>
      <c r="I984" s="6">
        <f>MAX($G984:$G$1261)</f>
        <v>7588.32</v>
      </c>
      <c r="J984" s="7">
        <f t="shared" si="78"/>
        <v>-1.6587334218904792E-2</v>
      </c>
      <c r="K984" s="6">
        <f t="shared" si="79"/>
        <v>124.71046923202888</v>
      </c>
    </row>
    <row r="985" spans="1:11" x14ac:dyDescent="0.25">
      <c r="A985" s="2">
        <f>DATE(2018,5,29)</f>
        <v>43249</v>
      </c>
      <c r="B985" s="6">
        <v>46.97</v>
      </c>
      <c r="C985" s="7">
        <f t="shared" si="75"/>
        <v>-3.8176033934251841E-3</v>
      </c>
      <c r="D985" s="6">
        <f>MAX($B985:$B$1261)</f>
        <v>47.51</v>
      </c>
      <c r="E985" s="7">
        <f t="shared" si="76"/>
        <v>-1.1366028204588541E-2</v>
      </c>
      <c r="G985" s="6">
        <v>7396.59</v>
      </c>
      <c r="H985" s="7">
        <f t="shared" si="77"/>
        <v>-5.012207671664104E-3</v>
      </c>
      <c r="I985" s="6">
        <f>MAX($G985:$G$1261)</f>
        <v>7588.32</v>
      </c>
      <c r="J985" s="7">
        <f t="shared" si="78"/>
        <v>-2.5266462141817936E-2</v>
      </c>
      <c r="K985" s="6">
        <f t="shared" si="79"/>
        <v>123.60983452042325</v>
      </c>
    </row>
    <row r="986" spans="1:11" x14ac:dyDescent="0.25">
      <c r="A986" s="2">
        <f>DATE(2018,5,25)</f>
        <v>43245</v>
      </c>
      <c r="B986" s="6">
        <v>47.15</v>
      </c>
      <c r="C986" s="7">
        <f t="shared" si="75"/>
        <v>2.3384353741495723E-3</v>
      </c>
      <c r="D986" s="6">
        <f>MAX($B986:$B$1261)</f>
        <v>47.51</v>
      </c>
      <c r="E986" s="7">
        <f t="shared" si="76"/>
        <v>-7.5773521363923235E-3</v>
      </c>
      <c r="G986" s="6">
        <v>7433.85</v>
      </c>
      <c r="H986" s="7">
        <f t="shared" si="77"/>
        <v>1.2687842703076324E-3</v>
      </c>
      <c r="I986" s="6">
        <f>MAX($G986:$G$1261)</f>
        <v>7588.32</v>
      </c>
      <c r="J986" s="7">
        <f t="shared" si="78"/>
        <v>-2.0356284394964841E-2</v>
      </c>
      <c r="K986" s="6">
        <f t="shared" si="79"/>
        <v>124.232513678553</v>
      </c>
    </row>
    <row r="987" spans="1:11" x14ac:dyDescent="0.25">
      <c r="A987" s="2">
        <f>DATE(2018,5,24)</f>
        <v>43244</v>
      </c>
      <c r="B987" s="6">
        <v>47.04</v>
      </c>
      <c r="C987" s="7">
        <f t="shared" si="75"/>
        <v>-1.0617965597792267E-3</v>
      </c>
      <c r="D987" s="6">
        <f>MAX($B987:$B$1261)</f>
        <v>47.51</v>
      </c>
      <c r="E987" s="7">
        <f t="shared" si="76"/>
        <v>-9.892654178067728E-3</v>
      </c>
      <c r="G987" s="6">
        <v>7424.43</v>
      </c>
      <c r="H987" s="7">
        <f t="shared" si="77"/>
        <v>-2.0603396732543633E-4</v>
      </c>
      <c r="I987" s="6">
        <f>MAX($G987:$G$1261)</f>
        <v>7588.32</v>
      </c>
      <c r="J987" s="7">
        <f t="shared" si="78"/>
        <v>-2.1597665886520234E-2</v>
      </c>
      <c r="K987" s="6">
        <f t="shared" si="79"/>
        <v>124.07508915709347</v>
      </c>
    </row>
    <row r="988" spans="1:11" x14ac:dyDescent="0.25">
      <c r="A988" s="2">
        <f>DATE(2018,5,23)</f>
        <v>43243</v>
      </c>
      <c r="B988" s="6">
        <v>47.09</v>
      </c>
      <c r="C988" s="7">
        <f t="shared" si="75"/>
        <v>6.4116264159008729E-3</v>
      </c>
      <c r="D988" s="6">
        <f>MAX($B988:$B$1261)</f>
        <v>47.51</v>
      </c>
      <c r="E988" s="7">
        <f t="shared" si="76"/>
        <v>-8.8402441591243219E-3</v>
      </c>
      <c r="G988" s="6">
        <v>7425.96</v>
      </c>
      <c r="H988" s="7">
        <f t="shared" si="77"/>
        <v>6.4376577226141762E-3</v>
      </c>
      <c r="I988" s="6">
        <f>MAX($G988:$G$1261)</f>
        <v>7588.32</v>
      </c>
      <c r="J988" s="7">
        <f t="shared" si="78"/>
        <v>-2.1396040230248548E-2</v>
      </c>
      <c r="K988" s="6">
        <f t="shared" si="79"/>
        <v>124.10065810803117</v>
      </c>
    </row>
    <row r="989" spans="1:11" x14ac:dyDescent="0.25">
      <c r="A989" s="2">
        <f>DATE(2018,5,22)</f>
        <v>43242</v>
      </c>
      <c r="B989" s="6">
        <v>46.79</v>
      </c>
      <c r="C989" s="7">
        <f t="shared" si="75"/>
        <v>-2.558089959496801E-3</v>
      </c>
      <c r="D989" s="6">
        <f>MAX($B989:$B$1261)</f>
        <v>47.51</v>
      </c>
      <c r="E989" s="7">
        <f t="shared" si="76"/>
        <v>-1.5154704272784647E-2</v>
      </c>
      <c r="G989" s="6">
        <v>7378.46</v>
      </c>
      <c r="H989" s="7">
        <f t="shared" si="77"/>
        <v>-2.107102477130196E-3</v>
      </c>
      <c r="I989" s="6">
        <f>MAX($G989:$G$1261)</f>
        <v>7588.32</v>
      </c>
      <c r="J989" s="7">
        <f t="shared" si="78"/>
        <v>-2.7655660277900784E-2</v>
      </c>
      <c r="K989" s="6">
        <f t="shared" si="79"/>
        <v>123.30685080767789</v>
      </c>
    </row>
    <row r="990" spans="1:11" x14ac:dyDescent="0.25">
      <c r="A990" s="2">
        <f>DATE(2018,5,21)</f>
        <v>43241</v>
      </c>
      <c r="B990" s="6">
        <v>46.91</v>
      </c>
      <c r="C990" s="7">
        <f t="shared" si="75"/>
        <v>7.0845856590810996E-3</v>
      </c>
      <c r="D990" s="6">
        <f>MAX($B990:$B$1261)</f>
        <v>47.51</v>
      </c>
      <c r="E990" s="7">
        <f t="shared" si="76"/>
        <v>-1.2628920227320539E-2</v>
      </c>
      <c r="G990" s="6">
        <v>7394.04</v>
      </c>
      <c r="H990" s="7">
        <f t="shared" si="77"/>
        <v>5.3981730515586523E-3</v>
      </c>
      <c r="I990" s="6">
        <f>MAX($G990:$G$1261)</f>
        <v>7588.32</v>
      </c>
      <c r="J990" s="7">
        <f t="shared" si="78"/>
        <v>-2.5602504902270784E-2</v>
      </c>
      <c r="K990" s="6">
        <f t="shared" si="79"/>
        <v>123.56721960219376</v>
      </c>
    </row>
    <row r="991" spans="1:11" x14ac:dyDescent="0.25">
      <c r="A991" s="2">
        <f>DATE(2018,5,18)</f>
        <v>43238</v>
      </c>
      <c r="B991" s="6">
        <v>46.58</v>
      </c>
      <c r="C991" s="7">
        <f t="shared" si="75"/>
        <v>-3.6363636363636598E-3</v>
      </c>
      <c r="D991" s="6">
        <f>MAX($B991:$B$1261)</f>
        <v>47.51</v>
      </c>
      <c r="E991" s="7">
        <f t="shared" si="76"/>
        <v>-1.9574826352346864E-2</v>
      </c>
      <c r="G991" s="6">
        <v>7354.34</v>
      </c>
      <c r="H991" s="7">
        <f t="shared" si="77"/>
        <v>-3.8103778274750644E-3</v>
      </c>
      <c r="I991" s="6">
        <f>MAX($G991:$G$1261)</f>
        <v>7588.32</v>
      </c>
      <c r="J991" s="7">
        <f t="shared" si="78"/>
        <v>-3.0834229447361139E-2</v>
      </c>
      <c r="K991" s="6">
        <f t="shared" si="79"/>
        <v>122.9037638164248</v>
      </c>
    </row>
    <row r="992" spans="1:11" x14ac:dyDescent="0.25">
      <c r="A992" s="2">
        <f>DATE(2018,5,17)</f>
        <v>43237</v>
      </c>
      <c r="B992" s="6">
        <v>46.75</v>
      </c>
      <c r="C992" s="7">
        <f t="shared" si="75"/>
        <v>-6.1649659863944883E-3</v>
      </c>
      <c r="D992" s="6">
        <f>MAX($B992:$B$1261)</f>
        <v>47.51</v>
      </c>
      <c r="E992" s="7">
        <f t="shared" si="76"/>
        <v>-1.599663228793935E-2</v>
      </c>
      <c r="G992" s="6">
        <v>7382.47</v>
      </c>
      <c r="H992" s="7">
        <f t="shared" si="77"/>
        <v>-2.1396807374667315E-3</v>
      </c>
      <c r="I992" s="6">
        <f>MAX($G992:$G$1261)</f>
        <v>7588.32</v>
      </c>
      <c r="J992" s="7">
        <f t="shared" si="78"/>
        <v>-2.71272165644042E-2</v>
      </c>
      <c r="K992" s="6">
        <f t="shared" si="79"/>
        <v>123.37386485556033</v>
      </c>
    </row>
    <row r="993" spans="1:11" x14ac:dyDescent="0.25">
      <c r="A993" s="2">
        <f>DATE(2018,5,16)</f>
        <v>43236</v>
      </c>
      <c r="B993" s="6">
        <v>47.04</v>
      </c>
      <c r="C993" s="7">
        <f t="shared" si="75"/>
        <v>9.2254880926838645E-3</v>
      </c>
      <c r="D993" s="6">
        <f>MAX($B993:$B$1261)</f>
        <v>47.51</v>
      </c>
      <c r="E993" s="7">
        <f t="shared" si="76"/>
        <v>-9.892654178067728E-3</v>
      </c>
      <c r="G993" s="6">
        <v>7398.3</v>
      </c>
      <c r="H993" s="7">
        <f t="shared" si="77"/>
        <v>6.3482520203002046E-3</v>
      </c>
      <c r="I993" s="6">
        <f>MAX($G993:$G$1261)</f>
        <v>7588.32</v>
      </c>
      <c r="J993" s="7">
        <f t="shared" si="78"/>
        <v>-2.5041115820102378E-2</v>
      </c>
      <c r="K993" s="6">
        <f t="shared" si="79"/>
        <v>123.63841158323596</v>
      </c>
    </row>
    <row r="994" spans="1:11" x14ac:dyDescent="0.25">
      <c r="A994" s="2">
        <f>DATE(2018,5,15)</f>
        <v>43235</v>
      </c>
      <c r="B994" s="6">
        <v>46.61</v>
      </c>
      <c r="C994" s="7">
        <f t="shared" si="75"/>
        <v>-9.141156462585065E-3</v>
      </c>
      <c r="D994" s="6">
        <f>MAX($B994:$B$1261)</f>
        <v>47.51</v>
      </c>
      <c r="E994" s="7">
        <f t="shared" si="76"/>
        <v>-1.8943380340980864E-2</v>
      </c>
      <c r="G994" s="6">
        <v>7351.63</v>
      </c>
      <c r="H994" s="7">
        <f t="shared" si="77"/>
        <v>-8.0538959321685422E-3</v>
      </c>
      <c r="I994" s="6">
        <f>MAX($G994:$G$1261)</f>
        <v>7588.32</v>
      </c>
      <c r="J994" s="7">
        <f t="shared" si="78"/>
        <v>-3.1191357243764095E-2</v>
      </c>
      <c r="K994" s="6">
        <f t="shared" si="79"/>
        <v>122.85847502097307</v>
      </c>
    </row>
    <row r="995" spans="1:11" x14ac:dyDescent="0.25">
      <c r="A995" s="2">
        <f>DATE(2018,5,14)</f>
        <v>43234</v>
      </c>
      <c r="B995" s="6">
        <v>47.04</v>
      </c>
      <c r="C995" s="7">
        <f t="shared" si="75"/>
        <v>-2.3329798515376865E-3</v>
      </c>
      <c r="D995" s="6">
        <f>MAX($B995:$B$1261)</f>
        <v>47.51</v>
      </c>
      <c r="E995" s="7">
        <f t="shared" si="76"/>
        <v>-9.892654178067728E-3</v>
      </c>
      <c r="G995" s="6">
        <v>7411.32</v>
      </c>
      <c r="H995" s="7">
        <f t="shared" si="77"/>
        <v>1.1400968271806367E-3</v>
      </c>
      <c r="I995" s="6">
        <f>MAX($G995:$G$1261)</f>
        <v>7588.32</v>
      </c>
      <c r="J995" s="7">
        <f t="shared" si="78"/>
        <v>-2.3325321019672329E-2</v>
      </c>
      <c r="K995" s="6">
        <f t="shared" si="79"/>
        <v>123.85599834219596</v>
      </c>
    </row>
    <row r="996" spans="1:11" x14ac:dyDescent="0.25">
      <c r="A996" s="2">
        <f>DATE(2018,5,11)</f>
        <v>43231</v>
      </c>
      <c r="B996" s="6">
        <v>47.15</v>
      </c>
      <c r="C996" s="7">
        <f t="shared" si="75"/>
        <v>-7.5773521363923235E-3</v>
      </c>
      <c r="D996" s="6">
        <f>MAX($B996:$B$1261)</f>
        <v>47.51</v>
      </c>
      <c r="E996" s="7">
        <f t="shared" si="76"/>
        <v>-7.5773521363923235E-3</v>
      </c>
      <c r="G996" s="6">
        <v>7402.88</v>
      </c>
      <c r="H996" s="7">
        <f t="shared" si="77"/>
        <v>-2.8224287201705778E-4</v>
      </c>
      <c r="I996" s="6">
        <f>MAX($G996:$G$1261)</f>
        <v>7588.32</v>
      </c>
      <c r="J996" s="7">
        <f t="shared" si="78"/>
        <v>-2.4437556666034088E-2</v>
      </c>
      <c r="K996" s="6">
        <f t="shared" si="79"/>
        <v>123.71495131872268</v>
      </c>
    </row>
    <row r="997" spans="1:11" x14ac:dyDescent="0.25">
      <c r="A997" s="2">
        <f>DATE(2018,5,10)</f>
        <v>43230</v>
      </c>
      <c r="B997" s="6">
        <v>47.51</v>
      </c>
      <c r="C997" s="7">
        <f t="shared" si="75"/>
        <v>1.4304013663535287E-2</v>
      </c>
      <c r="D997" s="6">
        <f>MAX($B997:$B$1261)</f>
        <v>47.51</v>
      </c>
      <c r="E997" s="7">
        <f t="shared" si="76"/>
        <v>0</v>
      </c>
      <c r="G997" s="6">
        <v>7404.97</v>
      </c>
      <c r="H997" s="7">
        <f t="shared" si="77"/>
        <v>8.8638689030247075E-3</v>
      </c>
      <c r="I997" s="6">
        <f>MAX($G997:$G$1261)</f>
        <v>7588.32</v>
      </c>
      <c r="J997" s="7">
        <f t="shared" si="78"/>
        <v>-2.4162133383937356E-2</v>
      </c>
      <c r="K997" s="6">
        <f t="shared" si="79"/>
        <v>123.74987883993823</v>
      </c>
    </row>
    <row r="998" spans="1:11" x14ac:dyDescent="0.25">
      <c r="A998" s="2">
        <f>DATE(2018,5,9)</f>
        <v>43229</v>
      </c>
      <c r="B998" s="6">
        <v>46.84</v>
      </c>
      <c r="C998" s="7">
        <f t="shared" si="75"/>
        <v>7.0952483336919059E-3</v>
      </c>
      <c r="D998" s="6">
        <f>MAX($B998:$B$1261)</f>
        <v>46.84</v>
      </c>
      <c r="E998" s="7">
        <f t="shared" si="76"/>
        <v>0</v>
      </c>
      <c r="G998" s="6">
        <v>7339.91</v>
      </c>
      <c r="H998" s="7">
        <f t="shared" si="77"/>
        <v>1.0046925098735393E-2</v>
      </c>
      <c r="I998" s="6">
        <f>MAX($G998:$G$1261)</f>
        <v>7588.32</v>
      </c>
      <c r="J998" s="7">
        <f t="shared" si="78"/>
        <v>-3.2735836127100626E-2</v>
      </c>
      <c r="K998" s="6">
        <f t="shared" si="79"/>
        <v>122.66261351444382</v>
      </c>
    </row>
    <row r="999" spans="1:11" x14ac:dyDescent="0.25">
      <c r="A999" s="2">
        <f>DATE(2018,5,8)</f>
        <v>43228</v>
      </c>
      <c r="B999" s="6">
        <v>46.51</v>
      </c>
      <c r="C999" s="7">
        <f t="shared" si="75"/>
        <v>4.7526463599050217E-3</v>
      </c>
      <c r="D999" s="6">
        <f>MAX($B999:$B$1261)</f>
        <v>46.51</v>
      </c>
      <c r="E999" s="7">
        <f t="shared" si="76"/>
        <v>0</v>
      </c>
      <c r="G999" s="6">
        <v>7266.9</v>
      </c>
      <c r="H999" s="7">
        <f t="shared" si="77"/>
        <v>2.3261543713104516E-4</v>
      </c>
      <c r="I999" s="6">
        <f>MAX($G999:$G$1261)</f>
        <v>7588.32</v>
      </c>
      <c r="J999" s="7">
        <f t="shared" si="78"/>
        <v>-4.2357201594028782E-2</v>
      </c>
      <c r="K999" s="6">
        <f t="shared" si="79"/>
        <v>121.44248991446922</v>
      </c>
    </row>
    <row r="1000" spans="1:11" x14ac:dyDescent="0.25">
      <c r="A1000" s="2">
        <f>DATE(2018,5,7)</f>
        <v>43227</v>
      </c>
      <c r="B1000" s="6">
        <v>46.29</v>
      </c>
      <c r="C1000" s="7">
        <f t="shared" si="75"/>
        <v>7.1801566579634546E-3</v>
      </c>
      <c r="D1000" s="6">
        <f>MAX($B1000:$B$1261)</f>
        <v>46.29</v>
      </c>
      <c r="E1000" s="7">
        <f t="shared" si="76"/>
        <v>0</v>
      </c>
      <c r="G1000" s="6">
        <v>7265.21</v>
      </c>
      <c r="H1000" s="7">
        <f t="shared" si="77"/>
        <v>7.7105312069152276E-3</v>
      </c>
      <c r="I1000" s="6">
        <f>MAX($G1000:$G$1261)</f>
        <v>7588.32</v>
      </c>
      <c r="J1000" s="7">
        <f t="shared" si="78"/>
        <v>-4.2579912286250354E-2</v>
      </c>
      <c r="K1000" s="6">
        <f t="shared" si="79"/>
        <v>121.4142470863093</v>
      </c>
    </row>
    <row r="1001" spans="1:11" x14ac:dyDescent="0.25">
      <c r="A1001" s="2">
        <f>DATE(2018,5,4)</f>
        <v>43224</v>
      </c>
      <c r="B1001" s="6">
        <v>45.96</v>
      </c>
      <c r="C1001" s="7">
        <f t="shared" si="75"/>
        <v>3.9348710990502189E-2</v>
      </c>
      <c r="D1001" s="6">
        <f>MAX($B1001:$B$1261)</f>
        <v>45.96</v>
      </c>
      <c r="E1001" s="7">
        <f t="shared" si="76"/>
        <v>0</v>
      </c>
      <c r="G1001" s="6">
        <v>7209.62</v>
      </c>
      <c r="H1001" s="7">
        <f t="shared" si="77"/>
        <v>1.7137052686526211E-2</v>
      </c>
      <c r="I1001" s="6">
        <f>MAX($G1001:$G$1261)</f>
        <v>7588.32</v>
      </c>
      <c r="J1001" s="7">
        <f t="shared" si="78"/>
        <v>-4.9905644464123822E-2</v>
      </c>
      <c r="K1001" s="6">
        <f t="shared" si="79"/>
        <v>120.48524186890637</v>
      </c>
    </row>
    <row r="1002" spans="1:11" x14ac:dyDescent="0.25">
      <c r="A1002" s="2">
        <f>DATE(2018,5,3)</f>
        <v>43223</v>
      </c>
      <c r="B1002" s="6">
        <v>44.22</v>
      </c>
      <c r="C1002" s="7">
        <f t="shared" si="75"/>
        <v>1.8124150430447461E-3</v>
      </c>
      <c r="D1002" s="6">
        <f>MAX($B1002:$B$1261)</f>
        <v>45.43</v>
      </c>
      <c r="E1002" s="7">
        <f t="shared" si="76"/>
        <v>-2.6634382566586012E-2</v>
      </c>
      <c r="G1002" s="6">
        <v>7088.15</v>
      </c>
      <c r="H1002" s="7">
        <f t="shared" si="77"/>
        <v>-1.7955470433325127E-3</v>
      </c>
      <c r="I1002" s="6">
        <f>MAX($G1002:$G$1261)</f>
        <v>7588.32</v>
      </c>
      <c r="J1002" s="7">
        <f t="shared" si="78"/>
        <v>-6.5913140194404085E-2</v>
      </c>
      <c r="K1002" s="6">
        <f t="shared" si="79"/>
        <v>118.45526770524502</v>
      </c>
    </row>
    <row r="1003" spans="1:11" x14ac:dyDescent="0.25">
      <c r="A1003" s="2">
        <f>DATE(2018,5,2)</f>
        <v>43222</v>
      </c>
      <c r="B1003" s="6">
        <v>44.14</v>
      </c>
      <c r="C1003" s="7">
        <f t="shared" si="75"/>
        <v>4.3992431409650035E-2</v>
      </c>
      <c r="D1003" s="6">
        <f>MAX($B1003:$B$1261)</f>
        <v>45.43</v>
      </c>
      <c r="E1003" s="7">
        <f t="shared" si="76"/>
        <v>-2.8395333480079277E-2</v>
      </c>
      <c r="G1003" s="6">
        <v>7100.9</v>
      </c>
      <c r="H1003" s="7">
        <f t="shared" si="77"/>
        <v>-4.1791128500708874E-3</v>
      </c>
      <c r="I1003" s="6">
        <f>MAX($G1003:$G$1261)</f>
        <v>7588.32</v>
      </c>
      <c r="J1003" s="7">
        <f t="shared" si="78"/>
        <v>-6.4232926392139511E-2</v>
      </c>
      <c r="K1003" s="6">
        <f t="shared" si="79"/>
        <v>118.66834229639248</v>
      </c>
    </row>
    <row r="1004" spans="1:11" x14ac:dyDescent="0.25">
      <c r="A1004" s="2">
        <f>DATE(2018,5,1)</f>
        <v>43221</v>
      </c>
      <c r="B1004" s="6">
        <v>42.28</v>
      </c>
      <c r="C1004" s="7">
        <f t="shared" si="75"/>
        <v>2.3480997337206544E-2</v>
      </c>
      <c r="D1004" s="6">
        <f>MAX($B1004:$B$1261)</f>
        <v>45.43</v>
      </c>
      <c r="E1004" s="7">
        <f t="shared" si="76"/>
        <v>-6.9337442218798118E-2</v>
      </c>
      <c r="G1004" s="6">
        <v>7130.7</v>
      </c>
      <c r="H1004" s="7">
        <f t="shared" si="77"/>
        <v>9.1179646404679904E-3</v>
      </c>
      <c r="I1004" s="6">
        <f>MAX($G1004:$G$1261)</f>
        <v>7588.32</v>
      </c>
      <c r="J1004" s="7">
        <f t="shared" si="78"/>
        <v>-6.0305838446454541E-2</v>
      </c>
      <c r="K1004" s="6">
        <f t="shared" si="79"/>
        <v>119.16635192903519</v>
      </c>
    </row>
    <row r="1005" spans="1:11" x14ac:dyDescent="0.25">
      <c r="A1005" s="2">
        <f>DATE(2018,4,30)</f>
        <v>43220</v>
      </c>
      <c r="B1005" s="6">
        <v>41.31</v>
      </c>
      <c r="C1005" s="7">
        <f t="shared" si="75"/>
        <v>1.7989157220305696E-2</v>
      </c>
      <c r="D1005" s="6">
        <f>MAX($B1005:$B$1261)</f>
        <v>45.43</v>
      </c>
      <c r="E1005" s="7">
        <f t="shared" si="76"/>
        <v>-9.0688972044904226E-2</v>
      </c>
      <c r="G1005" s="6">
        <v>7066.27</v>
      </c>
      <c r="H1005" s="7">
        <f t="shared" si="77"/>
        <v>-7.5184696199330769E-3</v>
      </c>
      <c r="I1005" s="6">
        <f>MAX($G1005:$G$1261)</f>
        <v>7588.32</v>
      </c>
      <c r="J1005" s="7">
        <f t="shared" si="78"/>
        <v>-6.8796518860564593E-2</v>
      </c>
      <c r="K1005" s="6">
        <f t="shared" si="79"/>
        <v>118.08961499510336</v>
      </c>
    </row>
    <row r="1006" spans="1:11" x14ac:dyDescent="0.25">
      <c r="A1006" s="2">
        <f>DATE(2018,4,27)</f>
        <v>43217</v>
      </c>
      <c r="B1006" s="6">
        <v>40.58</v>
      </c>
      <c r="C1006" s="7">
        <f t="shared" si="75"/>
        <v>-1.1449451887941553E-2</v>
      </c>
      <c r="D1006" s="6">
        <f>MAX($B1006:$B$1261)</f>
        <v>45.43</v>
      </c>
      <c r="E1006" s="7">
        <f t="shared" si="76"/>
        <v>-0.10675764913053054</v>
      </c>
      <c r="G1006" s="6">
        <v>7119.8</v>
      </c>
      <c r="H1006" s="7">
        <f t="shared" si="77"/>
        <v>1.5733253917860068E-4</v>
      </c>
      <c r="I1006" s="6">
        <f>MAX($G1006:$G$1261)</f>
        <v>7588.32</v>
      </c>
      <c r="J1006" s="7">
        <f t="shared" si="78"/>
        <v>-6.1742256520547323E-2</v>
      </c>
      <c r="K1006" s="6">
        <f t="shared" si="79"/>
        <v>118.98419404326991</v>
      </c>
    </row>
    <row r="1007" spans="1:11" x14ac:dyDescent="0.25">
      <c r="A1007" s="2">
        <f>DATE(2018,4,26)</f>
        <v>43216</v>
      </c>
      <c r="B1007" s="6">
        <v>41.05</v>
      </c>
      <c r="C1007" s="7">
        <f t="shared" si="75"/>
        <v>3.4221461745294057E-3</v>
      </c>
      <c r="D1007" s="6">
        <f>MAX($B1007:$B$1261)</f>
        <v>45.43</v>
      </c>
      <c r="E1007" s="7">
        <f t="shared" si="76"/>
        <v>-9.6412062513757446E-2</v>
      </c>
      <c r="G1007" s="6">
        <v>7118.68</v>
      </c>
      <c r="H1007" s="7">
        <f t="shared" si="77"/>
        <v>1.6411231713341801E-2</v>
      </c>
      <c r="I1007" s="6">
        <f>MAX($G1007:$G$1261)</f>
        <v>7588.32</v>
      </c>
      <c r="J1007" s="7">
        <f t="shared" si="78"/>
        <v>-6.1889851772197191E-2</v>
      </c>
      <c r="K1007" s="6">
        <f t="shared" si="79"/>
        <v>118.96547690271422</v>
      </c>
    </row>
    <row r="1008" spans="1:11" x14ac:dyDescent="0.25">
      <c r="A1008" s="2">
        <f>DATE(2018,4,25)</f>
        <v>43215</v>
      </c>
      <c r="B1008" s="6">
        <v>40.909999999999997</v>
      </c>
      <c r="C1008" s="7">
        <f t="shared" si="75"/>
        <v>4.17280314187507E-3</v>
      </c>
      <c r="D1008" s="6">
        <f>MAX($B1008:$B$1261)</f>
        <v>45.43</v>
      </c>
      <c r="E1008" s="7">
        <f t="shared" si="76"/>
        <v>-9.949372661237077E-2</v>
      </c>
      <c r="G1008" s="6">
        <v>7003.74</v>
      </c>
      <c r="H1008" s="7">
        <f t="shared" si="77"/>
        <v>-5.1517335369299921E-4</v>
      </c>
      <c r="I1008" s="6">
        <f>MAX($G1008:$G$1261)</f>
        <v>7588.32</v>
      </c>
      <c r="J1008" s="7">
        <f t="shared" si="78"/>
        <v>-7.7036814472768667E-2</v>
      </c>
      <c r="K1008" s="6">
        <f t="shared" si="79"/>
        <v>117.04463035318565</v>
      </c>
    </row>
    <row r="1009" spans="1:11" x14ac:dyDescent="0.25">
      <c r="A1009" s="2">
        <f>DATE(2018,4,24)</f>
        <v>43214</v>
      </c>
      <c r="B1009" s="6">
        <v>40.74</v>
      </c>
      <c r="C1009" s="7">
        <f t="shared" si="75"/>
        <v>-1.3798111837327487E-2</v>
      </c>
      <c r="D1009" s="6">
        <f>MAX($B1009:$B$1261)</f>
        <v>45.43</v>
      </c>
      <c r="E1009" s="7">
        <f t="shared" si="76"/>
        <v>-0.1032357473035439</v>
      </c>
      <c r="G1009" s="6">
        <v>7007.35</v>
      </c>
      <c r="H1009" s="7">
        <f t="shared" si="77"/>
        <v>-1.7008949863928424E-2</v>
      </c>
      <c r="I1009" s="6">
        <f>MAX($G1009:$G$1261)</f>
        <v>7588.32</v>
      </c>
      <c r="J1009" s="7">
        <f t="shared" si="78"/>
        <v>-7.6561083349147019E-2</v>
      </c>
      <c r="K1009" s="6">
        <f t="shared" si="79"/>
        <v>117.10495970801252</v>
      </c>
    </row>
    <row r="1010" spans="1:11" x14ac:dyDescent="0.25">
      <c r="A1010" s="2">
        <f>DATE(2018,4,23)</f>
        <v>43213</v>
      </c>
      <c r="B1010" s="6">
        <v>41.31</v>
      </c>
      <c r="C1010" s="7">
        <f t="shared" si="75"/>
        <v>-2.8964518464880129E-3</v>
      </c>
      <c r="D1010" s="6">
        <f>MAX($B1010:$B$1261)</f>
        <v>45.43</v>
      </c>
      <c r="E1010" s="7">
        <f t="shared" si="76"/>
        <v>-9.0688972044904226E-2</v>
      </c>
      <c r="G1010" s="6">
        <v>7128.6</v>
      </c>
      <c r="H1010" s="7">
        <f t="shared" si="77"/>
        <v>-2.4530760005765373E-3</v>
      </c>
      <c r="I1010" s="6">
        <f>MAX($G1010:$G$1261)</f>
        <v>7588.32</v>
      </c>
      <c r="J1010" s="7">
        <f t="shared" si="78"/>
        <v>-6.0582579543298043E-2</v>
      </c>
      <c r="K1010" s="6">
        <f t="shared" si="79"/>
        <v>119.13125729049327</v>
      </c>
    </row>
    <row r="1011" spans="1:11" x14ac:dyDescent="0.25">
      <c r="A1011" s="2">
        <f>DATE(2018,4,20)</f>
        <v>43210</v>
      </c>
      <c r="B1011" s="6">
        <v>41.43</v>
      </c>
      <c r="C1011" s="7">
        <f t="shared" si="75"/>
        <v>-4.0972222222222299E-2</v>
      </c>
      <c r="D1011" s="6">
        <f>MAX($B1011:$B$1261)</f>
        <v>45.43</v>
      </c>
      <c r="E1011" s="7">
        <f t="shared" si="76"/>
        <v>-8.8047545674664329E-2</v>
      </c>
      <c r="G1011" s="6">
        <v>7146.13</v>
      </c>
      <c r="H1011" s="7">
        <f t="shared" si="77"/>
        <v>-1.2700917096570064E-2</v>
      </c>
      <c r="I1011" s="6">
        <f>MAX($G1011:$G$1261)</f>
        <v>7588.32</v>
      </c>
      <c r="J1011" s="7">
        <f t="shared" si="78"/>
        <v>-5.8272450292027655E-2</v>
      </c>
      <c r="K1011" s="6">
        <f t="shared" si="79"/>
        <v>119.42421396365522</v>
      </c>
    </row>
    <row r="1012" spans="1:11" x14ac:dyDescent="0.25">
      <c r="A1012" s="2">
        <f>DATE(2018,4,19)</f>
        <v>43209</v>
      </c>
      <c r="B1012" s="6">
        <v>43.2</v>
      </c>
      <c r="C1012" s="7">
        <f t="shared" si="75"/>
        <v>-2.8340080971659853E-2</v>
      </c>
      <c r="D1012" s="6">
        <f>MAX($B1012:$B$1261)</f>
        <v>45.43</v>
      </c>
      <c r="E1012" s="7">
        <f t="shared" si="76"/>
        <v>-4.9086506713625244E-2</v>
      </c>
      <c r="G1012" s="6">
        <v>7238.06</v>
      </c>
      <c r="H1012" s="7">
        <f t="shared" si="77"/>
        <v>-7.8379875096638019E-3</v>
      </c>
      <c r="I1012" s="6">
        <f>MAX($G1012:$G$1261)</f>
        <v>7588.32</v>
      </c>
      <c r="J1012" s="7">
        <f t="shared" si="78"/>
        <v>-4.6157779324013659E-2</v>
      </c>
      <c r="K1012" s="6">
        <f t="shared" si="79"/>
        <v>120.96052354516002</v>
      </c>
    </row>
    <row r="1013" spans="1:11" x14ac:dyDescent="0.25">
      <c r="A1013" s="2">
        <f>DATE(2018,4,18)</f>
        <v>43208</v>
      </c>
      <c r="B1013" s="6">
        <v>44.46</v>
      </c>
      <c r="C1013" s="7">
        <f t="shared" si="75"/>
        <v>-2.244165170556589E-3</v>
      </c>
      <c r="D1013" s="6">
        <f>MAX($B1013:$B$1261)</f>
        <v>45.43</v>
      </c>
      <c r="E1013" s="7">
        <f t="shared" si="76"/>
        <v>-2.1351529826106108E-2</v>
      </c>
      <c r="G1013" s="6">
        <v>7295.24</v>
      </c>
      <c r="H1013" s="7">
        <f t="shared" si="77"/>
        <v>1.942014256087532E-3</v>
      </c>
      <c r="I1013" s="6">
        <f>MAX($G1013:$G$1261)</f>
        <v>7588.32</v>
      </c>
      <c r="J1013" s="7">
        <f t="shared" si="78"/>
        <v>-3.8622514601387437E-2</v>
      </c>
      <c r="K1013" s="6">
        <f t="shared" si="79"/>
        <v>121.91610041745898</v>
      </c>
    </row>
    <row r="1014" spans="1:11" x14ac:dyDescent="0.25">
      <c r="A1014" s="2">
        <f>DATE(2018,4,17)</f>
        <v>43207</v>
      </c>
      <c r="B1014" s="6">
        <v>44.56</v>
      </c>
      <c r="C1014" s="7">
        <f t="shared" si="75"/>
        <v>1.364877161055511E-2</v>
      </c>
      <c r="D1014" s="6">
        <f>MAX($B1014:$B$1261)</f>
        <v>45.43</v>
      </c>
      <c r="E1014" s="7">
        <f t="shared" si="76"/>
        <v>-1.9150341184239417E-2</v>
      </c>
      <c r="G1014" s="6">
        <v>7281.1</v>
      </c>
      <c r="H1014" s="7">
        <f t="shared" si="77"/>
        <v>1.7442022950471481E-2</v>
      </c>
      <c r="I1014" s="6">
        <f>MAX($G1014:$G$1261)</f>
        <v>7588.32</v>
      </c>
      <c r="J1014" s="7">
        <f t="shared" si="78"/>
        <v>-4.0485904653467353E-2</v>
      </c>
      <c r="K1014" s="6">
        <f t="shared" si="79"/>
        <v>121.6797965179433</v>
      </c>
    </row>
    <row r="1015" spans="1:11" x14ac:dyDescent="0.25">
      <c r="A1015" s="2">
        <f>DATE(2018,4,16)</f>
        <v>43206</v>
      </c>
      <c r="B1015" s="6">
        <v>43.96</v>
      </c>
      <c r="C1015" s="7">
        <f t="shared" si="75"/>
        <v>6.4102564102563875E-3</v>
      </c>
      <c r="D1015" s="6">
        <f>MAX($B1015:$B$1261)</f>
        <v>45.43</v>
      </c>
      <c r="E1015" s="7">
        <f t="shared" si="76"/>
        <v>-3.2357473035439122E-2</v>
      </c>
      <c r="G1015" s="6">
        <v>7156.28</v>
      </c>
      <c r="H1015" s="7">
        <f t="shared" si="77"/>
        <v>6.9835998677294508E-3</v>
      </c>
      <c r="I1015" s="6">
        <f>MAX($G1015:$G$1261)</f>
        <v>7588.32</v>
      </c>
      <c r="J1015" s="7">
        <f t="shared" si="78"/>
        <v>-5.6934868323950449E-2</v>
      </c>
      <c r="K1015" s="6">
        <f t="shared" si="79"/>
        <v>119.59383804994125</v>
      </c>
    </row>
    <row r="1016" spans="1:11" x14ac:dyDescent="0.25">
      <c r="A1016" s="2">
        <f>DATE(2018,4,13)</f>
        <v>43203</v>
      </c>
      <c r="B1016" s="6">
        <v>43.68</v>
      </c>
      <c r="C1016" s="7">
        <f t="shared" si="75"/>
        <v>3.4458993797381599E-3</v>
      </c>
      <c r="D1016" s="6">
        <f>MAX($B1016:$B$1261)</f>
        <v>45.43</v>
      </c>
      <c r="E1016" s="7">
        <f t="shared" si="76"/>
        <v>-3.8520801232665658E-2</v>
      </c>
      <c r="G1016" s="6">
        <v>7106.65</v>
      </c>
      <c r="H1016" s="7">
        <f t="shared" si="77"/>
        <v>-4.7057175869192891E-3</v>
      </c>
      <c r="I1016" s="6">
        <f>MAX($G1016:$G$1261)</f>
        <v>7588.32</v>
      </c>
      <c r="J1016" s="7">
        <f t="shared" si="78"/>
        <v>-6.3475182912686834E-2</v>
      </c>
      <c r="K1016" s="6">
        <f t="shared" si="79"/>
        <v>118.76443475906687</v>
      </c>
    </row>
    <row r="1017" spans="1:11" x14ac:dyDescent="0.25">
      <c r="A1017" s="2">
        <f>DATE(2018,4,12)</f>
        <v>43202</v>
      </c>
      <c r="B1017" s="6">
        <v>43.53</v>
      </c>
      <c r="C1017" s="7">
        <f t="shared" si="75"/>
        <v>9.7425191370912323E-3</v>
      </c>
      <c r="D1017" s="6">
        <f>MAX($B1017:$B$1261)</f>
        <v>45.43</v>
      </c>
      <c r="E1017" s="7">
        <f t="shared" si="76"/>
        <v>-4.1822584195465473E-2</v>
      </c>
      <c r="G1017" s="6">
        <v>7140.25</v>
      </c>
      <c r="H1017" s="7">
        <f t="shared" si="77"/>
        <v>1.0074932487201149E-2</v>
      </c>
      <c r="I1017" s="6">
        <f>MAX($G1017:$G$1261)</f>
        <v>7588.32</v>
      </c>
      <c r="J1017" s="7">
        <f t="shared" si="78"/>
        <v>-5.9047325363189684E-2</v>
      </c>
      <c r="K1017" s="6">
        <f t="shared" si="79"/>
        <v>119.32594897573783</v>
      </c>
    </row>
    <row r="1018" spans="1:11" x14ac:dyDescent="0.25">
      <c r="A1018" s="2">
        <f>DATE(2018,4,11)</f>
        <v>43201</v>
      </c>
      <c r="B1018" s="6">
        <v>43.11</v>
      </c>
      <c r="C1018" s="7">
        <f t="shared" si="75"/>
        <v>-4.617871161394671E-3</v>
      </c>
      <c r="D1018" s="6">
        <f>MAX($B1018:$B$1261)</f>
        <v>45.43</v>
      </c>
      <c r="E1018" s="7">
        <f t="shared" si="76"/>
        <v>-5.1067576491305333E-2</v>
      </c>
      <c r="G1018" s="6">
        <v>7069.03</v>
      </c>
      <c r="H1018" s="7">
        <f t="shared" si="77"/>
        <v>-3.5620145750814292E-3</v>
      </c>
      <c r="I1018" s="6">
        <f>MAX($G1018:$G$1261)</f>
        <v>7588.32</v>
      </c>
      <c r="J1018" s="7">
        <f t="shared" si="78"/>
        <v>-6.8432801990427339E-2</v>
      </c>
      <c r="K1018" s="6">
        <f t="shared" si="79"/>
        <v>118.13573937718708</v>
      </c>
    </row>
    <row r="1019" spans="1:11" x14ac:dyDescent="0.25">
      <c r="A1019" s="2">
        <f>DATE(2018,4,10)</f>
        <v>43200</v>
      </c>
      <c r="B1019" s="6">
        <v>43.31</v>
      </c>
      <c r="C1019" s="7">
        <f t="shared" si="75"/>
        <v>1.8819101387908876E-2</v>
      </c>
      <c r="D1019" s="6">
        <f>MAX($B1019:$B$1261)</f>
        <v>45.43</v>
      </c>
      <c r="E1019" s="7">
        <f t="shared" si="76"/>
        <v>-4.6665199207572061E-2</v>
      </c>
      <c r="G1019" s="6">
        <v>7094.3</v>
      </c>
      <c r="H1019" s="7">
        <f t="shared" si="77"/>
        <v>2.0712655783745815E-2</v>
      </c>
      <c r="I1019" s="6">
        <f>MAX($G1019:$G$1261)</f>
        <v>7588.32</v>
      </c>
      <c r="J1019" s="7">
        <f t="shared" si="78"/>
        <v>-6.510268412507636E-2</v>
      </c>
      <c r="K1019" s="6">
        <f t="shared" si="79"/>
        <v>118.55804486097503</v>
      </c>
    </row>
    <row r="1020" spans="1:11" x14ac:dyDescent="0.25">
      <c r="A1020" s="2">
        <f>DATE(2018,4,9)</f>
        <v>43199</v>
      </c>
      <c r="B1020" s="6">
        <v>42.51</v>
      </c>
      <c r="C1020" s="7">
        <f t="shared" si="75"/>
        <v>9.7387173396674687E-3</v>
      </c>
      <c r="D1020" s="6">
        <f>MAX($B1020:$B$1261)</f>
        <v>45.43</v>
      </c>
      <c r="E1020" s="7">
        <f t="shared" si="76"/>
        <v>-6.4274708342505038E-2</v>
      </c>
      <c r="G1020" s="6">
        <v>6950.34</v>
      </c>
      <c r="H1020" s="7">
        <f t="shared" si="77"/>
        <v>5.0946405769396463E-3</v>
      </c>
      <c r="I1020" s="6">
        <f>MAX($G1020:$G$1261)</f>
        <v>7588.32</v>
      </c>
      <c r="J1020" s="7">
        <f t="shared" si="78"/>
        <v>-8.4073945221076585E-2</v>
      </c>
      <c r="K1020" s="6">
        <f t="shared" si="79"/>
        <v>116.15222383026222</v>
      </c>
    </row>
    <row r="1021" spans="1:11" x14ac:dyDescent="0.25">
      <c r="A1021" s="2">
        <f>DATE(2018,4,6)</f>
        <v>43196</v>
      </c>
      <c r="B1021" s="6">
        <v>42.1</v>
      </c>
      <c r="C1021" s="7">
        <f t="shared" si="75"/>
        <v>-2.5462962962963021E-2</v>
      </c>
      <c r="D1021" s="6">
        <f>MAX($B1021:$B$1261)</f>
        <v>45.43</v>
      </c>
      <c r="E1021" s="7">
        <f t="shared" si="76"/>
        <v>-7.3299581774157962E-2</v>
      </c>
      <c r="G1021" s="6">
        <v>6915.11</v>
      </c>
      <c r="H1021" s="7">
        <f t="shared" si="77"/>
        <v>-2.281337657474336E-2</v>
      </c>
      <c r="I1021" s="6">
        <f>MAX($G1021:$G$1261)</f>
        <v>7588.32</v>
      </c>
      <c r="J1021" s="7">
        <f t="shared" si="78"/>
        <v>-8.8716606574314238E-2</v>
      </c>
      <c r="K1021" s="6">
        <f t="shared" si="79"/>
        <v>115.56346948938965</v>
      </c>
    </row>
    <row r="1022" spans="1:11" x14ac:dyDescent="0.25">
      <c r="A1022" s="2">
        <f>DATE(2018,4,5)</f>
        <v>43195</v>
      </c>
      <c r="B1022" s="6">
        <v>43.2</v>
      </c>
      <c r="C1022" s="7">
        <f t="shared" si="75"/>
        <v>6.9930069930070893E-3</v>
      </c>
      <c r="D1022" s="6">
        <f>MAX($B1022:$B$1261)</f>
        <v>45.43</v>
      </c>
      <c r="E1022" s="7">
        <f t="shared" si="76"/>
        <v>-4.9086506713625244E-2</v>
      </c>
      <c r="G1022" s="6">
        <v>7076.55</v>
      </c>
      <c r="H1022" s="7">
        <f t="shared" si="77"/>
        <v>4.8905796700138282E-3</v>
      </c>
      <c r="I1022" s="6">
        <f>MAX($G1022:$G$1261)</f>
        <v>7588.32</v>
      </c>
      <c r="J1022" s="7">
        <f t="shared" si="78"/>
        <v>-6.7441805300777924E-2</v>
      </c>
      <c r="K1022" s="6">
        <f t="shared" si="79"/>
        <v>118.26141160663248</v>
      </c>
    </row>
    <row r="1023" spans="1:11" x14ac:dyDescent="0.25">
      <c r="A1023" s="2">
        <f>DATE(2018,4,4)</f>
        <v>43194</v>
      </c>
      <c r="B1023" s="6">
        <v>42.9</v>
      </c>
      <c r="C1023" s="7">
        <f t="shared" si="75"/>
        <v>1.9002375296911955E-2</v>
      </c>
      <c r="D1023" s="6">
        <f>MAX($B1023:$B$1261)</f>
        <v>45.43</v>
      </c>
      <c r="E1023" s="7">
        <f t="shared" si="76"/>
        <v>-5.5690072639225208E-2</v>
      </c>
      <c r="G1023" s="6">
        <v>7042.11</v>
      </c>
      <c r="H1023" s="7">
        <f t="shared" si="77"/>
        <v>1.4526139271143101E-2</v>
      </c>
      <c r="I1023" s="6">
        <f>MAX($G1023:$G$1261)</f>
        <v>7588.32</v>
      </c>
      <c r="J1023" s="7">
        <f t="shared" si="78"/>
        <v>-7.1980359289012585E-2</v>
      </c>
      <c r="K1023" s="6">
        <f t="shared" si="79"/>
        <v>117.68585953454473</v>
      </c>
    </row>
    <row r="1024" spans="1:11" x14ac:dyDescent="0.25">
      <c r="A1024" s="2">
        <f>DATE(2018,4,3)</f>
        <v>43193</v>
      </c>
      <c r="B1024" s="6">
        <v>42.1</v>
      </c>
      <c r="C1024" s="7">
        <f t="shared" si="75"/>
        <v>1.0319174466042691E-2</v>
      </c>
      <c r="D1024" s="6">
        <f>MAX($B1024:$B$1261)</f>
        <v>45.43</v>
      </c>
      <c r="E1024" s="7">
        <f t="shared" si="76"/>
        <v>-7.3299581774157962E-2</v>
      </c>
      <c r="G1024" s="6">
        <v>6941.28</v>
      </c>
      <c r="H1024" s="7">
        <f t="shared" si="77"/>
        <v>1.0357897678643146E-2</v>
      </c>
      <c r="I1024" s="6">
        <f>MAX($G1024:$G$1261)</f>
        <v>7588.32</v>
      </c>
      <c r="J1024" s="7">
        <f t="shared" si="78"/>
        <v>-8.5267885381744568E-2</v>
      </c>
      <c r="K1024" s="6">
        <f t="shared" si="79"/>
        <v>116.00081553255269</v>
      </c>
    </row>
    <row r="1025" spans="1:11" x14ac:dyDescent="0.25">
      <c r="A1025" s="2">
        <f>DATE(2018,4,2)</f>
        <v>43192</v>
      </c>
      <c r="B1025" s="6">
        <v>41.67</v>
      </c>
      <c r="C1025" s="7">
        <f t="shared" si="75"/>
        <v>-6.6746126340881951E-3</v>
      </c>
      <c r="D1025" s="6">
        <f>MAX($B1025:$B$1261)</f>
        <v>45.43</v>
      </c>
      <c r="E1025" s="7">
        <f t="shared" si="76"/>
        <v>-8.2764692934184425E-2</v>
      </c>
      <c r="G1025" s="6">
        <v>6870.12</v>
      </c>
      <c r="H1025" s="7">
        <f t="shared" si="77"/>
        <v>-2.7370477599473308E-2</v>
      </c>
      <c r="I1025" s="6">
        <f>MAX($G1025:$G$1261)</f>
        <v>7588.32</v>
      </c>
      <c r="J1025" s="7">
        <f t="shared" si="78"/>
        <v>-9.4645455120500932E-2</v>
      </c>
      <c r="K1025" s="6">
        <f t="shared" si="79"/>
        <v>114.81160863796028</v>
      </c>
    </row>
    <row r="1026" spans="1:11" x14ac:dyDescent="0.25">
      <c r="A1026" s="2">
        <f>DATE(2018,3,29)</f>
        <v>43188</v>
      </c>
      <c r="B1026" s="6">
        <v>41.95</v>
      </c>
      <c r="C1026" s="7">
        <f t="shared" ref="C1026:C1089" si="80">IFERROR(B1026/B1027-1,0)</f>
        <v>7.9288803459875989E-3</v>
      </c>
      <c r="D1026" s="6">
        <f>MAX($B1026:$B$1261)</f>
        <v>45.43</v>
      </c>
      <c r="E1026" s="7">
        <f t="shared" ref="E1026:E1089" si="81">$B1026/$D1026-1</f>
        <v>-7.6601364736957889E-2</v>
      </c>
      <c r="G1026" s="6">
        <v>7063.45</v>
      </c>
      <c r="H1026" s="7">
        <f t="shared" ref="H1026:H1089" si="82">IFERROR(G1026/G1027-1,0)</f>
        <v>1.6436353380158808E-2</v>
      </c>
      <c r="I1026" s="6">
        <f>MAX($G1026:$G$1261)</f>
        <v>7588.32</v>
      </c>
      <c r="J1026" s="7">
        <f t="shared" ref="J1026:J1089" si="83">$G1026/$I1026-1</f>
        <v>-6.9168142619183137E-2</v>
      </c>
      <c r="K1026" s="6">
        <f t="shared" ref="K1026:K1089" si="84">$K1027*(1+H1026)</f>
        <v>118.04248790906134</v>
      </c>
    </row>
    <row r="1027" spans="1:11" x14ac:dyDescent="0.25">
      <c r="A1027" s="2">
        <f>DATE(2018,3,28)</f>
        <v>43187</v>
      </c>
      <c r="B1027" s="6">
        <v>41.62</v>
      </c>
      <c r="C1027" s="7">
        <f t="shared" si="80"/>
        <v>-1.0931558935361241E-2</v>
      </c>
      <c r="D1027" s="6">
        <f>MAX($B1027:$B$1261)</f>
        <v>45.43</v>
      </c>
      <c r="E1027" s="7">
        <f t="shared" si="81"/>
        <v>-8.3865287255117771E-2</v>
      </c>
      <c r="G1027" s="6">
        <v>6949.23</v>
      </c>
      <c r="H1027" s="7">
        <f t="shared" si="82"/>
        <v>-8.5007297957857553E-3</v>
      </c>
      <c r="I1027" s="6">
        <f>MAX($G1027:$G$1261)</f>
        <v>7588.32</v>
      </c>
      <c r="J1027" s="7">
        <f t="shared" si="83"/>
        <v>-8.4220222657979682E-2</v>
      </c>
      <c r="K1027" s="6">
        <f t="shared" si="84"/>
        <v>116.13367380703285</v>
      </c>
    </row>
    <row r="1028" spans="1:11" x14ac:dyDescent="0.25">
      <c r="A1028" s="2">
        <f>DATE(2018,3,27)</f>
        <v>43186</v>
      </c>
      <c r="B1028" s="6">
        <v>42.08</v>
      </c>
      <c r="C1028" s="7">
        <f t="shared" si="80"/>
        <v>-2.5700393609631833E-2</v>
      </c>
      <c r="D1028" s="6">
        <f>MAX($B1028:$B$1261)</f>
        <v>45.43</v>
      </c>
      <c r="E1028" s="7">
        <f t="shared" si="81"/>
        <v>-7.373981950253139E-2</v>
      </c>
      <c r="G1028" s="6">
        <v>7008.81</v>
      </c>
      <c r="H1028" s="7">
        <f t="shared" si="82"/>
        <v>-2.9323291609768765E-2</v>
      </c>
      <c r="I1028" s="6">
        <f>MAX($G1028:$G$1261)</f>
        <v>7588.32</v>
      </c>
      <c r="J1028" s="7">
        <f t="shared" si="83"/>
        <v>-7.6368682396103393E-2</v>
      </c>
      <c r="K1028" s="6">
        <f t="shared" si="84"/>
        <v>117.12935883766548</v>
      </c>
    </row>
    <row r="1029" spans="1:11" x14ac:dyDescent="0.25">
      <c r="A1029" s="2">
        <f>DATE(2018,3,26)</f>
        <v>43185</v>
      </c>
      <c r="B1029" s="6">
        <v>43.19</v>
      </c>
      <c r="C1029" s="7">
        <f t="shared" si="80"/>
        <v>4.7284190106692492E-2</v>
      </c>
      <c r="D1029" s="6">
        <f>MAX($B1029:$B$1261)</f>
        <v>45.43</v>
      </c>
      <c r="E1029" s="7">
        <f t="shared" si="81"/>
        <v>-4.9306625577812069E-2</v>
      </c>
      <c r="G1029" s="6">
        <v>7220.54</v>
      </c>
      <c r="H1029" s="7">
        <f t="shared" si="82"/>
        <v>3.2586980366583918E-2</v>
      </c>
      <c r="I1029" s="6">
        <f>MAX($G1029:$G$1261)</f>
        <v>7588.32</v>
      </c>
      <c r="J1029" s="7">
        <f t="shared" si="83"/>
        <v>-4.8466590760537165E-2</v>
      </c>
      <c r="K1029" s="6">
        <f t="shared" si="84"/>
        <v>120.66773398932445</v>
      </c>
    </row>
    <row r="1030" spans="1:11" x14ac:dyDescent="0.25">
      <c r="A1030" s="2">
        <f>DATE(2018,3,23)</f>
        <v>43182</v>
      </c>
      <c r="B1030" s="6">
        <v>41.24</v>
      </c>
      <c r="C1030" s="7">
        <f t="shared" si="80"/>
        <v>-2.2980336413172209E-2</v>
      </c>
      <c r="D1030" s="6">
        <f>MAX($B1030:$B$1261)</f>
        <v>45.43</v>
      </c>
      <c r="E1030" s="7">
        <f t="shared" si="81"/>
        <v>-9.2229804094210777E-2</v>
      </c>
      <c r="G1030" s="6">
        <v>6992.67</v>
      </c>
      <c r="H1030" s="7">
        <f t="shared" si="82"/>
        <v>-2.4280419943404796E-2</v>
      </c>
      <c r="I1030" s="6">
        <f>MAX($G1030:$G$1261)</f>
        <v>7588.32</v>
      </c>
      <c r="J1030" s="7">
        <f t="shared" si="83"/>
        <v>-7.8495635397558328E-2</v>
      </c>
      <c r="K1030" s="6">
        <f t="shared" si="84"/>
        <v>116.85963147287174</v>
      </c>
    </row>
    <row r="1031" spans="1:11" x14ac:dyDescent="0.25">
      <c r="A1031" s="2">
        <f>DATE(2018,3,22)</f>
        <v>43181</v>
      </c>
      <c r="B1031" s="6">
        <v>42.21</v>
      </c>
      <c r="C1031" s="7">
        <f t="shared" si="80"/>
        <v>-1.4245679588977045E-2</v>
      </c>
      <c r="D1031" s="6">
        <f>MAX($B1031:$B$1261)</f>
        <v>45.43</v>
      </c>
      <c r="E1031" s="7">
        <f t="shared" si="81"/>
        <v>-7.0878274268104779E-2</v>
      </c>
      <c r="G1031" s="6">
        <v>7166.68</v>
      </c>
      <c r="H1031" s="7">
        <f t="shared" si="82"/>
        <v>-2.43162625301383E-2</v>
      </c>
      <c r="I1031" s="6">
        <f>MAX($G1031:$G$1261)</f>
        <v>7588.32</v>
      </c>
      <c r="J1031" s="7">
        <f t="shared" si="83"/>
        <v>-5.5564340987201311E-2</v>
      </c>
      <c r="K1031" s="6">
        <f t="shared" si="84"/>
        <v>119.76764006938701</v>
      </c>
    </row>
    <row r="1032" spans="1:11" x14ac:dyDescent="0.25">
      <c r="A1032" s="2">
        <f>DATE(2018,3,21)</f>
        <v>43180</v>
      </c>
      <c r="B1032" s="6">
        <v>42.82</v>
      </c>
      <c r="C1032" s="7">
        <f t="shared" si="80"/>
        <v>-2.2597580461081956E-2</v>
      </c>
      <c r="D1032" s="6">
        <f>MAX($B1032:$B$1261)</f>
        <v>45.43</v>
      </c>
      <c r="E1032" s="7">
        <f t="shared" si="81"/>
        <v>-5.7451023552718472E-2</v>
      </c>
      <c r="G1032" s="6">
        <v>7345.29</v>
      </c>
      <c r="H1032" s="7">
        <f t="shared" si="82"/>
        <v>-2.5813722960770225E-3</v>
      </c>
      <c r="I1032" s="6">
        <f>MAX($G1032:$G$1261)</f>
        <v>7588.32</v>
      </c>
      <c r="J1032" s="7">
        <f t="shared" si="83"/>
        <v>-3.2026851793282241E-2</v>
      </c>
      <c r="K1032" s="6">
        <f t="shared" si="84"/>
        <v>122.75252263604175</v>
      </c>
    </row>
    <row r="1033" spans="1:11" x14ac:dyDescent="0.25">
      <c r="A1033" s="2">
        <f>DATE(2018,3,20)</f>
        <v>43179</v>
      </c>
      <c r="B1033" s="6">
        <v>43.81</v>
      </c>
      <c r="C1033" s="7">
        <f t="shared" si="80"/>
        <v>-4.563084645219373E-4</v>
      </c>
      <c r="D1033" s="6">
        <f>MAX($B1033:$B$1261)</f>
        <v>45.43</v>
      </c>
      <c r="E1033" s="7">
        <f t="shared" si="81"/>
        <v>-3.5659255998239048E-2</v>
      </c>
      <c r="G1033" s="6">
        <v>7364.3</v>
      </c>
      <c r="H1033" s="7">
        <f t="shared" si="82"/>
        <v>2.7313922202978347E-3</v>
      </c>
      <c r="I1033" s="6">
        <f>MAX($G1033:$G$1261)</f>
        <v>7588.32</v>
      </c>
      <c r="J1033" s="7">
        <f t="shared" si="83"/>
        <v>-2.9521685959474464E-2</v>
      </c>
      <c r="K1033" s="6">
        <f t="shared" si="84"/>
        <v>123.07021267350945</v>
      </c>
    </row>
    <row r="1034" spans="1:11" x14ac:dyDescent="0.25">
      <c r="A1034" s="2">
        <f>DATE(2018,3,19)</f>
        <v>43178</v>
      </c>
      <c r="B1034" s="6">
        <v>43.83</v>
      </c>
      <c r="C1034" s="7">
        <f t="shared" si="80"/>
        <v>-1.5277465738036344E-2</v>
      </c>
      <c r="D1034" s="6">
        <f>MAX($B1034:$B$1261)</f>
        <v>45.43</v>
      </c>
      <c r="E1034" s="7">
        <f t="shared" si="81"/>
        <v>-3.5219018269865732E-2</v>
      </c>
      <c r="G1034" s="6">
        <v>7344.24</v>
      </c>
      <c r="H1034" s="7">
        <f t="shared" si="82"/>
        <v>-1.8410877320071295E-2</v>
      </c>
      <c r="I1034" s="6">
        <f>MAX($G1034:$G$1261)</f>
        <v>7588.32</v>
      </c>
      <c r="J1034" s="7">
        <f t="shared" si="83"/>
        <v>-3.2165222341704047E-2</v>
      </c>
      <c r="K1034" s="6">
        <f t="shared" si="84"/>
        <v>122.73497531677077</v>
      </c>
    </row>
    <row r="1035" spans="1:11" x14ac:dyDescent="0.25">
      <c r="A1035" s="2">
        <f>DATE(2018,3,16)</f>
        <v>43175</v>
      </c>
      <c r="B1035" s="6">
        <v>44.51</v>
      </c>
      <c r="C1035" s="7">
        <f t="shared" si="80"/>
        <v>-3.3587102552619097E-3</v>
      </c>
      <c r="D1035" s="6">
        <f>MAX($B1035:$B$1261)</f>
        <v>45.43</v>
      </c>
      <c r="E1035" s="7">
        <f t="shared" si="81"/>
        <v>-2.0250935505172873E-2</v>
      </c>
      <c r="G1035" s="6">
        <v>7481.99</v>
      </c>
      <c r="H1035" s="7">
        <f t="shared" si="82"/>
        <v>3.3414686957833339E-5</v>
      </c>
      <c r="I1035" s="6">
        <f>MAX($G1035:$G$1261)</f>
        <v>7588.32</v>
      </c>
      <c r="J1035" s="7">
        <f t="shared" si="83"/>
        <v>-1.4012324203512727E-2</v>
      </c>
      <c r="K1035" s="6">
        <f t="shared" si="84"/>
        <v>125.0370164877953</v>
      </c>
    </row>
    <row r="1036" spans="1:11" x14ac:dyDescent="0.25">
      <c r="A1036" s="2">
        <f>DATE(2018,3,15)</f>
        <v>43174</v>
      </c>
      <c r="B1036" s="6">
        <v>44.66</v>
      </c>
      <c r="C1036" s="7">
        <f t="shared" si="80"/>
        <v>1.1208249271463799E-3</v>
      </c>
      <c r="D1036" s="6">
        <f>MAX($B1036:$B$1261)</f>
        <v>45.43</v>
      </c>
      <c r="E1036" s="7">
        <f t="shared" si="81"/>
        <v>-1.6949152542372947E-2</v>
      </c>
      <c r="G1036" s="6">
        <v>7481.74</v>
      </c>
      <c r="H1036" s="7">
        <f t="shared" si="82"/>
        <v>-2.0101883334379123E-3</v>
      </c>
      <c r="I1036" s="6">
        <f>MAX($G1036:$G$1261)</f>
        <v>7588.32</v>
      </c>
      <c r="J1036" s="7">
        <f t="shared" si="83"/>
        <v>-1.404526957218466E-2</v>
      </c>
      <c r="K1036" s="6">
        <f t="shared" si="84"/>
        <v>125.03283855463555</v>
      </c>
    </row>
    <row r="1037" spans="1:11" x14ac:dyDescent="0.25">
      <c r="A1037" s="2">
        <f>DATE(2018,3,14)</f>
        <v>43173</v>
      </c>
      <c r="B1037" s="6">
        <v>44.61</v>
      </c>
      <c r="C1037" s="7">
        <f t="shared" si="80"/>
        <v>-8.4463214047566515E-3</v>
      </c>
      <c r="D1037" s="6">
        <f>MAX($B1037:$B$1261)</f>
        <v>45.43</v>
      </c>
      <c r="E1037" s="7">
        <f t="shared" si="81"/>
        <v>-1.8049746863306182E-2</v>
      </c>
      <c r="G1037" s="6">
        <v>7496.81</v>
      </c>
      <c r="H1037" s="7">
        <f t="shared" si="82"/>
        <v>-1.8905579941977946E-3</v>
      </c>
      <c r="I1037" s="6">
        <f>MAX($G1037:$G$1261)</f>
        <v>7588.32</v>
      </c>
      <c r="J1037" s="7">
        <f t="shared" si="83"/>
        <v>-1.2059322748645185E-2</v>
      </c>
      <c r="K1037" s="6">
        <f t="shared" si="84"/>
        <v>125.28468436550554</v>
      </c>
    </row>
    <row r="1038" spans="1:11" x14ac:dyDescent="0.25">
      <c r="A1038" s="2">
        <f>DATE(2018,3,13)</f>
        <v>43172</v>
      </c>
      <c r="B1038" s="6">
        <v>44.99</v>
      </c>
      <c r="C1038" s="7">
        <f t="shared" si="80"/>
        <v>-9.6852300242130651E-3</v>
      </c>
      <c r="D1038" s="6">
        <f>MAX($B1038:$B$1261)</f>
        <v>45.43</v>
      </c>
      <c r="E1038" s="7">
        <f t="shared" si="81"/>
        <v>-9.6852300242130651E-3</v>
      </c>
      <c r="G1038" s="6">
        <v>7511.01</v>
      </c>
      <c r="H1038" s="7">
        <f t="shared" si="82"/>
        <v>-1.0188025808083978E-2</v>
      </c>
      <c r="I1038" s="6">
        <f>MAX($G1038:$G$1261)</f>
        <v>7588.32</v>
      </c>
      <c r="J1038" s="7">
        <f t="shared" si="83"/>
        <v>-1.0188025808083978E-2</v>
      </c>
      <c r="K1038" s="6">
        <f t="shared" si="84"/>
        <v>125.52199096897957</v>
      </c>
    </row>
    <row r="1039" spans="1:11" x14ac:dyDescent="0.25">
      <c r="A1039" s="2">
        <f>DATE(2018,3,12)</f>
        <v>43171</v>
      </c>
      <c r="B1039" s="6">
        <v>45.43</v>
      </c>
      <c r="C1039" s="7">
        <f t="shared" si="80"/>
        <v>9.7799511002445438E-3</v>
      </c>
      <c r="D1039" s="6">
        <f>MAX($B1039:$B$1261)</f>
        <v>45.43</v>
      </c>
      <c r="E1039" s="7">
        <f t="shared" si="81"/>
        <v>0</v>
      </c>
      <c r="G1039" s="6">
        <v>7588.32</v>
      </c>
      <c r="H1039" s="7">
        <f t="shared" si="82"/>
        <v>3.6384990497049241E-3</v>
      </c>
      <c r="I1039" s="6">
        <f>MAX($G1039:$G$1261)</f>
        <v>7588.32</v>
      </c>
      <c r="J1039" s="7">
        <f t="shared" si="83"/>
        <v>0</v>
      </c>
      <c r="K1039" s="6">
        <f t="shared" si="84"/>
        <v>126.81397501930194</v>
      </c>
    </row>
    <row r="1040" spans="1:11" x14ac:dyDescent="0.25">
      <c r="A1040" s="2">
        <f>DATE(2018,3,9)</f>
        <v>43168</v>
      </c>
      <c r="B1040" s="6">
        <v>44.99</v>
      </c>
      <c r="C1040" s="7">
        <f t="shared" si="80"/>
        <v>1.6952983725135651E-2</v>
      </c>
      <c r="D1040" s="6">
        <f>MAX($B1040:$B$1261)</f>
        <v>44.99</v>
      </c>
      <c r="E1040" s="7">
        <f t="shared" si="81"/>
        <v>0</v>
      </c>
      <c r="G1040" s="6">
        <v>7560.81</v>
      </c>
      <c r="H1040" s="7">
        <f t="shared" si="82"/>
        <v>1.7886496274207575E-2</v>
      </c>
      <c r="I1040" s="6">
        <f>MAX($G1040:$G$1261)</f>
        <v>7560.81</v>
      </c>
      <c r="J1040" s="7">
        <f t="shared" si="83"/>
        <v>0</v>
      </c>
      <c r="K1040" s="6">
        <f t="shared" si="84"/>
        <v>126.3542352544026</v>
      </c>
    </row>
    <row r="1041" spans="1:11" x14ac:dyDescent="0.25">
      <c r="A1041" s="2">
        <f>DATE(2018,3,8)</f>
        <v>43167</v>
      </c>
      <c r="B1041" s="6">
        <v>44.24</v>
      </c>
      <c r="C1041" s="7">
        <f t="shared" si="80"/>
        <v>1.0968921389396868E-2</v>
      </c>
      <c r="D1041" s="6">
        <f>MAX($B1041:$B$1261)</f>
        <v>44.81</v>
      </c>
      <c r="E1041" s="7">
        <f t="shared" si="81"/>
        <v>-1.2720374916313282E-2</v>
      </c>
      <c r="G1041" s="6">
        <v>7427.95</v>
      </c>
      <c r="H1041" s="7">
        <f t="shared" si="82"/>
        <v>4.2316454070423504E-3</v>
      </c>
      <c r="I1041" s="6">
        <f>MAX($G1041:$G$1261)</f>
        <v>7505.77</v>
      </c>
      <c r="J1041" s="7">
        <f t="shared" si="83"/>
        <v>-1.0368023533894655E-2</v>
      </c>
      <c r="K1041" s="6">
        <f t="shared" si="84"/>
        <v>124.13391445598286</v>
      </c>
    </row>
    <row r="1042" spans="1:11" x14ac:dyDescent="0.25">
      <c r="A1042" s="2">
        <f>DATE(2018,3,7)</f>
        <v>43166</v>
      </c>
      <c r="B1042" s="6">
        <v>43.76</v>
      </c>
      <c r="C1042" s="7">
        <f t="shared" si="80"/>
        <v>-9.282318315598892E-3</v>
      </c>
      <c r="D1042" s="6">
        <f>MAX($B1042:$B$1261)</f>
        <v>44.81</v>
      </c>
      <c r="E1042" s="7">
        <f t="shared" si="81"/>
        <v>-2.3432269582682519E-2</v>
      </c>
      <c r="G1042" s="6">
        <v>7396.65</v>
      </c>
      <c r="H1042" s="7">
        <f t="shared" si="82"/>
        <v>3.3423720260823409E-3</v>
      </c>
      <c r="I1042" s="6">
        <f>MAX($G1042:$G$1261)</f>
        <v>7505.77</v>
      </c>
      <c r="J1042" s="7">
        <f t="shared" si="83"/>
        <v>-1.453814865097125E-2</v>
      </c>
      <c r="K1042" s="6">
        <f t="shared" si="84"/>
        <v>123.61083722438164</v>
      </c>
    </row>
    <row r="1043" spans="1:11" x14ac:dyDescent="0.25">
      <c r="A1043" s="2">
        <f>DATE(2018,3,6)</f>
        <v>43165</v>
      </c>
      <c r="B1043" s="6">
        <v>44.17</v>
      </c>
      <c r="C1043" s="7">
        <f t="shared" si="80"/>
        <v>-9.0477267586519527E-4</v>
      </c>
      <c r="D1043" s="6">
        <f>MAX($B1043:$B$1261)</f>
        <v>44.81</v>
      </c>
      <c r="E1043" s="7">
        <f t="shared" si="81"/>
        <v>-1.4282526221825464E-2</v>
      </c>
      <c r="G1043" s="6">
        <v>7372.01</v>
      </c>
      <c r="H1043" s="7">
        <f t="shared" si="82"/>
        <v>5.6338335577317267E-3</v>
      </c>
      <c r="I1043" s="6">
        <f>MAX($G1043:$G$1261)</f>
        <v>7505.77</v>
      </c>
      <c r="J1043" s="7">
        <f t="shared" si="83"/>
        <v>-1.7820956410867894E-2</v>
      </c>
      <c r="K1043" s="6">
        <f t="shared" si="84"/>
        <v>123.19906013215629</v>
      </c>
    </row>
    <row r="1044" spans="1:11" x14ac:dyDescent="0.25">
      <c r="A1044" s="2">
        <f>DATE(2018,3,5)</f>
        <v>43164</v>
      </c>
      <c r="B1044" s="6">
        <v>44.21</v>
      </c>
      <c r="C1044" s="7">
        <f t="shared" si="80"/>
        <v>3.6322360953462418E-3</v>
      </c>
      <c r="D1044" s="6">
        <f>MAX($B1044:$B$1261)</f>
        <v>44.81</v>
      </c>
      <c r="E1044" s="7">
        <f t="shared" si="81"/>
        <v>-1.3389868332961408E-2</v>
      </c>
      <c r="G1044" s="6">
        <v>7330.71</v>
      </c>
      <c r="H1044" s="7">
        <f t="shared" si="82"/>
        <v>1.0036002298194902E-2</v>
      </c>
      <c r="I1044" s="6">
        <f>MAX($G1044:$G$1261)</f>
        <v>7505.77</v>
      </c>
      <c r="J1044" s="7">
        <f t="shared" si="83"/>
        <v>-2.3323389872058509E-2</v>
      </c>
      <c r="K1044" s="6">
        <f t="shared" si="84"/>
        <v>122.50886557416491</v>
      </c>
    </row>
    <row r="1045" spans="1:11" x14ac:dyDescent="0.25">
      <c r="A1045" s="2">
        <f>DATE(2018,3,2)</f>
        <v>43161</v>
      </c>
      <c r="B1045" s="6">
        <v>44.05</v>
      </c>
      <c r="C1045" s="7">
        <f t="shared" si="80"/>
        <v>6.857142857142895E-3</v>
      </c>
      <c r="D1045" s="6">
        <f>MAX($B1045:$B$1261)</f>
        <v>44.81</v>
      </c>
      <c r="E1045" s="7">
        <f t="shared" si="81"/>
        <v>-1.6960499888417857E-2</v>
      </c>
      <c r="G1045" s="6">
        <v>7257.87</v>
      </c>
      <c r="H1045" s="7">
        <f t="shared" si="82"/>
        <v>1.0766569738293263E-2</v>
      </c>
      <c r="I1045" s="6">
        <f>MAX($G1045:$G$1261)</f>
        <v>7505.77</v>
      </c>
      <c r="J1045" s="7">
        <f t="shared" si="83"/>
        <v>-3.3027923850584395E-2</v>
      </c>
      <c r="K1045" s="6">
        <f t="shared" si="84"/>
        <v>121.29158296873895</v>
      </c>
    </row>
    <row r="1046" spans="1:11" x14ac:dyDescent="0.25">
      <c r="A1046" s="2">
        <f>DATE(2018,3,1)</f>
        <v>43160</v>
      </c>
      <c r="B1046" s="6">
        <v>43.75</v>
      </c>
      <c r="C1046" s="7">
        <f t="shared" si="80"/>
        <v>-1.7516281158769353E-2</v>
      </c>
      <c r="D1046" s="6">
        <f>MAX($B1046:$B$1261)</f>
        <v>44.81</v>
      </c>
      <c r="E1046" s="7">
        <f t="shared" si="81"/>
        <v>-2.3655434054898561E-2</v>
      </c>
      <c r="G1046" s="6">
        <v>7180.56</v>
      </c>
      <c r="H1046" s="7">
        <f t="shared" si="82"/>
        <v>-1.271138084506962E-2</v>
      </c>
      <c r="I1046" s="6">
        <f>MAX($G1046:$G$1261)</f>
        <v>7505.77</v>
      </c>
      <c r="J1046" s="7">
        <f t="shared" si="83"/>
        <v>-4.3327999658929084E-2</v>
      </c>
      <c r="K1046" s="6">
        <f t="shared" si="84"/>
        <v>119.99959891841659</v>
      </c>
    </row>
    <row r="1047" spans="1:11" x14ac:dyDescent="0.25">
      <c r="A1047" s="2">
        <f>DATE(2018,2,28)</f>
        <v>43159</v>
      </c>
      <c r="B1047" s="6">
        <v>44.53</v>
      </c>
      <c r="C1047" s="7">
        <f t="shared" si="80"/>
        <v>-1.5695067264573925E-3</v>
      </c>
      <c r="D1047" s="6">
        <f>MAX($B1047:$B$1261)</f>
        <v>44.81</v>
      </c>
      <c r="E1047" s="7">
        <f t="shared" si="81"/>
        <v>-6.2486052220486199E-3</v>
      </c>
      <c r="G1047" s="6">
        <v>7273.01</v>
      </c>
      <c r="H1047" s="7">
        <f t="shared" si="82"/>
        <v>-7.8222731520323219E-3</v>
      </c>
      <c r="I1047" s="6">
        <f>MAX($G1047:$G$1261)</f>
        <v>7505.77</v>
      </c>
      <c r="J1047" s="7">
        <f t="shared" si="83"/>
        <v>-3.1010809017595786E-2</v>
      </c>
      <c r="K1047" s="6">
        <f t="shared" si="84"/>
        <v>121.54459860089366</v>
      </c>
    </row>
    <row r="1048" spans="1:11" x14ac:dyDescent="0.25">
      <c r="A1048" s="2">
        <f>DATE(2018,2,27)</f>
        <v>43158</v>
      </c>
      <c r="B1048" s="6">
        <v>44.6</v>
      </c>
      <c r="C1048" s="7">
        <f t="shared" si="80"/>
        <v>-3.129190880643784E-3</v>
      </c>
      <c r="D1048" s="6">
        <f>MAX($B1048:$B$1261)</f>
        <v>44.81</v>
      </c>
      <c r="E1048" s="7">
        <f t="shared" si="81"/>
        <v>-4.6864539165365482E-3</v>
      </c>
      <c r="G1048" s="6">
        <v>7330.35</v>
      </c>
      <c r="H1048" s="7">
        <f t="shared" si="82"/>
        <v>-1.2276560137762571E-2</v>
      </c>
      <c r="I1048" s="6">
        <f>MAX($G1048:$G$1261)</f>
        <v>7505.77</v>
      </c>
      <c r="J1048" s="7">
        <f t="shared" si="83"/>
        <v>-2.3371352972446524E-2</v>
      </c>
      <c r="K1048" s="6">
        <f t="shared" si="84"/>
        <v>122.50284935041488</v>
      </c>
    </row>
    <row r="1049" spans="1:11" x14ac:dyDescent="0.25">
      <c r="A1049" s="2">
        <f>DATE(2018,2,26)</f>
        <v>43157</v>
      </c>
      <c r="B1049" s="6">
        <v>44.74</v>
      </c>
      <c r="C1049" s="7">
        <f t="shared" si="80"/>
        <v>1.9598906107566094E-2</v>
      </c>
      <c r="D1049" s="6">
        <f>MAX($B1049:$B$1261)</f>
        <v>44.81</v>
      </c>
      <c r="E1049" s="7">
        <f t="shared" si="81"/>
        <v>-1.5621513055121827E-3</v>
      </c>
      <c r="G1049" s="6">
        <v>7421.46</v>
      </c>
      <c r="H1049" s="7">
        <f t="shared" si="82"/>
        <v>1.1457752688626366E-2</v>
      </c>
      <c r="I1049" s="6">
        <f>MAX($G1049:$G$1261)</f>
        <v>7505.77</v>
      </c>
      <c r="J1049" s="7">
        <f t="shared" si="83"/>
        <v>-1.123269164922458E-2</v>
      </c>
      <c r="K1049" s="6">
        <f t="shared" si="84"/>
        <v>124.02545531115567</v>
      </c>
    </row>
    <row r="1050" spans="1:11" x14ac:dyDescent="0.25">
      <c r="A1050" s="2">
        <f>DATE(2018,2,23)</f>
        <v>43154</v>
      </c>
      <c r="B1050" s="6">
        <v>43.88</v>
      </c>
      <c r="C1050" s="7">
        <f t="shared" si="80"/>
        <v>1.7625231910946226E-2</v>
      </c>
      <c r="D1050" s="6">
        <f>MAX($B1050:$B$1261)</f>
        <v>44.81</v>
      </c>
      <c r="E1050" s="7">
        <f t="shared" si="81"/>
        <v>-2.0754295916090126E-2</v>
      </c>
      <c r="G1050" s="6">
        <v>7337.39</v>
      </c>
      <c r="H1050" s="7">
        <f t="shared" si="82"/>
        <v>1.7655812895539524E-2</v>
      </c>
      <c r="I1050" s="6">
        <f>MAX($G1050:$G$1261)</f>
        <v>7505.77</v>
      </c>
      <c r="J1050" s="7">
        <f t="shared" si="83"/>
        <v>-2.2433407898190372E-2</v>
      </c>
      <c r="K1050" s="6">
        <f t="shared" si="84"/>
        <v>122.62049994819354</v>
      </c>
    </row>
    <row r="1051" spans="1:11" x14ac:dyDescent="0.25">
      <c r="A1051" s="2">
        <f>DATE(2018,2,22)</f>
        <v>43153</v>
      </c>
      <c r="B1051" s="6">
        <v>43.12</v>
      </c>
      <c r="C1051" s="7">
        <f t="shared" si="80"/>
        <v>8.1833060556464332E-3</v>
      </c>
      <c r="D1051" s="6">
        <f>MAX($B1051:$B$1261)</f>
        <v>44.81</v>
      </c>
      <c r="E1051" s="7">
        <f t="shared" si="81"/>
        <v>-3.7714795804507983E-2</v>
      </c>
      <c r="G1051" s="6">
        <v>7210.09</v>
      </c>
      <c r="H1051" s="7">
        <f t="shared" si="82"/>
        <v>-1.1277002810937686E-3</v>
      </c>
      <c r="I1051" s="6">
        <f>MAX($G1051:$G$1261)</f>
        <v>7505.77</v>
      </c>
      <c r="J1051" s="7">
        <f t="shared" si="83"/>
        <v>-3.939369311876062E-2</v>
      </c>
      <c r="K1051" s="6">
        <f t="shared" si="84"/>
        <v>120.49309638324672</v>
      </c>
    </row>
    <row r="1052" spans="1:11" x14ac:dyDescent="0.25">
      <c r="A1052" s="2">
        <f>DATE(2018,2,21)</f>
        <v>43152</v>
      </c>
      <c r="B1052" s="6">
        <v>42.77</v>
      </c>
      <c r="C1052" s="7">
        <f t="shared" si="80"/>
        <v>-4.4227188081936708E-3</v>
      </c>
      <c r="D1052" s="6">
        <f>MAX($B1052:$B$1261)</f>
        <v>44.81</v>
      </c>
      <c r="E1052" s="7">
        <f t="shared" si="81"/>
        <v>-4.5525552332068675E-2</v>
      </c>
      <c r="G1052" s="6">
        <v>7218.23</v>
      </c>
      <c r="H1052" s="7">
        <f t="shared" si="82"/>
        <v>-2.2227413533565388E-3</v>
      </c>
      <c r="I1052" s="6">
        <f>MAX($G1052:$G$1261)</f>
        <v>7505.77</v>
      </c>
      <c r="J1052" s="7">
        <f t="shared" si="83"/>
        <v>-3.8309194126652013E-2</v>
      </c>
      <c r="K1052" s="6">
        <f t="shared" si="84"/>
        <v>120.62912988692831</v>
      </c>
    </row>
    <row r="1053" spans="1:11" x14ac:dyDescent="0.25">
      <c r="A1053" s="2">
        <f>DATE(2018,2,20)</f>
        <v>43151</v>
      </c>
      <c r="B1053" s="6">
        <v>42.96</v>
      </c>
      <c r="C1053" s="7">
        <f t="shared" si="80"/>
        <v>-3.47947112038971E-3</v>
      </c>
      <c r="D1053" s="6">
        <f>MAX($B1053:$B$1261)</f>
        <v>44.81</v>
      </c>
      <c r="E1053" s="7">
        <f t="shared" si="81"/>
        <v>-4.1285427359964322E-2</v>
      </c>
      <c r="G1053" s="6">
        <v>7234.31</v>
      </c>
      <c r="H1053" s="7">
        <f t="shared" si="82"/>
        <v>-7.1275935945580571E-4</v>
      </c>
      <c r="I1053" s="6">
        <f>MAX($G1053:$G$1261)</f>
        <v>7505.77</v>
      </c>
      <c r="J1053" s="7">
        <f t="shared" si="83"/>
        <v>-3.616684230931666E-2</v>
      </c>
      <c r="K1053" s="6">
        <f t="shared" si="84"/>
        <v>120.89785454776371</v>
      </c>
    </row>
    <row r="1054" spans="1:11" x14ac:dyDescent="0.25">
      <c r="A1054" s="2">
        <f>DATE(2018,2,16)</f>
        <v>43147</v>
      </c>
      <c r="B1054" s="6">
        <v>43.11</v>
      </c>
      <c r="C1054" s="7">
        <f t="shared" si="80"/>
        <v>-3.2369942196531776E-3</v>
      </c>
      <c r="D1054" s="6">
        <f>MAX($B1054:$B$1261)</f>
        <v>44.81</v>
      </c>
      <c r="E1054" s="7">
        <f t="shared" si="81"/>
        <v>-3.7937960276724025E-2</v>
      </c>
      <c r="G1054" s="6">
        <v>7239.47</v>
      </c>
      <c r="H1054" s="7">
        <f t="shared" si="82"/>
        <v>-2.3372374569864407E-3</v>
      </c>
      <c r="I1054" s="6">
        <f>MAX($G1054:$G$1261)</f>
        <v>7505.77</v>
      </c>
      <c r="J1054" s="7">
        <f t="shared" si="83"/>
        <v>-3.5479371203753884E-2</v>
      </c>
      <c r="K1054" s="6">
        <f t="shared" si="84"/>
        <v>120.98408708818103</v>
      </c>
    </row>
    <row r="1055" spans="1:11" x14ac:dyDescent="0.25">
      <c r="A1055" s="2">
        <f>DATE(2018,2,15)</f>
        <v>43146</v>
      </c>
      <c r="B1055" s="6">
        <v>43.25</v>
      </c>
      <c r="C1055" s="7">
        <f t="shared" si="80"/>
        <v>3.3699808795411013E-2</v>
      </c>
      <c r="D1055" s="6">
        <f>MAX($B1055:$B$1261)</f>
        <v>44.81</v>
      </c>
      <c r="E1055" s="7">
        <f t="shared" si="81"/>
        <v>-3.481365766569966E-2</v>
      </c>
      <c r="G1055" s="6">
        <v>7256.43</v>
      </c>
      <c r="H1055" s="7">
        <f t="shared" si="82"/>
        <v>1.5791713445004074E-2</v>
      </c>
      <c r="I1055" s="6">
        <f>MAX($G1055:$G$1261)</f>
        <v>7505.77</v>
      </c>
      <c r="J1055" s="7">
        <f t="shared" si="83"/>
        <v>-3.3219776252136679E-2</v>
      </c>
      <c r="K1055" s="6">
        <f t="shared" si="84"/>
        <v>121.26751807373876</v>
      </c>
    </row>
    <row r="1056" spans="1:11" x14ac:dyDescent="0.25">
      <c r="A1056" s="2">
        <f>DATE(2018,2,14)</f>
        <v>43145</v>
      </c>
      <c r="B1056" s="6">
        <v>41.84</v>
      </c>
      <c r="C1056" s="7">
        <f t="shared" si="80"/>
        <v>1.8500486854917453E-2</v>
      </c>
      <c r="D1056" s="6">
        <f>MAX($B1056:$B$1261)</f>
        <v>44.81</v>
      </c>
      <c r="E1056" s="7">
        <f t="shared" si="81"/>
        <v>-6.6279848248158912E-2</v>
      </c>
      <c r="G1056" s="6">
        <v>7143.62</v>
      </c>
      <c r="H1056" s="7">
        <f t="shared" si="82"/>
        <v>1.8551338773310277E-2</v>
      </c>
      <c r="I1056" s="6">
        <f>MAX($G1056:$G$1261)</f>
        <v>7505.77</v>
      </c>
      <c r="J1056" s="7">
        <f t="shared" si="83"/>
        <v>-4.8249546682086031E-2</v>
      </c>
      <c r="K1056" s="6">
        <f t="shared" si="84"/>
        <v>119.3822675147313</v>
      </c>
    </row>
    <row r="1057" spans="1:11" x14ac:dyDescent="0.25">
      <c r="A1057" s="2">
        <f>DATE(2018,2,13)</f>
        <v>43144</v>
      </c>
      <c r="B1057" s="6">
        <v>41.08</v>
      </c>
      <c r="C1057" s="7">
        <f t="shared" si="80"/>
        <v>9.8328416912487615E-3</v>
      </c>
      <c r="D1057" s="6">
        <f>MAX($B1057:$B$1261)</f>
        <v>44.81</v>
      </c>
      <c r="E1057" s="7">
        <f t="shared" si="81"/>
        <v>-8.3240348136576769E-2</v>
      </c>
      <c r="G1057" s="6">
        <v>7013.51</v>
      </c>
      <c r="H1057" s="7">
        <f t="shared" si="82"/>
        <v>4.5187884204436202E-3</v>
      </c>
      <c r="I1057" s="6">
        <f>MAX($G1057:$G$1261)</f>
        <v>7505.77</v>
      </c>
      <c r="J1057" s="7">
        <f t="shared" si="83"/>
        <v>-6.5584210547352306E-2</v>
      </c>
      <c r="K1057" s="6">
        <f t="shared" si="84"/>
        <v>117.20790398106887</v>
      </c>
    </row>
    <row r="1058" spans="1:11" x14ac:dyDescent="0.25">
      <c r="A1058" s="2">
        <f>DATE(2018,2,12)</f>
        <v>43143</v>
      </c>
      <c r="B1058" s="6">
        <v>40.68</v>
      </c>
      <c r="C1058" s="7">
        <f t="shared" si="80"/>
        <v>4.0409207161125282E-2</v>
      </c>
      <c r="D1058" s="6">
        <f>MAX($B1058:$B$1261)</f>
        <v>44.81</v>
      </c>
      <c r="E1058" s="7">
        <f t="shared" si="81"/>
        <v>-9.2166927025217671E-2</v>
      </c>
      <c r="G1058" s="6">
        <v>6981.96</v>
      </c>
      <c r="H1058" s="7">
        <f t="shared" si="82"/>
        <v>1.5633159696210264E-2</v>
      </c>
      <c r="I1058" s="6">
        <f>MAX($G1058:$G$1261)</f>
        <v>7505.77</v>
      </c>
      <c r="J1058" s="7">
        <f t="shared" si="83"/>
        <v>-6.9787643373031782E-2</v>
      </c>
      <c r="K1058" s="6">
        <f t="shared" si="84"/>
        <v>116.68064881630788</v>
      </c>
    </row>
    <row r="1059" spans="1:11" x14ac:dyDescent="0.25">
      <c r="A1059" s="2">
        <f>DATE(2018,2,9)</f>
        <v>43140</v>
      </c>
      <c r="B1059" s="6">
        <v>39.1</v>
      </c>
      <c r="C1059" s="7">
        <f t="shared" si="80"/>
        <v>7.9917504511473059E-3</v>
      </c>
      <c r="D1059" s="6">
        <f>MAX($B1059:$B$1261)</f>
        <v>44.81</v>
      </c>
      <c r="E1059" s="7">
        <f t="shared" si="81"/>
        <v>-0.1274269136353493</v>
      </c>
      <c r="G1059" s="6">
        <v>6874.49</v>
      </c>
      <c r="H1059" s="7">
        <f t="shared" si="82"/>
        <v>1.4361472947370224E-2</v>
      </c>
      <c r="I1059" s="6">
        <f>MAX($G1059:$G$1261)</f>
        <v>7505.77</v>
      </c>
      <c r="J1059" s="7">
        <f t="shared" si="83"/>
        <v>-8.4105961147224129E-2</v>
      </c>
      <c r="K1059" s="6">
        <f t="shared" si="84"/>
        <v>114.88463890959277</v>
      </c>
    </row>
    <row r="1060" spans="1:11" x14ac:dyDescent="0.25">
      <c r="A1060" s="2">
        <f>DATE(2018,2,8)</f>
        <v>43139</v>
      </c>
      <c r="B1060" s="6">
        <v>38.79</v>
      </c>
      <c r="C1060" s="7">
        <f t="shared" si="80"/>
        <v>-2.7331995987963986E-2</v>
      </c>
      <c r="D1060" s="6">
        <f>MAX($B1060:$B$1261)</f>
        <v>44.81</v>
      </c>
      <c r="E1060" s="7">
        <f t="shared" si="81"/>
        <v>-0.13434501227404605</v>
      </c>
      <c r="G1060" s="6">
        <v>6777.16</v>
      </c>
      <c r="H1060" s="7">
        <f t="shared" si="82"/>
        <v>-3.8970615344910198E-2</v>
      </c>
      <c r="I1060" s="6">
        <f>MAX($G1060:$G$1261)</f>
        <v>7505.77</v>
      </c>
      <c r="J1060" s="7">
        <f t="shared" si="83"/>
        <v>-9.7073318260485042E-2</v>
      </c>
      <c r="K1060" s="6">
        <f t="shared" si="84"/>
        <v>113.25808597183729</v>
      </c>
    </row>
    <row r="1061" spans="1:11" x14ac:dyDescent="0.25">
      <c r="A1061" s="2">
        <f>DATE(2018,2,7)</f>
        <v>43138</v>
      </c>
      <c r="B1061" s="6">
        <v>39.880000000000003</v>
      </c>
      <c r="C1061" s="7">
        <f t="shared" si="80"/>
        <v>-2.158979391560345E-2</v>
      </c>
      <c r="D1061" s="6">
        <f>MAX($B1061:$B$1261)</f>
        <v>44.81</v>
      </c>
      <c r="E1061" s="7">
        <f t="shared" si="81"/>
        <v>-0.11002008480249947</v>
      </c>
      <c r="G1061" s="6">
        <v>7051.98</v>
      </c>
      <c r="H1061" s="7">
        <f t="shared" si="82"/>
        <v>-8.9799153442723378E-3</v>
      </c>
      <c r="I1061" s="6">
        <f>MAX($G1061:$G$1261)</f>
        <v>7505.77</v>
      </c>
      <c r="J1061" s="7">
        <f t="shared" si="83"/>
        <v>-6.0458820347546016E-2</v>
      </c>
      <c r="K1061" s="6">
        <f t="shared" si="84"/>
        <v>117.85080433569181</v>
      </c>
    </row>
    <row r="1062" spans="1:11" x14ac:dyDescent="0.25">
      <c r="A1062" s="2">
        <f>DATE(2018,2,6)</f>
        <v>43137</v>
      </c>
      <c r="B1062" s="6">
        <v>40.76</v>
      </c>
      <c r="C1062" s="7">
        <f t="shared" si="80"/>
        <v>4.1922290388548111E-2</v>
      </c>
      <c r="D1062" s="6">
        <f>MAX($B1062:$B$1261)</f>
        <v>44.81</v>
      </c>
      <c r="E1062" s="7">
        <f t="shared" si="81"/>
        <v>-9.0381611247489446E-2</v>
      </c>
      <c r="G1062" s="6">
        <v>7115.88</v>
      </c>
      <c r="H1062" s="7">
        <f t="shared" si="82"/>
        <v>2.129161984232586E-2</v>
      </c>
      <c r="I1062" s="6">
        <f>MAX($G1062:$G$1261)</f>
        <v>7505.77</v>
      </c>
      <c r="J1062" s="7">
        <f t="shared" si="83"/>
        <v>-5.1945370028657956E-2</v>
      </c>
      <c r="K1062" s="6">
        <f t="shared" si="84"/>
        <v>118.91868405132497</v>
      </c>
    </row>
    <row r="1063" spans="1:11" x14ac:dyDescent="0.25">
      <c r="A1063" s="2">
        <f>DATE(2018,2,5)</f>
        <v>43136</v>
      </c>
      <c r="B1063" s="6">
        <v>39.119999999999997</v>
      </c>
      <c r="C1063" s="7">
        <f t="shared" si="80"/>
        <v>-2.4925224327018936E-2</v>
      </c>
      <c r="D1063" s="6">
        <f>MAX($B1063:$B$1261)</f>
        <v>44.81</v>
      </c>
      <c r="E1063" s="7">
        <f t="shared" si="81"/>
        <v>-0.12698058469091733</v>
      </c>
      <c r="G1063" s="6">
        <v>6967.53</v>
      </c>
      <c r="H1063" s="7">
        <f t="shared" si="82"/>
        <v>-3.776023864271949E-2</v>
      </c>
      <c r="I1063" s="6">
        <f>MAX($G1063:$G$1261)</f>
        <v>7505.77</v>
      </c>
      <c r="J1063" s="7">
        <f t="shared" si="83"/>
        <v>-7.1710164313588121E-2</v>
      </c>
      <c r="K1063" s="6">
        <f t="shared" si="84"/>
        <v>116.43949851432686</v>
      </c>
    </row>
    <row r="1064" spans="1:11" x14ac:dyDescent="0.25">
      <c r="A1064" s="2">
        <f>DATE(2018,2,2)</f>
        <v>43133</v>
      </c>
      <c r="B1064" s="6">
        <v>40.119999999999997</v>
      </c>
      <c r="C1064" s="7">
        <f t="shared" si="80"/>
        <v>-4.3623361144219386E-2</v>
      </c>
      <c r="D1064" s="6">
        <f>MAX($B1064:$B$1261)</f>
        <v>44.81</v>
      </c>
      <c r="E1064" s="7">
        <f t="shared" si="81"/>
        <v>-0.10466413746931502</v>
      </c>
      <c r="G1064" s="6">
        <v>7240.95</v>
      </c>
      <c r="H1064" s="7">
        <f t="shared" si="82"/>
        <v>-1.9619922392246747E-2</v>
      </c>
      <c r="I1064" s="6">
        <f>MAX($G1064:$G$1261)</f>
        <v>7505.77</v>
      </c>
      <c r="J1064" s="7">
        <f t="shared" si="83"/>
        <v>-3.5282189568825117E-2</v>
      </c>
      <c r="K1064" s="6">
        <f t="shared" si="84"/>
        <v>121.00882045248676</v>
      </c>
    </row>
    <row r="1065" spans="1:11" x14ac:dyDescent="0.25">
      <c r="A1065" s="2">
        <f>DATE(2018,2,1)</f>
        <v>43132</v>
      </c>
      <c r="B1065" s="6">
        <v>41.95</v>
      </c>
      <c r="C1065" s="7">
        <f t="shared" si="80"/>
        <v>2.1500238891543066E-3</v>
      </c>
      <c r="D1065" s="6">
        <f>MAX($B1065:$B$1261)</f>
        <v>44.81</v>
      </c>
      <c r="E1065" s="7">
        <f t="shared" si="81"/>
        <v>-6.3825039053782673E-2</v>
      </c>
      <c r="G1065" s="6">
        <v>7385.86</v>
      </c>
      <c r="H1065" s="7">
        <f t="shared" si="82"/>
        <v>-3.4567994516614409E-3</v>
      </c>
      <c r="I1065" s="6">
        <f>MAX($G1065:$G$1261)</f>
        <v>7505.77</v>
      </c>
      <c r="J1065" s="7">
        <f t="shared" si="83"/>
        <v>-1.5975709354270173E-2</v>
      </c>
      <c r="K1065" s="6">
        <f t="shared" si="84"/>
        <v>123.43051762920663</v>
      </c>
    </row>
    <row r="1066" spans="1:11" x14ac:dyDescent="0.25">
      <c r="A1066" s="2">
        <f>DATE(2018,1,31)</f>
        <v>43131</v>
      </c>
      <c r="B1066" s="6">
        <v>41.86</v>
      </c>
      <c r="C1066" s="7">
        <f t="shared" si="80"/>
        <v>2.8749401054144474E-3</v>
      </c>
      <c r="D1066" s="6">
        <f>MAX($B1066:$B$1261)</f>
        <v>44.81</v>
      </c>
      <c r="E1066" s="7">
        <f t="shared" si="81"/>
        <v>-6.5833519303726939E-2</v>
      </c>
      <c r="G1066" s="6">
        <v>7411.48</v>
      </c>
      <c r="H1066" s="7">
        <f t="shared" si="82"/>
        <v>1.2158087559843711E-3</v>
      </c>
      <c r="I1066" s="6">
        <f>MAX($G1066:$G$1261)</f>
        <v>7505.77</v>
      </c>
      <c r="J1066" s="7">
        <f t="shared" si="83"/>
        <v>-1.2562335376650302E-2</v>
      </c>
      <c r="K1066" s="6">
        <f t="shared" si="84"/>
        <v>123.85867221941824</v>
      </c>
    </row>
    <row r="1067" spans="1:11" x14ac:dyDescent="0.25">
      <c r="A1067" s="2">
        <f>DATE(2018,1,30)</f>
        <v>43130</v>
      </c>
      <c r="B1067" s="6">
        <v>41.74</v>
      </c>
      <c r="C1067" s="7">
        <f t="shared" si="80"/>
        <v>-5.9537985234580093E-3</v>
      </c>
      <c r="D1067" s="6">
        <f>MAX($B1067:$B$1261)</f>
        <v>44.81</v>
      </c>
      <c r="E1067" s="7">
        <f t="shared" si="81"/>
        <v>-6.851149297031911E-2</v>
      </c>
      <c r="G1067" s="6">
        <v>7402.48</v>
      </c>
      <c r="H1067" s="7">
        <f t="shared" si="82"/>
        <v>-8.5756263635889951E-3</v>
      </c>
      <c r="I1067" s="6">
        <f>MAX($G1067:$G$1261)</f>
        <v>7505.77</v>
      </c>
      <c r="J1067" s="7">
        <f t="shared" si="83"/>
        <v>-1.3761412886352908E-2</v>
      </c>
      <c r="K1067" s="6">
        <f t="shared" si="84"/>
        <v>123.70826662566711</v>
      </c>
    </row>
    <row r="1068" spans="1:11" x14ac:dyDescent="0.25">
      <c r="A1068" s="2">
        <f>DATE(2018,1,29)</f>
        <v>43129</v>
      </c>
      <c r="B1068" s="6">
        <v>41.99</v>
      </c>
      <c r="C1068" s="7">
        <f t="shared" si="80"/>
        <v>-2.0755597014925353E-2</v>
      </c>
      <c r="D1068" s="6">
        <f>MAX($B1068:$B$1261)</f>
        <v>44.81</v>
      </c>
      <c r="E1068" s="7">
        <f t="shared" si="81"/>
        <v>-6.2932381164918505E-2</v>
      </c>
      <c r="G1068" s="6">
        <v>7466.51</v>
      </c>
      <c r="H1068" s="7">
        <f t="shared" si="82"/>
        <v>-5.2306425589913053E-3</v>
      </c>
      <c r="I1068" s="6">
        <f>MAX($G1068:$G$1261)</f>
        <v>7505.77</v>
      </c>
      <c r="J1068" s="7">
        <f t="shared" si="83"/>
        <v>-5.2306425589913053E-3</v>
      </c>
      <c r="K1068" s="6">
        <f t="shared" si="84"/>
        <v>124.77831886654334</v>
      </c>
    </row>
    <row r="1069" spans="1:11" x14ac:dyDescent="0.25">
      <c r="A1069" s="2">
        <f>DATE(2018,1,26)</f>
        <v>43126</v>
      </c>
      <c r="B1069" s="6">
        <v>42.88</v>
      </c>
      <c r="C1069" s="7">
        <f t="shared" si="80"/>
        <v>2.3375409069659181E-3</v>
      </c>
      <c r="D1069" s="6">
        <f>MAX($B1069:$B$1261)</f>
        <v>44.81</v>
      </c>
      <c r="E1069" s="7">
        <f t="shared" si="81"/>
        <v>-4.3070743137692435E-2</v>
      </c>
      <c r="G1069" s="6">
        <v>7505.77</v>
      </c>
      <c r="H1069" s="7">
        <f t="shared" si="82"/>
        <v>1.2765882803771778E-2</v>
      </c>
      <c r="I1069" s="6">
        <f>MAX($G1069:$G$1261)</f>
        <v>7505.77</v>
      </c>
      <c r="J1069" s="7">
        <f t="shared" si="83"/>
        <v>0</v>
      </c>
      <c r="K1069" s="6">
        <f t="shared" si="84"/>
        <v>125.43442148995113</v>
      </c>
    </row>
    <row r="1070" spans="1:11" x14ac:dyDescent="0.25">
      <c r="A1070" s="2">
        <f>DATE(2018,1,25)</f>
        <v>43125</v>
      </c>
      <c r="B1070" s="6">
        <v>42.78</v>
      </c>
      <c r="C1070" s="7">
        <f t="shared" si="80"/>
        <v>-1.7680826636050417E-2</v>
      </c>
      <c r="D1070" s="6">
        <f>MAX($B1070:$B$1261)</f>
        <v>44.81</v>
      </c>
      <c r="E1070" s="7">
        <f t="shared" si="81"/>
        <v>-4.5302387859852744E-2</v>
      </c>
      <c r="G1070" s="6">
        <v>7411.16</v>
      </c>
      <c r="H1070" s="7">
        <f t="shared" si="82"/>
        <v>-5.2595663420129668E-4</v>
      </c>
      <c r="I1070" s="6">
        <f>MAX($G1070:$G$1261)</f>
        <v>7460.29</v>
      </c>
      <c r="J1070" s="7">
        <f t="shared" si="83"/>
        <v>-6.5855348786709733E-3</v>
      </c>
      <c r="K1070" s="6">
        <f t="shared" si="84"/>
        <v>123.85332446497375</v>
      </c>
    </row>
    <row r="1071" spans="1:11" x14ac:dyDescent="0.25">
      <c r="A1071" s="2">
        <f>DATE(2018,1,24)</f>
        <v>43124</v>
      </c>
      <c r="B1071" s="6">
        <v>43.55</v>
      </c>
      <c r="C1071" s="7">
        <f t="shared" si="80"/>
        <v>-1.6041572525982817E-2</v>
      </c>
      <c r="D1071" s="6">
        <f>MAX($B1071:$B$1261)</f>
        <v>44.81</v>
      </c>
      <c r="E1071" s="7">
        <f t="shared" si="81"/>
        <v>-2.8118723499219067E-2</v>
      </c>
      <c r="G1071" s="6">
        <v>7415.06</v>
      </c>
      <c r="H1071" s="7">
        <f t="shared" si="82"/>
        <v>-6.062766996993374E-3</v>
      </c>
      <c r="I1071" s="6">
        <f>MAX($G1071:$G$1261)</f>
        <v>7460.29</v>
      </c>
      <c r="J1071" s="7">
        <f t="shared" si="83"/>
        <v>-6.062766996993374E-3</v>
      </c>
      <c r="K1071" s="6">
        <f t="shared" si="84"/>
        <v>123.91850022226593</v>
      </c>
    </row>
    <row r="1072" spans="1:11" x14ac:dyDescent="0.25">
      <c r="A1072" s="2">
        <f>DATE(2018,1,23)</f>
        <v>43123</v>
      </c>
      <c r="B1072" s="6">
        <v>44.26</v>
      </c>
      <c r="C1072" s="7">
        <f t="shared" si="80"/>
        <v>2.2598870056489417E-4</v>
      </c>
      <c r="D1072" s="6">
        <f>MAX($B1072:$B$1261)</f>
        <v>44.81</v>
      </c>
      <c r="E1072" s="7">
        <f t="shared" si="81"/>
        <v>-1.227404597188142E-2</v>
      </c>
      <c r="G1072" s="6">
        <v>7460.29</v>
      </c>
      <c r="H1072" s="7">
        <f t="shared" si="82"/>
        <v>7.0545070686809375E-3</v>
      </c>
      <c r="I1072" s="6">
        <f>MAX($G1072:$G$1261)</f>
        <v>7460.29</v>
      </c>
      <c r="J1072" s="7">
        <f t="shared" si="83"/>
        <v>0</v>
      </c>
      <c r="K1072" s="6">
        <f t="shared" si="84"/>
        <v>124.67437188952864</v>
      </c>
    </row>
    <row r="1073" spans="1:11" x14ac:dyDescent="0.25">
      <c r="A1073" s="2">
        <f>DATE(2018,1,22)</f>
        <v>43122</v>
      </c>
      <c r="B1073" s="6">
        <v>44.25</v>
      </c>
      <c r="C1073" s="7">
        <f t="shared" si="80"/>
        <v>-8.2922456297623848E-3</v>
      </c>
      <c r="D1073" s="6">
        <f>MAX($B1073:$B$1261)</f>
        <v>44.81</v>
      </c>
      <c r="E1073" s="7">
        <f t="shared" si="81"/>
        <v>-1.2497210444097351E-2</v>
      </c>
      <c r="G1073" s="6">
        <v>7408.03</v>
      </c>
      <c r="H1073" s="7">
        <f t="shared" si="82"/>
        <v>9.7663970514068055E-3</v>
      </c>
      <c r="I1073" s="6">
        <f>MAX($G1073:$G$1261)</f>
        <v>7408.03</v>
      </c>
      <c r="J1073" s="7">
        <f t="shared" si="83"/>
        <v>0</v>
      </c>
      <c r="K1073" s="6">
        <f t="shared" si="84"/>
        <v>123.80101674181363</v>
      </c>
    </row>
    <row r="1074" spans="1:11" x14ac:dyDescent="0.25">
      <c r="A1074" s="2">
        <f>DATE(2018,1,19)</f>
        <v>43119</v>
      </c>
      <c r="B1074" s="6">
        <v>44.62</v>
      </c>
      <c r="C1074" s="7">
        <f t="shared" si="80"/>
        <v>-4.2401249721045753E-3</v>
      </c>
      <c r="D1074" s="6">
        <f>MAX($B1074:$B$1261)</f>
        <v>44.81</v>
      </c>
      <c r="E1074" s="7">
        <f t="shared" si="81"/>
        <v>-4.2401249721045753E-3</v>
      </c>
      <c r="G1074" s="6">
        <v>7336.38</v>
      </c>
      <c r="H1074" s="7">
        <f t="shared" si="82"/>
        <v>5.5276485221456007E-3</v>
      </c>
      <c r="I1074" s="6">
        <f>MAX($G1074:$G$1261)</f>
        <v>7336.38</v>
      </c>
      <c r="J1074" s="7">
        <f t="shared" si="83"/>
        <v>0</v>
      </c>
      <c r="K1074" s="6">
        <f t="shared" si="84"/>
        <v>122.60362109822809</v>
      </c>
    </row>
    <row r="1075" spans="1:11" x14ac:dyDescent="0.25">
      <c r="A1075" s="2">
        <f>DATE(2018,1,18)</f>
        <v>43118</v>
      </c>
      <c r="B1075" s="6">
        <v>44.81</v>
      </c>
      <c r="C1075" s="7">
        <f t="shared" si="80"/>
        <v>6.6994193836533711E-4</v>
      </c>
      <c r="D1075" s="6">
        <f>MAX($B1075:$B$1261)</f>
        <v>44.81</v>
      </c>
      <c r="E1075" s="7">
        <f t="shared" si="81"/>
        <v>0</v>
      </c>
      <c r="G1075" s="6">
        <v>7296.05</v>
      </c>
      <c r="H1075" s="7">
        <f t="shared" si="82"/>
        <v>-3.0555144499788689E-4</v>
      </c>
      <c r="I1075" s="6">
        <f>MAX($G1075:$G$1261)</f>
        <v>7298.28</v>
      </c>
      <c r="J1075" s="7">
        <f t="shared" si="83"/>
        <v>-3.0555144499788689E-4</v>
      </c>
      <c r="K1075" s="6">
        <f t="shared" si="84"/>
        <v>121.92963692089654</v>
      </c>
    </row>
    <row r="1076" spans="1:11" x14ac:dyDescent="0.25">
      <c r="A1076" s="2">
        <f>DATE(2018,1,17)</f>
        <v>43117</v>
      </c>
      <c r="B1076" s="6">
        <v>44.78</v>
      </c>
      <c r="C1076" s="7">
        <f t="shared" si="80"/>
        <v>1.6572077185017076E-2</v>
      </c>
      <c r="D1076" s="6">
        <f>MAX($B1076:$B$1261)</f>
        <v>44.78</v>
      </c>
      <c r="E1076" s="7">
        <f t="shared" si="81"/>
        <v>0</v>
      </c>
      <c r="G1076" s="6">
        <v>7298.28</v>
      </c>
      <c r="H1076" s="7">
        <f t="shared" si="82"/>
        <v>1.0325747644209571E-2</v>
      </c>
      <c r="I1076" s="6">
        <f>MAX($G1076:$G$1261)</f>
        <v>7298.28</v>
      </c>
      <c r="J1076" s="7">
        <f t="shared" si="83"/>
        <v>0</v>
      </c>
      <c r="K1076" s="6">
        <f t="shared" si="84"/>
        <v>121.96690408468153</v>
      </c>
    </row>
    <row r="1077" spans="1:11" x14ac:dyDescent="0.25">
      <c r="A1077" s="2">
        <f>DATE(2018,1,16)</f>
        <v>43116</v>
      </c>
      <c r="B1077" s="6">
        <v>44.05</v>
      </c>
      <c r="C1077" s="7">
        <f t="shared" si="80"/>
        <v>-4.9695053083353979E-3</v>
      </c>
      <c r="D1077" s="6">
        <f>MAX($B1077:$B$1261)</f>
        <v>44.27</v>
      </c>
      <c r="E1077" s="7">
        <f t="shared" si="81"/>
        <v>-4.9695053083353979E-3</v>
      </c>
      <c r="G1077" s="6">
        <v>7223.69</v>
      </c>
      <c r="H1077" s="7">
        <f t="shared" si="82"/>
        <v>-5.146631483557651E-3</v>
      </c>
      <c r="I1077" s="6">
        <f>MAX($G1077:$G$1261)</f>
        <v>7261.06</v>
      </c>
      <c r="J1077" s="7">
        <f t="shared" si="83"/>
        <v>-5.146631483557651E-3</v>
      </c>
      <c r="K1077" s="6">
        <f t="shared" si="84"/>
        <v>120.72037594713728</v>
      </c>
    </row>
    <row r="1078" spans="1:11" x14ac:dyDescent="0.25">
      <c r="A1078" s="2">
        <f>DATE(2018,1,12)</f>
        <v>43112</v>
      </c>
      <c r="B1078" s="6">
        <v>44.27</v>
      </c>
      <c r="C1078" s="7">
        <f t="shared" si="80"/>
        <v>1.0269283432222887E-2</v>
      </c>
      <c r="D1078" s="6">
        <f>MAX($B1078:$B$1261)</f>
        <v>44.27</v>
      </c>
      <c r="E1078" s="7">
        <f t="shared" si="81"/>
        <v>0</v>
      </c>
      <c r="G1078" s="6">
        <v>7261.06</v>
      </c>
      <c r="H1078" s="7">
        <f t="shared" si="82"/>
        <v>6.8332644645290319E-3</v>
      </c>
      <c r="I1078" s="6">
        <f>MAX($G1078:$G$1261)</f>
        <v>7261.06</v>
      </c>
      <c r="J1078" s="7">
        <f t="shared" si="83"/>
        <v>0</v>
      </c>
      <c r="K1078" s="6">
        <f t="shared" si="84"/>
        <v>121.34489339585735</v>
      </c>
    </row>
    <row r="1079" spans="1:11" x14ac:dyDescent="0.25">
      <c r="A1079" s="2">
        <f>DATE(2018,1,11)</f>
        <v>43111</v>
      </c>
      <c r="B1079" s="6">
        <v>43.82</v>
      </c>
      <c r="C1079" s="7">
        <f t="shared" si="80"/>
        <v>5.7378930456737365E-3</v>
      </c>
      <c r="D1079" s="6">
        <f>MAX($B1079:$B$1261)</f>
        <v>44.1</v>
      </c>
      <c r="E1079" s="7">
        <f t="shared" si="81"/>
        <v>-6.3492063492063266E-3</v>
      </c>
      <c r="G1079" s="6">
        <v>7211.78</v>
      </c>
      <c r="H1079" s="7">
        <f t="shared" si="82"/>
        <v>8.1371958336886596E-3</v>
      </c>
      <c r="I1079" s="6">
        <f>MAX($G1079:$G$1261)</f>
        <v>7211.78</v>
      </c>
      <c r="J1079" s="7">
        <f t="shared" si="83"/>
        <v>0</v>
      </c>
      <c r="K1079" s="6">
        <f t="shared" si="84"/>
        <v>120.5213392114066</v>
      </c>
    </row>
    <row r="1080" spans="1:11" x14ac:dyDescent="0.25">
      <c r="A1080" s="2">
        <f>DATE(2018,1,10)</f>
        <v>43110</v>
      </c>
      <c r="B1080" s="6">
        <v>43.57</v>
      </c>
      <c r="C1080" s="7">
        <f t="shared" si="80"/>
        <v>-2.2946305644788723E-4</v>
      </c>
      <c r="D1080" s="6">
        <f>MAX($B1080:$B$1261)</f>
        <v>44.1</v>
      </c>
      <c r="E1080" s="7">
        <f t="shared" si="81"/>
        <v>-1.2018140589569182E-2</v>
      </c>
      <c r="G1080" s="6">
        <v>7153.57</v>
      </c>
      <c r="H1080" s="7">
        <f t="shared" si="82"/>
        <v>-1.39734601972763E-3</v>
      </c>
      <c r="I1080" s="6">
        <f>MAX($G1080:$G$1261)</f>
        <v>7163.58</v>
      </c>
      <c r="J1080" s="7">
        <f t="shared" si="83"/>
        <v>-1.39734601972763E-3</v>
      </c>
      <c r="K1080" s="6">
        <f t="shared" si="84"/>
        <v>119.54854925448944</v>
      </c>
    </row>
    <row r="1081" spans="1:11" x14ac:dyDescent="0.25">
      <c r="A1081" s="2">
        <f>DATE(2018,1,9)</f>
        <v>43109</v>
      </c>
      <c r="B1081" s="6">
        <v>43.58</v>
      </c>
      <c r="C1081" s="7">
        <f t="shared" si="80"/>
        <v>-2.2941041523294459E-4</v>
      </c>
      <c r="D1081" s="6">
        <f>MAX($B1081:$B$1261)</f>
        <v>44.1</v>
      </c>
      <c r="E1081" s="7">
        <f t="shared" si="81"/>
        <v>-1.1791383219954765E-2</v>
      </c>
      <c r="G1081" s="6">
        <v>7163.58</v>
      </c>
      <c r="H1081" s="7">
        <f t="shared" si="82"/>
        <v>8.6484039573075933E-4</v>
      </c>
      <c r="I1081" s="6">
        <f>MAX($G1081:$G$1261)</f>
        <v>7163.58</v>
      </c>
      <c r="J1081" s="7">
        <f t="shared" si="83"/>
        <v>0</v>
      </c>
      <c r="K1081" s="6">
        <f t="shared" si="84"/>
        <v>119.71583369820601</v>
      </c>
    </row>
    <row r="1082" spans="1:11" x14ac:dyDescent="0.25">
      <c r="A1082" s="2">
        <f>DATE(2018,1,8)</f>
        <v>43108</v>
      </c>
      <c r="B1082" s="6">
        <v>43.59</v>
      </c>
      <c r="C1082" s="7">
        <f t="shared" si="80"/>
        <v>-3.6571428571428033E-3</v>
      </c>
      <c r="D1082" s="6">
        <f>MAX($B1082:$B$1261)</f>
        <v>44.1</v>
      </c>
      <c r="E1082" s="7">
        <f t="shared" si="81"/>
        <v>-1.1564625850340127E-2</v>
      </c>
      <c r="G1082" s="6">
        <v>7157.39</v>
      </c>
      <c r="H1082" s="7">
        <f t="shared" si="82"/>
        <v>2.9187731904447567E-3</v>
      </c>
      <c r="I1082" s="6">
        <f>MAX($G1082:$G$1261)</f>
        <v>7157.39</v>
      </c>
      <c r="J1082" s="7">
        <f t="shared" si="83"/>
        <v>0</v>
      </c>
      <c r="K1082" s="6">
        <f t="shared" si="84"/>
        <v>119.61238807317051</v>
      </c>
    </row>
    <row r="1083" spans="1:11" x14ac:dyDescent="0.25">
      <c r="A1083" s="2">
        <f>DATE(2018,1,5)</f>
        <v>43105</v>
      </c>
      <c r="B1083" s="6">
        <v>43.75</v>
      </c>
      <c r="C1083" s="7">
        <f t="shared" si="80"/>
        <v>1.1326860841424091E-2</v>
      </c>
      <c r="D1083" s="6">
        <f>MAX($B1083:$B$1261)</f>
        <v>44.1</v>
      </c>
      <c r="E1083" s="7">
        <f t="shared" si="81"/>
        <v>-7.9365079365080193E-3</v>
      </c>
      <c r="G1083" s="6">
        <v>7136.56</v>
      </c>
      <c r="H1083" s="7">
        <f t="shared" si="82"/>
        <v>8.2863444152299071E-3</v>
      </c>
      <c r="I1083" s="6">
        <f>MAX($G1083:$G$1261)</f>
        <v>7136.56</v>
      </c>
      <c r="J1083" s="7">
        <f t="shared" si="83"/>
        <v>0</v>
      </c>
      <c r="K1083" s="6">
        <f t="shared" si="84"/>
        <v>119.26428268229978</v>
      </c>
    </row>
    <row r="1084" spans="1:11" x14ac:dyDescent="0.25">
      <c r="A1084" s="2">
        <f>DATE(2018,1,4)</f>
        <v>43104</v>
      </c>
      <c r="B1084" s="6">
        <v>43.26</v>
      </c>
      <c r="C1084" s="7">
        <f t="shared" si="80"/>
        <v>4.644681839294007E-3</v>
      </c>
      <c r="D1084" s="6">
        <f>MAX($B1084:$B$1261)</f>
        <v>44.1</v>
      </c>
      <c r="E1084" s="7">
        <f t="shared" si="81"/>
        <v>-1.9047619047619091E-2</v>
      </c>
      <c r="G1084" s="6">
        <v>7077.91</v>
      </c>
      <c r="H1084" s="7">
        <f t="shared" si="82"/>
        <v>1.7521686271235737E-3</v>
      </c>
      <c r="I1084" s="6">
        <f>MAX($G1084:$G$1261)</f>
        <v>7077.91</v>
      </c>
      <c r="J1084" s="7">
        <f t="shared" si="83"/>
        <v>0</v>
      </c>
      <c r="K1084" s="6">
        <f t="shared" si="84"/>
        <v>118.28413956302145</v>
      </c>
    </row>
    <row r="1085" spans="1:11" x14ac:dyDescent="0.25">
      <c r="A1085" s="2">
        <f>DATE(2018,1,3)</f>
        <v>43103</v>
      </c>
      <c r="B1085" s="6">
        <v>43.06</v>
      </c>
      <c r="C1085" s="7">
        <f t="shared" si="80"/>
        <v>0</v>
      </c>
      <c r="D1085" s="6">
        <f>MAX($B1085:$B$1261)</f>
        <v>44.1</v>
      </c>
      <c r="E1085" s="7">
        <f t="shared" si="81"/>
        <v>-2.3582766439909308E-2</v>
      </c>
      <c r="G1085" s="6">
        <v>7065.53</v>
      </c>
      <c r="H1085" s="7">
        <f t="shared" si="82"/>
        <v>8.3674663545934003E-3</v>
      </c>
      <c r="I1085" s="6">
        <f>MAX($G1085:$G$1261)</f>
        <v>7065.53</v>
      </c>
      <c r="J1085" s="7">
        <f t="shared" si="83"/>
        <v>0</v>
      </c>
      <c r="K1085" s="6">
        <f t="shared" si="84"/>
        <v>118.07724831295042</v>
      </c>
    </row>
    <row r="1086" spans="1:11" x14ac:dyDescent="0.25">
      <c r="A1086" s="2">
        <f>DATE(2018,1,2)</f>
        <v>43102</v>
      </c>
      <c r="B1086" s="6">
        <v>43.06</v>
      </c>
      <c r="C1086" s="7">
        <f t="shared" si="80"/>
        <v>1.7726305837863388E-2</v>
      </c>
      <c r="D1086" s="6">
        <f>MAX($B1086:$B$1261)</f>
        <v>44.1</v>
      </c>
      <c r="E1086" s="7">
        <f t="shared" si="81"/>
        <v>-2.3582766439909308E-2</v>
      </c>
      <c r="G1086" s="6">
        <v>7006.9</v>
      </c>
      <c r="H1086" s="7">
        <f t="shared" si="82"/>
        <v>1.4994082617380666E-2</v>
      </c>
      <c r="I1086" s="6">
        <f>MAX($G1086:$G$1261)</f>
        <v>7006.9</v>
      </c>
      <c r="J1086" s="7">
        <f t="shared" si="83"/>
        <v>0</v>
      </c>
      <c r="K1086" s="6">
        <f t="shared" si="84"/>
        <v>117.09743942832488</v>
      </c>
    </row>
    <row r="1087" spans="1:11" x14ac:dyDescent="0.25">
      <c r="A1087" s="2">
        <f>DATE(2017,12,29)</f>
        <v>43098</v>
      </c>
      <c r="B1087" s="6">
        <v>42.31</v>
      </c>
      <c r="C1087" s="7">
        <f t="shared" si="80"/>
        <v>-1.0755202244563944E-2</v>
      </c>
      <c r="D1087" s="6">
        <f>MAX($B1087:$B$1261)</f>
        <v>44.1</v>
      </c>
      <c r="E1087" s="7">
        <f t="shared" si="81"/>
        <v>-4.0589569160997763E-2</v>
      </c>
      <c r="G1087" s="6">
        <v>6903.39</v>
      </c>
      <c r="H1087" s="7">
        <f t="shared" si="82"/>
        <v>-6.7293414827859221E-3</v>
      </c>
      <c r="I1087" s="6">
        <f>MAX($G1087:$G$1261)</f>
        <v>6994.76</v>
      </c>
      <c r="J1087" s="7">
        <f t="shared" si="83"/>
        <v>-1.3062635458543248E-2</v>
      </c>
      <c r="K1087" s="6">
        <f t="shared" si="84"/>
        <v>115.36760798286028</v>
      </c>
    </row>
    <row r="1088" spans="1:11" x14ac:dyDescent="0.25">
      <c r="A1088" s="2">
        <f>DATE(2017,12,28)</f>
        <v>43097</v>
      </c>
      <c r="B1088" s="6">
        <v>42.77</v>
      </c>
      <c r="C1088" s="7">
        <f t="shared" si="80"/>
        <v>2.8135990621338536E-3</v>
      </c>
      <c r="D1088" s="6">
        <f>MAX($B1088:$B$1261)</f>
        <v>44.1</v>
      </c>
      <c r="E1088" s="7">
        <f t="shared" si="81"/>
        <v>-3.0158730158730163E-2</v>
      </c>
      <c r="G1088" s="6">
        <v>6950.16</v>
      </c>
      <c r="H1088" s="7">
        <f t="shared" si="82"/>
        <v>1.5592260935477498E-3</v>
      </c>
      <c r="I1088" s="6">
        <f>MAX($G1088:$G$1261)</f>
        <v>6994.76</v>
      </c>
      <c r="J1088" s="7">
        <f t="shared" si="83"/>
        <v>-6.3762016137794975E-3</v>
      </c>
      <c r="K1088" s="6">
        <f t="shared" si="84"/>
        <v>116.14921571838707</v>
      </c>
    </row>
    <row r="1089" spans="1:11" x14ac:dyDescent="0.25">
      <c r="A1089" s="2">
        <f>DATE(2017,12,27)</f>
        <v>43096</v>
      </c>
      <c r="B1089" s="6">
        <v>42.65</v>
      </c>
      <c r="C1089" s="7">
        <f t="shared" si="80"/>
        <v>2.3452157598491397E-4</v>
      </c>
      <c r="D1089" s="6">
        <f>MAX($B1089:$B$1261)</f>
        <v>44.1</v>
      </c>
      <c r="E1089" s="7">
        <f t="shared" si="81"/>
        <v>-3.2879818594104382E-2</v>
      </c>
      <c r="G1089" s="6">
        <v>6939.34</v>
      </c>
      <c r="H1089" s="7">
        <f t="shared" si="82"/>
        <v>4.4548567309421472E-4</v>
      </c>
      <c r="I1089" s="6">
        <f>MAX($G1089:$G$1261)</f>
        <v>6994.76</v>
      </c>
      <c r="J1089" s="7">
        <f t="shared" si="83"/>
        <v>-7.9230738438488268E-3</v>
      </c>
      <c r="K1089" s="6">
        <f t="shared" si="84"/>
        <v>115.96839477123292</v>
      </c>
    </row>
    <row r="1090" spans="1:11" x14ac:dyDescent="0.25">
      <c r="A1090" s="2">
        <f>DATE(2017,12,26)</f>
        <v>43095</v>
      </c>
      <c r="B1090" s="6">
        <v>42.64</v>
      </c>
      <c r="C1090" s="7">
        <f t="shared" ref="C1090:C1153" si="85">IFERROR(B1090/B1091-1,0)</f>
        <v>-2.53714285714286E-2</v>
      </c>
      <c r="D1090" s="6">
        <f>MAX($B1090:$B$1261)</f>
        <v>44.1</v>
      </c>
      <c r="E1090" s="7">
        <f t="shared" ref="E1090:E1153" si="86">$B1090/$D1090-1</f>
        <v>-3.3106575963718798E-2</v>
      </c>
      <c r="G1090" s="6">
        <v>6936.25</v>
      </c>
      <c r="H1090" s="7">
        <f t="shared" ref="H1090:H1153" si="87">IFERROR(G1090/G1091-1,0)</f>
        <v>-3.4066287737285483E-3</v>
      </c>
      <c r="I1090" s="6">
        <f>MAX($G1090:$G$1261)</f>
        <v>6994.76</v>
      </c>
      <c r="J1090" s="7">
        <f t="shared" ref="J1090:J1153" si="88">$G1090/$I1090-1</f>
        <v>-8.3648331036375589E-3</v>
      </c>
      <c r="K1090" s="6">
        <f t="shared" ref="K1090:K1153" si="89">$K1091*(1+H1090)</f>
        <v>115.91675551737836</v>
      </c>
    </row>
    <row r="1091" spans="1:11" x14ac:dyDescent="0.25">
      <c r="A1091" s="2">
        <f>DATE(2017,12,22)</f>
        <v>43091</v>
      </c>
      <c r="B1091" s="6">
        <v>43.75</v>
      </c>
      <c r="C1091" s="7">
        <f t="shared" si="85"/>
        <v>0</v>
      </c>
      <c r="D1091" s="6">
        <f>MAX($B1091:$B$1261)</f>
        <v>44.1</v>
      </c>
      <c r="E1091" s="7">
        <f t="shared" si="86"/>
        <v>-7.9365079365080193E-3</v>
      </c>
      <c r="G1091" s="6">
        <v>6959.96</v>
      </c>
      <c r="H1091" s="7">
        <f t="shared" si="87"/>
        <v>-7.7526502578473266E-4</v>
      </c>
      <c r="I1091" s="6">
        <f>MAX($G1091:$G$1261)</f>
        <v>6994.76</v>
      </c>
      <c r="J1091" s="7">
        <f t="shared" si="88"/>
        <v>-4.975152828688878E-3</v>
      </c>
      <c r="K1091" s="6">
        <f t="shared" si="89"/>
        <v>116.31299069824944</v>
      </c>
    </row>
    <row r="1092" spans="1:11" x14ac:dyDescent="0.25">
      <c r="A1092" s="2">
        <f>DATE(2017,12,21)</f>
        <v>43090</v>
      </c>
      <c r="B1092" s="6">
        <v>43.75</v>
      </c>
      <c r="C1092" s="7">
        <f t="shared" si="85"/>
        <v>3.6705666437255591E-3</v>
      </c>
      <c r="D1092" s="6">
        <f>MAX($B1092:$B$1261)</f>
        <v>44.1</v>
      </c>
      <c r="E1092" s="7">
        <f t="shared" si="86"/>
        <v>-7.9365079365080193E-3</v>
      </c>
      <c r="G1092" s="6">
        <v>6965.36</v>
      </c>
      <c r="H1092" s="7">
        <f t="shared" si="87"/>
        <v>6.320967222910312E-4</v>
      </c>
      <c r="I1092" s="6">
        <f>MAX($G1092:$G$1261)</f>
        <v>6994.76</v>
      </c>
      <c r="J1092" s="7">
        <f t="shared" si="88"/>
        <v>-4.2031463552717474E-3</v>
      </c>
      <c r="K1092" s="6">
        <f t="shared" si="89"/>
        <v>116.40323405450012</v>
      </c>
    </row>
    <row r="1093" spans="1:11" x14ac:dyDescent="0.25">
      <c r="A1093" s="2">
        <f>DATE(2017,12,20)</f>
        <v>43089</v>
      </c>
      <c r="B1093" s="6">
        <v>43.59</v>
      </c>
      <c r="C1093" s="7">
        <f t="shared" si="85"/>
        <v>-9.1680036672014964E-4</v>
      </c>
      <c r="D1093" s="6">
        <f>MAX($B1093:$B$1261)</f>
        <v>44.1</v>
      </c>
      <c r="E1093" s="7">
        <f t="shared" si="86"/>
        <v>-1.1564625850340127E-2</v>
      </c>
      <c r="G1093" s="6">
        <v>6960.96</v>
      </c>
      <c r="H1093" s="7">
        <f t="shared" si="87"/>
        <v>-4.1500032309715884E-4</v>
      </c>
      <c r="I1093" s="6">
        <f>MAX($G1093:$G$1261)</f>
        <v>6994.76</v>
      </c>
      <c r="J1093" s="7">
        <f t="shared" si="88"/>
        <v>-4.8321886669450143E-3</v>
      </c>
      <c r="K1093" s="6">
        <f t="shared" si="89"/>
        <v>116.32970243088846</v>
      </c>
    </row>
    <row r="1094" spans="1:11" x14ac:dyDescent="0.25">
      <c r="A1094" s="2">
        <f>DATE(2017,12,19)</f>
        <v>43088</v>
      </c>
      <c r="B1094" s="6">
        <v>43.63</v>
      </c>
      <c r="C1094" s="7">
        <f t="shared" si="85"/>
        <v>-1.0657596371882017E-2</v>
      </c>
      <c r="D1094" s="6">
        <f>MAX($B1094:$B$1261)</f>
        <v>44.1</v>
      </c>
      <c r="E1094" s="7">
        <f t="shared" si="86"/>
        <v>-1.0657596371882017E-2</v>
      </c>
      <c r="G1094" s="6">
        <v>6963.85</v>
      </c>
      <c r="H1094" s="7">
        <f t="shared" si="87"/>
        <v>-4.4190222395049661E-3</v>
      </c>
      <c r="I1094" s="6">
        <f>MAX($G1094:$G$1261)</f>
        <v>6994.76</v>
      </c>
      <c r="J1094" s="7">
        <f t="shared" si="88"/>
        <v>-4.4190222395049661E-3</v>
      </c>
      <c r="K1094" s="6">
        <f t="shared" si="89"/>
        <v>116.37799933821522</v>
      </c>
    </row>
    <row r="1095" spans="1:11" x14ac:dyDescent="0.25">
      <c r="A1095" s="2">
        <f>DATE(2017,12,18)</f>
        <v>43087</v>
      </c>
      <c r="B1095" s="6">
        <v>44.1</v>
      </c>
      <c r="C1095" s="7">
        <f t="shared" si="85"/>
        <v>1.4026212922510828E-2</v>
      </c>
      <c r="D1095" s="6">
        <f>MAX($B1095:$B$1261)</f>
        <v>44.1</v>
      </c>
      <c r="E1095" s="7">
        <f t="shared" si="86"/>
        <v>0</v>
      </c>
      <c r="G1095" s="6">
        <v>6994.76</v>
      </c>
      <c r="H1095" s="7">
        <f t="shared" si="87"/>
        <v>8.3874185837977677E-3</v>
      </c>
      <c r="I1095" s="6">
        <f>MAX($G1095:$G$1261)</f>
        <v>6994.76</v>
      </c>
      <c r="J1095" s="7">
        <f t="shared" si="88"/>
        <v>0</v>
      </c>
      <c r="K1095" s="6">
        <f t="shared" si="89"/>
        <v>116.89455899408722</v>
      </c>
    </row>
    <row r="1096" spans="1:11" x14ac:dyDescent="0.25">
      <c r="A1096" s="2">
        <f>DATE(2017,12,15)</f>
        <v>43084</v>
      </c>
      <c r="B1096" s="6">
        <v>43.49</v>
      </c>
      <c r="C1096" s="7">
        <f t="shared" si="85"/>
        <v>1.0220673635307875E-2</v>
      </c>
      <c r="D1096" s="6">
        <f>MAX($B1096:$B$1261)</f>
        <v>44.06</v>
      </c>
      <c r="E1096" s="7">
        <f t="shared" si="86"/>
        <v>-1.2936904221516166E-2</v>
      </c>
      <c r="G1096" s="6">
        <v>6936.58</v>
      </c>
      <c r="H1096" s="7">
        <f t="shared" si="87"/>
        <v>1.1675001786618067E-2</v>
      </c>
      <c r="I1096" s="6">
        <f>MAX($G1096:$G$1261)</f>
        <v>6936.58</v>
      </c>
      <c r="J1096" s="7">
        <f t="shared" si="88"/>
        <v>0</v>
      </c>
      <c r="K1096" s="6">
        <f t="shared" si="89"/>
        <v>115.92227038914923</v>
      </c>
    </row>
    <row r="1097" spans="1:11" x14ac:dyDescent="0.25">
      <c r="A1097" s="2">
        <f>DATE(2017,12,14)</f>
        <v>43083</v>
      </c>
      <c r="B1097" s="6">
        <v>43.05</v>
      </c>
      <c r="C1097" s="7">
        <f t="shared" si="85"/>
        <v>-4.6436034362673517E-4</v>
      </c>
      <c r="D1097" s="6">
        <f>MAX($B1097:$B$1261)</f>
        <v>44.06</v>
      </c>
      <c r="E1097" s="7">
        <f t="shared" si="86"/>
        <v>-2.2923286427598888E-2</v>
      </c>
      <c r="G1097" s="6">
        <v>6856.53</v>
      </c>
      <c r="H1097" s="7">
        <f t="shared" si="87"/>
        <v>-2.8025829721632922E-3</v>
      </c>
      <c r="I1097" s="6">
        <f>MAX($G1097:$G$1261)</f>
        <v>6912.36</v>
      </c>
      <c r="J1097" s="7">
        <f t="shared" si="88"/>
        <v>-8.0768362758883994E-3</v>
      </c>
      <c r="K1097" s="6">
        <f t="shared" si="89"/>
        <v>114.58449619139596</v>
      </c>
    </row>
    <row r="1098" spans="1:11" x14ac:dyDescent="0.25">
      <c r="A1098" s="2">
        <f>DATE(2017,12,13)</f>
        <v>43082</v>
      </c>
      <c r="B1098" s="6">
        <v>43.07</v>
      </c>
      <c r="C1098" s="7">
        <f t="shared" si="85"/>
        <v>3.4948741845293174E-3</v>
      </c>
      <c r="D1098" s="6">
        <f>MAX($B1098:$B$1261)</f>
        <v>44.06</v>
      </c>
      <c r="E1098" s="7">
        <f t="shared" si="86"/>
        <v>-2.2469359963685931E-2</v>
      </c>
      <c r="G1098" s="6">
        <v>6875.8</v>
      </c>
      <c r="H1098" s="7">
        <f t="shared" si="87"/>
        <v>1.9643502488955189E-3</v>
      </c>
      <c r="I1098" s="6">
        <f>MAX($G1098:$G$1261)</f>
        <v>6912.36</v>
      </c>
      <c r="J1098" s="7">
        <f t="shared" si="88"/>
        <v>-5.2890763791236806E-3</v>
      </c>
      <c r="K1098" s="6">
        <f t="shared" si="89"/>
        <v>114.90653127934981</v>
      </c>
    </row>
    <row r="1099" spans="1:11" x14ac:dyDescent="0.25">
      <c r="A1099" s="2">
        <f>DATE(2017,12,12)</f>
        <v>43081</v>
      </c>
      <c r="B1099" s="6">
        <v>42.92</v>
      </c>
      <c r="C1099" s="7">
        <f t="shared" si="85"/>
        <v>-5.7910586055130997E-3</v>
      </c>
      <c r="D1099" s="6">
        <f>MAX($B1099:$B$1261)</f>
        <v>44.06</v>
      </c>
      <c r="E1099" s="7">
        <f t="shared" si="86"/>
        <v>-2.587380844303222E-2</v>
      </c>
      <c r="G1099" s="6">
        <v>6862.32</v>
      </c>
      <c r="H1099" s="7">
        <f t="shared" si="87"/>
        <v>-1.8559784031604298E-3</v>
      </c>
      <c r="I1099" s="6">
        <f>MAX($G1099:$G$1261)</f>
        <v>6912.36</v>
      </c>
      <c r="J1099" s="7">
        <f t="shared" si="88"/>
        <v>-7.2392062913390065E-3</v>
      </c>
      <c r="K1099" s="6">
        <f t="shared" si="89"/>
        <v>114.68125712337586</v>
      </c>
    </row>
    <row r="1100" spans="1:11" x14ac:dyDescent="0.25">
      <c r="A1100" s="2">
        <f>DATE(2017,12,11)</f>
        <v>43080</v>
      </c>
      <c r="B1100" s="6">
        <v>43.17</v>
      </c>
      <c r="C1100" s="7">
        <f t="shared" si="85"/>
        <v>1.9603212092583755E-2</v>
      </c>
      <c r="D1100" s="6">
        <f>MAX($B1100:$B$1261)</f>
        <v>44.06</v>
      </c>
      <c r="E1100" s="7">
        <f t="shared" si="86"/>
        <v>-2.0199727644121701E-2</v>
      </c>
      <c r="G1100" s="6">
        <v>6875.08</v>
      </c>
      <c r="H1100" s="7">
        <f t="shared" si="87"/>
        <v>5.1168992175529837E-3</v>
      </c>
      <c r="I1100" s="6">
        <f>MAX($G1100:$G$1261)</f>
        <v>6912.36</v>
      </c>
      <c r="J1100" s="7">
        <f t="shared" si="88"/>
        <v>-5.3932376207257438E-3</v>
      </c>
      <c r="K1100" s="6">
        <f t="shared" si="89"/>
        <v>114.89449883184972</v>
      </c>
    </row>
    <row r="1101" spans="1:11" x14ac:dyDescent="0.25">
      <c r="A1101" s="2">
        <f>DATE(2017,12,8)</f>
        <v>43077</v>
      </c>
      <c r="B1101" s="6">
        <v>42.34</v>
      </c>
      <c r="C1101" s="7">
        <f t="shared" si="85"/>
        <v>2.3623907394298982E-4</v>
      </c>
      <c r="D1101" s="6">
        <f>MAX($B1101:$B$1261)</f>
        <v>44.06</v>
      </c>
      <c r="E1101" s="7">
        <f t="shared" si="86"/>
        <v>-3.9037675896504753E-2</v>
      </c>
      <c r="G1101" s="6">
        <v>6840.08</v>
      </c>
      <c r="H1101" s="7">
        <f t="shared" si="87"/>
        <v>3.9983325602832576E-3</v>
      </c>
      <c r="I1101" s="6">
        <f>MAX($G1101:$G$1261)</f>
        <v>6912.36</v>
      </c>
      <c r="J1101" s="7">
        <f t="shared" si="88"/>
        <v>-1.0456631309711861E-2</v>
      </c>
      <c r="K1101" s="6">
        <f t="shared" si="89"/>
        <v>114.30958818948415</v>
      </c>
    </row>
    <row r="1102" spans="1:11" x14ac:dyDescent="0.25">
      <c r="A1102" s="2">
        <f>DATE(2017,12,7)</f>
        <v>43076</v>
      </c>
      <c r="B1102" s="6">
        <v>42.33</v>
      </c>
      <c r="C1102" s="7">
        <f t="shared" si="85"/>
        <v>1.8934911242602936E-3</v>
      </c>
      <c r="D1102" s="6">
        <f>MAX($B1102:$B$1261)</f>
        <v>44.06</v>
      </c>
      <c r="E1102" s="7">
        <f t="shared" si="86"/>
        <v>-3.9264639128461232E-2</v>
      </c>
      <c r="G1102" s="6">
        <v>6812.84</v>
      </c>
      <c r="H1102" s="7">
        <f t="shared" si="87"/>
        <v>5.380453870650781E-3</v>
      </c>
      <c r="I1102" s="6">
        <f>MAX($G1102:$G$1261)</f>
        <v>6912.36</v>
      </c>
      <c r="J1102" s="7">
        <f t="shared" si="88"/>
        <v>-1.4397398283654161E-2</v>
      </c>
      <c r="K1102" s="6">
        <f t="shared" si="89"/>
        <v>113.85436059239733</v>
      </c>
    </row>
    <row r="1103" spans="1:11" x14ac:dyDescent="0.25">
      <c r="A1103" s="2">
        <f>DATE(2017,12,6)</f>
        <v>43075</v>
      </c>
      <c r="B1103" s="6">
        <v>42.25</v>
      </c>
      <c r="C1103" s="7">
        <f t="shared" si="85"/>
        <v>-3.7726951190756308E-3</v>
      </c>
      <c r="D1103" s="6">
        <f>MAX($B1103:$B$1261)</f>
        <v>44.06</v>
      </c>
      <c r="E1103" s="7">
        <f t="shared" si="86"/>
        <v>-4.1080344984112616E-2</v>
      </c>
      <c r="G1103" s="6">
        <v>6776.38</v>
      </c>
      <c r="H1103" s="7">
        <f t="shared" si="87"/>
        <v>2.0954687890497592E-3</v>
      </c>
      <c r="I1103" s="6">
        <f>MAX($G1103:$G$1261)</f>
        <v>6912.36</v>
      </c>
      <c r="J1103" s="7">
        <f t="shared" si="88"/>
        <v>-1.9672007823666515E-2</v>
      </c>
      <c r="K1103" s="6">
        <f t="shared" si="89"/>
        <v>113.24505082037878</v>
      </c>
    </row>
    <row r="1104" spans="1:11" x14ac:dyDescent="0.25">
      <c r="A1104" s="2">
        <f>DATE(2017,12,5)</f>
        <v>43074</v>
      </c>
      <c r="B1104" s="6">
        <v>42.41</v>
      </c>
      <c r="C1104" s="7">
        <f t="shared" si="85"/>
        <v>-9.4228504122506607E-4</v>
      </c>
      <c r="D1104" s="6">
        <f>MAX($B1104:$B$1261)</f>
        <v>44.06</v>
      </c>
      <c r="E1104" s="7">
        <f t="shared" si="86"/>
        <v>-3.7448933272809959E-2</v>
      </c>
      <c r="G1104" s="6">
        <v>6762.21</v>
      </c>
      <c r="H1104" s="7">
        <f t="shared" si="87"/>
        <v>-1.9423293488031179E-3</v>
      </c>
      <c r="I1104" s="6">
        <f>MAX($G1104:$G$1261)</f>
        <v>6912.36</v>
      </c>
      <c r="J1104" s="7">
        <f t="shared" si="88"/>
        <v>-2.1721958925750351E-2</v>
      </c>
      <c r="K1104" s="6">
        <f t="shared" si="89"/>
        <v>113.00824556888391</v>
      </c>
    </row>
    <row r="1105" spans="1:11" x14ac:dyDescent="0.25">
      <c r="A1105" s="2">
        <f>DATE(2017,12,4)</f>
        <v>43073</v>
      </c>
      <c r="B1105" s="6">
        <v>42.45</v>
      </c>
      <c r="C1105" s="7">
        <f t="shared" si="85"/>
        <v>-7.2497661365761301E-3</v>
      </c>
      <c r="D1105" s="6">
        <f>MAX($B1105:$B$1261)</f>
        <v>44.06</v>
      </c>
      <c r="E1105" s="7">
        <f t="shared" si="86"/>
        <v>-3.6541080344984045E-2</v>
      </c>
      <c r="G1105" s="6">
        <v>6775.37</v>
      </c>
      <c r="H1105" s="7">
        <f t="shared" si="87"/>
        <v>-1.0546776311081696E-2</v>
      </c>
      <c r="I1105" s="6">
        <f>MAX($G1105:$G$1261)</f>
        <v>6912.36</v>
      </c>
      <c r="J1105" s="7">
        <f t="shared" si="88"/>
        <v>-1.9818122898691559E-2</v>
      </c>
      <c r="K1105" s="6">
        <f t="shared" si="89"/>
        <v>113.22817197041337</v>
      </c>
    </row>
    <row r="1106" spans="1:11" x14ac:dyDescent="0.25">
      <c r="A1106" s="2">
        <f>DATE(2017,12,1)</f>
        <v>43070</v>
      </c>
      <c r="B1106" s="6">
        <v>42.76</v>
      </c>
      <c r="C1106" s="7">
        <f t="shared" si="85"/>
        <v>-4.6554934823092031E-3</v>
      </c>
      <c r="D1106" s="6">
        <f>MAX($B1106:$B$1261)</f>
        <v>44.06</v>
      </c>
      <c r="E1106" s="7">
        <f t="shared" si="86"/>
        <v>-2.9505220154335099E-2</v>
      </c>
      <c r="G1106" s="6">
        <v>6847.59</v>
      </c>
      <c r="H1106" s="7">
        <f t="shared" si="87"/>
        <v>-3.8376658612127024E-3</v>
      </c>
      <c r="I1106" s="6">
        <f>MAX($G1106:$G$1261)</f>
        <v>6912.36</v>
      </c>
      <c r="J1106" s="7">
        <f t="shared" si="88"/>
        <v>-9.3701716924464717E-3</v>
      </c>
      <c r="K1106" s="6">
        <f t="shared" si="89"/>
        <v>114.43509330160315</v>
      </c>
    </row>
    <row r="1107" spans="1:11" x14ac:dyDescent="0.25">
      <c r="A1107" s="2">
        <f>DATE(2017,11,30)</f>
        <v>43069</v>
      </c>
      <c r="B1107" s="6">
        <v>42.96</v>
      </c>
      <c r="C1107" s="7">
        <f t="shared" si="85"/>
        <v>1.3924946896389123E-2</v>
      </c>
      <c r="D1107" s="6">
        <f>MAX($B1107:$B$1261)</f>
        <v>44.06</v>
      </c>
      <c r="E1107" s="7">
        <f t="shared" si="86"/>
        <v>-2.4965955515206528E-2</v>
      </c>
      <c r="G1107" s="6">
        <v>6873.97</v>
      </c>
      <c r="H1107" s="7">
        <f t="shared" si="87"/>
        <v>7.2651182010405879E-3</v>
      </c>
      <c r="I1107" s="6">
        <f>MAX($G1107:$G$1261)</f>
        <v>6912.36</v>
      </c>
      <c r="J1107" s="7">
        <f t="shared" si="88"/>
        <v>-5.5538195348621144E-3</v>
      </c>
      <c r="K1107" s="6">
        <f t="shared" si="89"/>
        <v>114.87594880862041</v>
      </c>
    </row>
    <row r="1108" spans="1:11" x14ac:dyDescent="0.25">
      <c r="A1108" s="2">
        <f>DATE(2017,11,29)</f>
        <v>43068</v>
      </c>
      <c r="B1108" s="6">
        <v>42.37</v>
      </c>
      <c r="C1108" s="7">
        <f t="shared" si="85"/>
        <v>-2.0799630228796051E-2</v>
      </c>
      <c r="D1108" s="6">
        <f>MAX($B1108:$B$1261)</f>
        <v>44.06</v>
      </c>
      <c r="E1108" s="7">
        <f t="shared" si="86"/>
        <v>-3.8356786200635651E-2</v>
      </c>
      <c r="G1108" s="6">
        <v>6824.39</v>
      </c>
      <c r="H1108" s="7">
        <f t="shared" si="87"/>
        <v>-1.2726478366288707E-2</v>
      </c>
      <c r="I1108" s="6">
        <f>MAX($G1108:$G$1261)</f>
        <v>6912.36</v>
      </c>
      <c r="J1108" s="7">
        <f t="shared" si="88"/>
        <v>-1.2726478366288707E-2</v>
      </c>
      <c r="K1108" s="6">
        <f t="shared" si="89"/>
        <v>114.04738110437798</v>
      </c>
    </row>
    <row r="1109" spans="1:11" x14ac:dyDescent="0.25">
      <c r="A1109" s="2">
        <f>DATE(2017,11,28)</f>
        <v>43067</v>
      </c>
      <c r="B1109" s="6">
        <v>43.27</v>
      </c>
      <c r="C1109" s="7">
        <f t="shared" si="85"/>
        <v>-5.7444852941176405E-3</v>
      </c>
      <c r="D1109" s="6">
        <f>MAX($B1109:$B$1261)</f>
        <v>44.06</v>
      </c>
      <c r="E1109" s="7">
        <f t="shared" si="86"/>
        <v>-1.793009532455736E-2</v>
      </c>
      <c r="G1109" s="6">
        <v>6912.36</v>
      </c>
      <c r="H1109" s="7">
        <f t="shared" si="87"/>
        <v>4.9196629507508582E-3</v>
      </c>
      <c r="I1109" s="6">
        <f>MAX($G1109:$G$1261)</f>
        <v>6912.36</v>
      </c>
      <c r="J1109" s="7">
        <f t="shared" si="88"/>
        <v>0</v>
      </c>
      <c r="K1109" s="6">
        <f t="shared" si="89"/>
        <v>115.51751222463226</v>
      </c>
    </row>
    <row r="1110" spans="1:11" x14ac:dyDescent="0.25">
      <c r="A1110" s="2">
        <f>DATE(2017,11,27)</f>
        <v>43066</v>
      </c>
      <c r="B1110" s="6">
        <v>43.52</v>
      </c>
      <c r="C1110" s="7">
        <f t="shared" si="85"/>
        <v>-5.0297210791038216E-3</v>
      </c>
      <c r="D1110" s="6">
        <f>MAX($B1110:$B$1261)</f>
        <v>44.06</v>
      </c>
      <c r="E1110" s="7">
        <f t="shared" si="86"/>
        <v>-1.2256014525646841E-2</v>
      </c>
      <c r="G1110" s="6">
        <v>6878.52</v>
      </c>
      <c r="H1110" s="7">
        <f t="shared" si="87"/>
        <v>-1.5444553472411249E-3</v>
      </c>
      <c r="I1110" s="6">
        <f>MAX($G1110:$G$1261)</f>
        <v>6889.16</v>
      </c>
      <c r="J1110" s="7">
        <f t="shared" si="88"/>
        <v>-1.5444553472411249E-3</v>
      </c>
      <c r="K1110" s="6">
        <f t="shared" si="89"/>
        <v>114.95198719212796</v>
      </c>
    </row>
    <row r="1111" spans="1:11" x14ac:dyDescent="0.25">
      <c r="A1111" s="2">
        <f>DATE(2017,11,24)</f>
        <v>43063</v>
      </c>
      <c r="B1111" s="6">
        <v>43.74</v>
      </c>
      <c r="C1111" s="7">
        <f t="shared" si="85"/>
        <v>0</v>
      </c>
      <c r="D1111" s="6">
        <f>MAX($B1111:$B$1261)</f>
        <v>44.06</v>
      </c>
      <c r="E1111" s="7">
        <f t="shared" si="86"/>
        <v>-7.2628234226055355E-3</v>
      </c>
      <c r="G1111" s="6">
        <v>6889.16</v>
      </c>
      <c r="H1111" s="7">
        <f t="shared" si="87"/>
        <v>3.174436755900345E-3</v>
      </c>
      <c r="I1111" s="6">
        <f>MAX($G1111:$G$1261)</f>
        <v>6889.16</v>
      </c>
      <c r="J1111" s="7">
        <f t="shared" si="88"/>
        <v>0</v>
      </c>
      <c r="K1111" s="6">
        <f t="shared" si="89"/>
        <v>115.12980002740709</v>
      </c>
    </row>
    <row r="1112" spans="1:11" x14ac:dyDescent="0.25">
      <c r="A1112" s="2">
        <f>DATE(2017,11,22)</f>
        <v>43061</v>
      </c>
      <c r="B1112" s="6">
        <v>43.74</v>
      </c>
      <c r="C1112" s="7">
        <f t="shared" si="85"/>
        <v>1.0628465804066511E-2</v>
      </c>
      <c r="D1112" s="6">
        <f>MAX($B1112:$B$1261)</f>
        <v>44.06</v>
      </c>
      <c r="E1112" s="7">
        <f t="shared" si="86"/>
        <v>-7.2628234226055355E-3</v>
      </c>
      <c r="G1112" s="6">
        <v>6867.36</v>
      </c>
      <c r="H1112" s="7">
        <f t="shared" si="87"/>
        <v>7.1111318357219844E-4</v>
      </c>
      <c r="I1112" s="6">
        <f>MAX($G1112:$G$1261)</f>
        <v>6867.36</v>
      </c>
      <c r="J1112" s="7">
        <f t="shared" si="88"/>
        <v>0</v>
      </c>
      <c r="K1112" s="6">
        <f t="shared" si="89"/>
        <v>114.76548425587653</v>
      </c>
    </row>
    <row r="1113" spans="1:11" x14ac:dyDescent="0.25">
      <c r="A1113" s="2">
        <f>DATE(2017,11,21)</f>
        <v>43060</v>
      </c>
      <c r="B1113" s="6">
        <v>43.28</v>
      </c>
      <c r="C1113" s="7">
        <f t="shared" si="85"/>
        <v>1.8592610025888412E-2</v>
      </c>
      <c r="D1113" s="6">
        <f>MAX($B1113:$B$1261)</f>
        <v>44.06</v>
      </c>
      <c r="E1113" s="7">
        <f t="shared" si="86"/>
        <v>-1.7703132092600993E-2</v>
      </c>
      <c r="G1113" s="6">
        <v>6862.48</v>
      </c>
      <c r="H1113" s="7">
        <f t="shared" si="87"/>
        <v>1.0568850679825825E-2</v>
      </c>
      <c r="I1113" s="6">
        <f>MAX($G1113:$G$1261)</f>
        <v>6862.48</v>
      </c>
      <c r="J1113" s="7">
        <f t="shared" si="88"/>
        <v>0</v>
      </c>
      <c r="K1113" s="6">
        <f t="shared" si="89"/>
        <v>114.68393100059812</v>
      </c>
    </row>
    <row r="1114" spans="1:11" x14ac:dyDescent="0.25">
      <c r="A1114" s="2">
        <f>DATE(2017,11,20)</f>
        <v>43059</v>
      </c>
      <c r="B1114" s="6">
        <v>42.49</v>
      </c>
      <c r="C1114" s="7">
        <f t="shared" si="85"/>
        <v>-1.1753643629524024E-3</v>
      </c>
      <c r="D1114" s="6">
        <f>MAX($B1114:$B$1261)</f>
        <v>44.06</v>
      </c>
      <c r="E1114" s="7">
        <f t="shared" si="86"/>
        <v>-3.5633227417158464E-2</v>
      </c>
      <c r="G1114" s="6">
        <v>6790.71</v>
      </c>
      <c r="H1114" s="7">
        <f t="shared" si="87"/>
        <v>1.1676610952129352E-3</v>
      </c>
      <c r="I1114" s="6">
        <f>MAX($G1114:$G$1261)</f>
        <v>6793.29</v>
      </c>
      <c r="J1114" s="7">
        <f t="shared" si="88"/>
        <v>-3.7978652464421003E-4</v>
      </c>
      <c r="K1114" s="6">
        <f t="shared" si="89"/>
        <v>113.4845299490959</v>
      </c>
    </row>
    <row r="1115" spans="1:11" x14ac:dyDescent="0.25">
      <c r="A1115" s="2">
        <f>DATE(2017,11,17)</f>
        <v>43056</v>
      </c>
      <c r="B1115" s="6">
        <v>42.54</v>
      </c>
      <c r="C1115" s="7">
        <f t="shared" si="85"/>
        <v>-5.6100981767180924E-3</v>
      </c>
      <c r="D1115" s="6">
        <f>MAX($B1115:$B$1261)</f>
        <v>44.06</v>
      </c>
      <c r="E1115" s="7">
        <f t="shared" si="86"/>
        <v>-3.4498411257376405E-2</v>
      </c>
      <c r="G1115" s="6">
        <v>6782.79</v>
      </c>
      <c r="H1115" s="7">
        <f t="shared" si="87"/>
        <v>-1.5456428328541882E-3</v>
      </c>
      <c r="I1115" s="6">
        <f>MAX($G1115:$G$1261)</f>
        <v>6793.29</v>
      </c>
      <c r="J1115" s="7">
        <f t="shared" si="88"/>
        <v>-1.5456428328541882E-3</v>
      </c>
      <c r="K1115" s="6">
        <f t="shared" si="89"/>
        <v>113.3521730265949</v>
      </c>
    </row>
    <row r="1116" spans="1:11" x14ac:dyDescent="0.25">
      <c r="A1116" s="2">
        <f>DATE(2017,11,16)</f>
        <v>43055</v>
      </c>
      <c r="B1116" s="6">
        <v>42.78</v>
      </c>
      <c r="C1116" s="7">
        <f t="shared" si="85"/>
        <v>1.2065294535131166E-2</v>
      </c>
      <c r="D1116" s="6">
        <f>MAX($B1116:$B$1261)</f>
        <v>44.06</v>
      </c>
      <c r="E1116" s="7">
        <f t="shared" si="86"/>
        <v>-2.9051293690422142E-2</v>
      </c>
      <c r="G1116" s="6">
        <v>6793.29</v>
      </c>
      <c r="H1116" s="7">
        <f t="shared" si="87"/>
        <v>1.2984979593540835E-2</v>
      </c>
      <c r="I1116" s="6">
        <f>MAX($G1116:$G$1261)</f>
        <v>6793.29</v>
      </c>
      <c r="J1116" s="7">
        <f t="shared" si="88"/>
        <v>0</v>
      </c>
      <c r="K1116" s="6">
        <f t="shared" si="89"/>
        <v>113.52764621930457</v>
      </c>
    </row>
    <row r="1117" spans="1:11" x14ac:dyDescent="0.25">
      <c r="A1117" s="2">
        <f>DATE(2017,11,15)</f>
        <v>43054</v>
      </c>
      <c r="B1117" s="6">
        <v>42.27</v>
      </c>
      <c r="C1117" s="7">
        <f t="shared" si="85"/>
        <v>-1.307494746672877E-2</v>
      </c>
      <c r="D1117" s="6">
        <f>MAX($B1117:$B$1261)</f>
        <v>44.06</v>
      </c>
      <c r="E1117" s="7">
        <f t="shared" si="86"/>
        <v>-4.0626418520199659E-2</v>
      </c>
      <c r="G1117" s="6">
        <v>6706.21</v>
      </c>
      <c r="H1117" s="7">
        <f t="shared" si="87"/>
        <v>-4.6988143137223215E-3</v>
      </c>
      <c r="I1117" s="6">
        <f>MAX($G1117:$G$1261)</f>
        <v>6789.12</v>
      </c>
      <c r="J1117" s="7">
        <f t="shared" si="88"/>
        <v>-1.2212186557315263E-2</v>
      </c>
      <c r="K1117" s="6">
        <f t="shared" si="89"/>
        <v>112.07238854109902</v>
      </c>
    </row>
    <row r="1118" spans="1:11" x14ac:dyDescent="0.25">
      <c r="A1118" s="2">
        <f>DATE(2017,11,14)</f>
        <v>43053</v>
      </c>
      <c r="B1118" s="6">
        <v>42.83</v>
      </c>
      <c r="C1118" s="7">
        <f t="shared" si="85"/>
        <v>-1.5175902506323391E-2</v>
      </c>
      <c r="D1118" s="6">
        <f>MAX($B1118:$B$1261)</f>
        <v>44.06</v>
      </c>
      <c r="E1118" s="7">
        <f t="shared" si="86"/>
        <v>-2.7916477530640083E-2</v>
      </c>
      <c r="G1118" s="6">
        <v>6737.87</v>
      </c>
      <c r="H1118" s="7">
        <f t="shared" si="87"/>
        <v>-2.9196756244821431E-3</v>
      </c>
      <c r="I1118" s="6">
        <f>MAX($G1118:$G$1261)</f>
        <v>6789.12</v>
      </c>
      <c r="J1118" s="7">
        <f t="shared" si="88"/>
        <v>-7.5488428544494557E-3</v>
      </c>
      <c r="K1118" s="6">
        <f t="shared" si="89"/>
        <v>112.60148199645029</v>
      </c>
    </row>
    <row r="1119" spans="1:11" x14ac:dyDescent="0.25">
      <c r="A1119" s="2">
        <f>DATE(2017,11,13)</f>
        <v>43052</v>
      </c>
      <c r="B1119" s="6">
        <v>43.49</v>
      </c>
      <c r="C1119" s="7">
        <f t="shared" si="85"/>
        <v>-4.1218227616212078E-3</v>
      </c>
      <c r="D1119" s="6">
        <f>MAX($B1119:$B$1261)</f>
        <v>44.06</v>
      </c>
      <c r="E1119" s="7">
        <f t="shared" si="86"/>
        <v>-1.2936904221516166E-2</v>
      </c>
      <c r="G1119" s="6">
        <v>6757.6</v>
      </c>
      <c r="H1119" s="7">
        <f t="shared" si="87"/>
        <v>9.8652928332954026E-4</v>
      </c>
      <c r="I1119" s="6">
        <f>MAX($G1119:$G$1261)</f>
        <v>6789.12</v>
      </c>
      <c r="J1119" s="7">
        <f t="shared" si="88"/>
        <v>-4.6427224736047545E-3</v>
      </c>
      <c r="K1119" s="6">
        <f t="shared" si="89"/>
        <v>112.93120448141809</v>
      </c>
    </row>
    <row r="1120" spans="1:11" x14ac:dyDescent="0.25">
      <c r="A1120" s="2">
        <f>DATE(2017,11,10)</f>
        <v>43049</v>
      </c>
      <c r="B1120" s="6">
        <v>43.67</v>
      </c>
      <c r="C1120" s="7">
        <f t="shared" si="85"/>
        <v>-6.8228337502842518E-3</v>
      </c>
      <c r="D1120" s="6">
        <f>MAX($B1120:$B$1261)</f>
        <v>44.06</v>
      </c>
      <c r="E1120" s="7">
        <f t="shared" si="86"/>
        <v>-8.8515660463005519E-3</v>
      </c>
      <c r="G1120" s="6">
        <v>6750.94</v>
      </c>
      <c r="H1120" s="7">
        <f t="shared" si="87"/>
        <v>1.3185087517864069E-4</v>
      </c>
      <c r="I1120" s="6">
        <f>MAX($G1120:$G$1261)</f>
        <v>6789.12</v>
      </c>
      <c r="J1120" s="7">
        <f t="shared" si="88"/>
        <v>-5.6237038084464563E-3</v>
      </c>
      <c r="K1120" s="6">
        <f t="shared" si="89"/>
        <v>112.81990434204224</v>
      </c>
    </row>
    <row r="1121" spans="1:11" x14ac:dyDescent="0.25">
      <c r="A1121" s="2">
        <f>DATE(2017,11,9)</f>
        <v>43048</v>
      </c>
      <c r="B1121" s="6">
        <v>43.97</v>
      </c>
      <c r="C1121" s="7">
        <f t="shared" si="85"/>
        <v>-2.0426690876078624E-3</v>
      </c>
      <c r="D1121" s="6">
        <f>MAX($B1121:$B$1261)</f>
        <v>44.06</v>
      </c>
      <c r="E1121" s="7">
        <f t="shared" si="86"/>
        <v>-2.0426690876078624E-3</v>
      </c>
      <c r="G1121" s="6">
        <v>6750.05</v>
      </c>
      <c r="H1121" s="7">
        <f t="shared" si="87"/>
        <v>-5.754795908748056E-3</v>
      </c>
      <c r="I1121" s="6">
        <f>MAX($G1121:$G$1261)</f>
        <v>6789.12</v>
      </c>
      <c r="J1121" s="7">
        <f t="shared" si="88"/>
        <v>-5.754795908748056E-3</v>
      </c>
      <c r="K1121" s="6">
        <f t="shared" si="89"/>
        <v>112.80503089999351</v>
      </c>
    </row>
    <row r="1122" spans="1:11" x14ac:dyDescent="0.25">
      <c r="A1122" s="2">
        <f>DATE(2017,11,8)</f>
        <v>43047</v>
      </c>
      <c r="B1122" s="6">
        <v>44.06</v>
      </c>
      <c r="C1122" s="7">
        <f t="shared" si="85"/>
        <v>8.2379862700228124E-3</v>
      </c>
      <c r="D1122" s="6">
        <f>MAX($B1122:$B$1261)</f>
        <v>44.06</v>
      </c>
      <c r="E1122" s="7">
        <f t="shared" si="86"/>
        <v>0</v>
      </c>
      <c r="G1122" s="6">
        <v>6789.12</v>
      </c>
      <c r="H1122" s="7">
        <f t="shared" si="87"/>
        <v>3.1531757829008633E-3</v>
      </c>
      <c r="I1122" s="6">
        <f>MAX($G1122:$G$1261)</f>
        <v>6789.12</v>
      </c>
      <c r="J1122" s="7">
        <f t="shared" si="88"/>
        <v>0</v>
      </c>
      <c r="K1122" s="6">
        <f t="shared" si="89"/>
        <v>113.45795829419988</v>
      </c>
    </row>
    <row r="1123" spans="1:11" x14ac:dyDescent="0.25">
      <c r="A1123" s="2">
        <f>DATE(2017,11,7)</f>
        <v>43046</v>
      </c>
      <c r="B1123" s="6">
        <v>43.7</v>
      </c>
      <c r="C1123" s="7">
        <f t="shared" si="85"/>
        <v>3.2139577594123558E-3</v>
      </c>
      <c r="D1123" s="6">
        <f>MAX($B1123:$B$1261)</f>
        <v>43.7</v>
      </c>
      <c r="E1123" s="7">
        <f t="shared" si="86"/>
        <v>0</v>
      </c>
      <c r="G1123" s="6">
        <v>6767.78</v>
      </c>
      <c r="H1123" s="7">
        <f t="shared" si="87"/>
        <v>-2.7496006742857571E-3</v>
      </c>
      <c r="I1123" s="6">
        <f>MAX($G1123:$G$1261)</f>
        <v>6786.44</v>
      </c>
      <c r="J1123" s="7">
        <f t="shared" si="88"/>
        <v>-2.7496006742857571E-3</v>
      </c>
      <c r="K1123" s="6">
        <f t="shared" si="89"/>
        <v>113.10132991968325</v>
      </c>
    </row>
    <row r="1124" spans="1:11" x14ac:dyDescent="0.25">
      <c r="A1124" s="2">
        <f>DATE(2017,11,6)</f>
        <v>43045</v>
      </c>
      <c r="B1124" s="6">
        <v>43.56</v>
      </c>
      <c r="C1124" s="7">
        <f t="shared" si="85"/>
        <v>1.0204081632653184E-2</v>
      </c>
      <c r="D1124" s="6">
        <f>MAX($B1124:$B$1261)</f>
        <v>43.56</v>
      </c>
      <c r="E1124" s="7">
        <f t="shared" si="86"/>
        <v>0</v>
      </c>
      <c r="G1124" s="6">
        <v>6786.44</v>
      </c>
      <c r="H1124" s="7">
        <f t="shared" si="87"/>
        <v>3.2523017426424605E-3</v>
      </c>
      <c r="I1124" s="6">
        <f>MAX($G1124:$G$1261)</f>
        <v>6786.44</v>
      </c>
      <c r="J1124" s="7">
        <f t="shared" si="88"/>
        <v>0</v>
      </c>
      <c r="K1124" s="6">
        <f t="shared" si="89"/>
        <v>113.4131708507273</v>
      </c>
    </row>
    <row r="1125" spans="1:11" x14ac:dyDescent="0.25">
      <c r="A1125" s="2">
        <f>DATE(2017,11,3)</f>
        <v>43042</v>
      </c>
      <c r="B1125" s="6">
        <v>43.12</v>
      </c>
      <c r="C1125" s="7">
        <f t="shared" si="85"/>
        <v>2.5933856768974417E-2</v>
      </c>
      <c r="D1125" s="6">
        <f>MAX($B1125:$B$1261)</f>
        <v>43.12</v>
      </c>
      <c r="E1125" s="7">
        <f t="shared" si="86"/>
        <v>0</v>
      </c>
      <c r="G1125" s="6">
        <v>6764.44</v>
      </c>
      <c r="H1125" s="7">
        <f t="shared" si="87"/>
        <v>7.3716220844861624E-3</v>
      </c>
      <c r="I1125" s="6">
        <f>MAX($G1125:$G$1261)</f>
        <v>6764.44</v>
      </c>
      <c r="J1125" s="7">
        <f t="shared" si="88"/>
        <v>0</v>
      </c>
      <c r="K1125" s="6">
        <f t="shared" si="89"/>
        <v>113.04551273266893</v>
      </c>
    </row>
    <row r="1126" spans="1:11" x14ac:dyDescent="0.25">
      <c r="A1126" s="2">
        <f>DATE(2017,11,2)</f>
        <v>43041</v>
      </c>
      <c r="B1126" s="6">
        <v>42.03</v>
      </c>
      <c r="C1126" s="7">
        <f t="shared" si="85"/>
        <v>7.4304889741132474E-3</v>
      </c>
      <c r="D1126" s="6">
        <f>MAX($B1126:$B$1261)</f>
        <v>42.26</v>
      </c>
      <c r="E1126" s="7">
        <f t="shared" si="86"/>
        <v>-5.442498816847996E-3</v>
      </c>
      <c r="G1126" s="6">
        <v>6714.94</v>
      </c>
      <c r="H1126" s="7">
        <f t="shared" si="87"/>
        <v>-2.367293825830119E-4</v>
      </c>
      <c r="I1126" s="6">
        <f>MAX($G1126:$G$1261)</f>
        <v>6727.67</v>
      </c>
      <c r="J1126" s="7">
        <f t="shared" si="88"/>
        <v>-1.8921855560692924E-3</v>
      </c>
      <c r="K1126" s="6">
        <f t="shared" si="89"/>
        <v>112.21828196703761</v>
      </c>
    </row>
    <row r="1127" spans="1:11" x14ac:dyDescent="0.25">
      <c r="A1127" s="2">
        <f>DATE(2017,11,1)</f>
        <v>43040</v>
      </c>
      <c r="B1127" s="6">
        <v>41.72</v>
      </c>
      <c r="C1127" s="7">
        <f t="shared" si="85"/>
        <v>-1.2778040700425874E-2</v>
      </c>
      <c r="D1127" s="6">
        <f>MAX($B1127:$B$1261)</f>
        <v>42.26</v>
      </c>
      <c r="E1127" s="7">
        <f t="shared" si="86"/>
        <v>-1.2778040700425874E-2</v>
      </c>
      <c r="G1127" s="6">
        <v>6716.53</v>
      </c>
      <c r="H1127" s="7">
        <f t="shared" si="87"/>
        <v>-1.6558481613991871E-3</v>
      </c>
      <c r="I1127" s="6">
        <f>MAX($G1127:$G$1261)</f>
        <v>6727.67</v>
      </c>
      <c r="J1127" s="7">
        <f t="shared" si="88"/>
        <v>-1.6558481613991871E-3</v>
      </c>
      <c r="K1127" s="6">
        <f t="shared" si="89"/>
        <v>112.24485362193366</v>
      </c>
    </row>
    <row r="1128" spans="1:11" x14ac:dyDescent="0.25">
      <c r="A1128" s="2">
        <f>DATE(2017,10,31)</f>
        <v>43039</v>
      </c>
      <c r="B1128" s="6">
        <v>42.26</v>
      </c>
      <c r="C1128" s="7">
        <f t="shared" si="85"/>
        <v>1.3915547024951902E-2</v>
      </c>
      <c r="D1128" s="6">
        <f>MAX($B1128:$B$1261)</f>
        <v>42.26</v>
      </c>
      <c r="E1128" s="7">
        <f t="shared" si="86"/>
        <v>0</v>
      </c>
      <c r="G1128" s="6">
        <v>6727.67</v>
      </c>
      <c r="H1128" s="7">
        <f t="shared" si="87"/>
        <v>4.2857398760405285E-3</v>
      </c>
      <c r="I1128" s="6">
        <f>MAX($G1128:$G$1261)</f>
        <v>6727.67</v>
      </c>
      <c r="J1128" s="7">
        <f t="shared" si="88"/>
        <v>0</v>
      </c>
      <c r="K1128" s="6">
        <f t="shared" si="89"/>
        <v>112.4310223235323</v>
      </c>
    </row>
    <row r="1129" spans="1:11" x14ac:dyDescent="0.25">
      <c r="A1129" s="2">
        <f>DATE(2017,10,30)</f>
        <v>43038</v>
      </c>
      <c r="B1129" s="6">
        <v>41.68</v>
      </c>
      <c r="C1129" s="7">
        <f t="shared" si="85"/>
        <v>2.2571148184494572E-2</v>
      </c>
      <c r="D1129" s="6">
        <f>MAX($B1129:$B$1261)</f>
        <v>41.68</v>
      </c>
      <c r="E1129" s="7">
        <f t="shared" si="86"/>
        <v>0</v>
      </c>
      <c r="G1129" s="6">
        <v>6698.96</v>
      </c>
      <c r="H1129" s="7">
        <f t="shared" si="87"/>
        <v>-3.4321903642009488E-4</v>
      </c>
      <c r="I1129" s="6">
        <f>MAX($G1129:$G$1261)</f>
        <v>6701.26</v>
      </c>
      <c r="J1129" s="7">
        <f t="shared" si="88"/>
        <v>-3.4321903642009488E-4</v>
      </c>
      <c r="K1129" s="6">
        <f t="shared" si="89"/>
        <v>111.95122847946614</v>
      </c>
    </row>
    <row r="1130" spans="1:11" x14ac:dyDescent="0.25">
      <c r="A1130" s="2">
        <f>DATE(2017,10,27)</f>
        <v>43035</v>
      </c>
      <c r="B1130" s="6">
        <v>40.76</v>
      </c>
      <c r="C1130" s="7">
        <f t="shared" si="85"/>
        <v>3.5832274459974389E-2</v>
      </c>
      <c r="D1130" s="6">
        <f>MAX($B1130:$B$1261)</f>
        <v>41.01</v>
      </c>
      <c r="E1130" s="7">
        <f t="shared" si="86"/>
        <v>-6.0960741282614084E-3</v>
      </c>
      <c r="G1130" s="6">
        <v>6701.26</v>
      </c>
      <c r="H1130" s="7">
        <f t="shared" si="87"/>
        <v>2.2036765053524698E-2</v>
      </c>
      <c r="I1130" s="6">
        <f>MAX($G1130:$G$1261)</f>
        <v>6701.26</v>
      </c>
      <c r="J1130" s="7">
        <f t="shared" si="88"/>
        <v>0</v>
      </c>
      <c r="K1130" s="6">
        <f t="shared" si="89"/>
        <v>111.98966546453589</v>
      </c>
    </row>
    <row r="1131" spans="1:11" x14ac:dyDescent="0.25">
      <c r="A1131" s="2">
        <f>DATE(2017,10,26)</f>
        <v>43034</v>
      </c>
      <c r="B1131" s="6">
        <v>39.35</v>
      </c>
      <c r="C1131" s="7">
        <f t="shared" si="85"/>
        <v>6.3938618925831747E-3</v>
      </c>
      <c r="D1131" s="6">
        <f>MAX($B1131:$B$1261)</f>
        <v>41.01</v>
      </c>
      <c r="E1131" s="7">
        <f t="shared" si="86"/>
        <v>-4.0477932211655632E-2</v>
      </c>
      <c r="G1131" s="6">
        <v>6556.77</v>
      </c>
      <c r="H1131" s="7">
        <f t="shared" si="87"/>
        <v>-1.0847226263693832E-3</v>
      </c>
      <c r="I1131" s="6">
        <f>MAX($G1131:$G$1261)</f>
        <v>6629.05</v>
      </c>
      <c r="J1131" s="7">
        <f t="shared" si="88"/>
        <v>-1.0903523129256798E-2</v>
      </c>
      <c r="K1131" s="6">
        <f t="shared" si="89"/>
        <v>109.5749872155244</v>
      </c>
    </row>
    <row r="1132" spans="1:11" x14ac:dyDescent="0.25">
      <c r="A1132" s="2">
        <f>DATE(2017,10,25)</f>
        <v>43033</v>
      </c>
      <c r="B1132" s="6">
        <v>39.1</v>
      </c>
      <c r="C1132" s="7">
        <f t="shared" si="85"/>
        <v>-4.5824847250509615E-3</v>
      </c>
      <c r="D1132" s="6">
        <f>MAX($B1132:$B$1261)</f>
        <v>41.01</v>
      </c>
      <c r="E1132" s="7">
        <f t="shared" si="86"/>
        <v>-4.657400633991704E-2</v>
      </c>
      <c r="G1132" s="6">
        <v>6563.89</v>
      </c>
      <c r="H1132" s="7">
        <f t="shared" si="87"/>
        <v>-5.2345785285287105E-3</v>
      </c>
      <c r="I1132" s="6">
        <f>MAX($G1132:$G$1261)</f>
        <v>6629.05</v>
      </c>
      <c r="J1132" s="7">
        <f t="shared" si="88"/>
        <v>-9.8294627435303594E-3</v>
      </c>
      <c r="K1132" s="6">
        <f t="shared" si="89"/>
        <v>109.6939747519142</v>
      </c>
    </row>
    <row r="1133" spans="1:11" x14ac:dyDescent="0.25">
      <c r="A1133" s="2">
        <f>DATE(2017,10,24)</f>
        <v>43032</v>
      </c>
      <c r="B1133" s="6">
        <v>39.28</v>
      </c>
      <c r="C1133" s="7">
        <f t="shared" si="85"/>
        <v>6.147540983606703E-3</v>
      </c>
      <c r="D1133" s="6">
        <f>MAX($B1133:$B$1261)</f>
        <v>41.01</v>
      </c>
      <c r="E1133" s="7">
        <f t="shared" si="86"/>
        <v>-4.2184832967568808E-2</v>
      </c>
      <c r="G1133" s="6">
        <v>6598.43</v>
      </c>
      <c r="H1133" s="7">
        <f t="shared" si="87"/>
        <v>1.7610899324864704E-3</v>
      </c>
      <c r="I1133" s="6">
        <f>MAX($G1133:$G$1261)</f>
        <v>6629.05</v>
      </c>
      <c r="J1133" s="7">
        <f t="shared" si="88"/>
        <v>-4.6190630633348162E-3</v>
      </c>
      <c r="K1133" s="6">
        <f t="shared" si="89"/>
        <v>110.27119799726583</v>
      </c>
    </row>
    <row r="1134" spans="1:11" x14ac:dyDescent="0.25">
      <c r="A1134" s="2">
        <f>DATE(2017,10,23)</f>
        <v>43031</v>
      </c>
      <c r="B1134" s="6">
        <v>39.04</v>
      </c>
      <c r="C1134" s="7">
        <f t="shared" si="85"/>
        <v>-5.1203277009737036E-4</v>
      </c>
      <c r="D1134" s="6">
        <f>MAX($B1134:$B$1261)</f>
        <v>41.01</v>
      </c>
      <c r="E1134" s="7">
        <f t="shared" si="86"/>
        <v>-4.8037064130699858E-2</v>
      </c>
      <c r="G1134" s="6">
        <v>6586.83</v>
      </c>
      <c r="H1134" s="7">
        <f t="shared" si="87"/>
        <v>-6.3689367254735618E-3</v>
      </c>
      <c r="I1134" s="6">
        <f>MAX($G1134:$G$1261)</f>
        <v>6629.05</v>
      </c>
      <c r="J1134" s="7">
        <f t="shared" si="88"/>
        <v>-6.3689367254735618E-3</v>
      </c>
      <c r="K1134" s="6">
        <f t="shared" si="89"/>
        <v>110.07734189865324</v>
      </c>
    </row>
    <row r="1135" spans="1:11" x14ac:dyDescent="0.25">
      <c r="A1135" s="2">
        <f>DATE(2017,10,20)</f>
        <v>43028</v>
      </c>
      <c r="B1135" s="6">
        <v>39.06</v>
      </c>
      <c r="C1135" s="7">
        <f t="shared" si="85"/>
        <v>1.7953321364452268E-3</v>
      </c>
      <c r="D1135" s="6">
        <f>MAX($B1135:$B$1261)</f>
        <v>41.01</v>
      </c>
      <c r="E1135" s="7">
        <f t="shared" si="86"/>
        <v>-4.7549378200438808E-2</v>
      </c>
      <c r="G1135" s="6">
        <v>6629.05</v>
      </c>
      <c r="H1135" s="7">
        <f t="shared" si="87"/>
        <v>3.630544415123671E-3</v>
      </c>
      <c r="I1135" s="6">
        <f>MAX($G1135:$G$1261)</f>
        <v>6629.05</v>
      </c>
      <c r="J1135" s="7">
        <f t="shared" si="88"/>
        <v>0</v>
      </c>
      <c r="K1135" s="6">
        <f t="shared" si="89"/>
        <v>110.78291125067253</v>
      </c>
    </row>
    <row r="1136" spans="1:11" x14ac:dyDescent="0.25">
      <c r="A1136" s="2">
        <f>DATE(2017,10,19)</f>
        <v>43027</v>
      </c>
      <c r="B1136" s="6">
        <v>38.99</v>
      </c>
      <c r="C1136" s="7">
        <f t="shared" si="85"/>
        <v>-2.3785678517776576E-2</v>
      </c>
      <c r="D1136" s="6">
        <f>MAX($B1136:$B$1261)</f>
        <v>41.01</v>
      </c>
      <c r="E1136" s="7">
        <f t="shared" si="86"/>
        <v>-4.9256278956351984E-2</v>
      </c>
      <c r="G1136" s="6">
        <v>6605.07</v>
      </c>
      <c r="H1136" s="7">
        <f t="shared" si="87"/>
        <v>-2.890906401055604E-3</v>
      </c>
      <c r="I1136" s="6">
        <f>MAX($G1136:$G$1261)</f>
        <v>6624.22</v>
      </c>
      <c r="J1136" s="7">
        <f t="shared" si="88"/>
        <v>-2.890906401055604E-3</v>
      </c>
      <c r="K1136" s="6">
        <f t="shared" si="89"/>
        <v>110.38216390198889</v>
      </c>
    </row>
    <row r="1137" spans="1:11" x14ac:dyDescent="0.25">
      <c r="A1137" s="2">
        <f>DATE(2017,10,18)</f>
        <v>43026</v>
      </c>
      <c r="B1137" s="6">
        <v>39.94</v>
      </c>
      <c r="C1137" s="7">
        <f t="shared" si="85"/>
        <v>-4.4865403788634239E-3</v>
      </c>
      <c r="D1137" s="6">
        <f>MAX($B1137:$B$1261)</f>
        <v>41.01</v>
      </c>
      <c r="E1137" s="7">
        <f t="shared" si="86"/>
        <v>-2.609119726895881E-2</v>
      </c>
      <c r="G1137" s="6">
        <v>6624.22</v>
      </c>
      <c r="H1137" s="7">
        <f t="shared" si="87"/>
        <v>8.454540239077879E-5</v>
      </c>
      <c r="I1137" s="6">
        <f>MAX($G1137:$G$1261)</f>
        <v>6624.22</v>
      </c>
      <c r="J1137" s="7">
        <f t="shared" si="88"/>
        <v>0</v>
      </c>
      <c r="K1137" s="6">
        <f t="shared" si="89"/>
        <v>110.70219358202607</v>
      </c>
    </row>
    <row r="1138" spans="1:11" x14ac:dyDescent="0.25">
      <c r="A1138" s="2">
        <f>DATE(2017,10,17)</f>
        <v>43025</v>
      </c>
      <c r="B1138" s="6">
        <v>40.119999999999997</v>
      </c>
      <c r="C1138" s="7">
        <f t="shared" si="85"/>
        <v>3.7528146109582217E-3</v>
      </c>
      <c r="D1138" s="6">
        <f>MAX($B1138:$B$1261)</f>
        <v>41.01</v>
      </c>
      <c r="E1138" s="7">
        <f t="shared" si="86"/>
        <v>-2.1702023896610578E-2</v>
      </c>
      <c r="G1138" s="6">
        <v>6623.66</v>
      </c>
      <c r="H1138" s="7">
        <f t="shared" si="87"/>
        <v>-5.1328502415515231E-5</v>
      </c>
      <c r="I1138" s="6">
        <f>MAX($G1138:$G$1261)</f>
        <v>6624</v>
      </c>
      <c r="J1138" s="7">
        <f t="shared" si="88"/>
        <v>-5.1328502415515231E-5</v>
      </c>
      <c r="K1138" s="6">
        <f t="shared" si="89"/>
        <v>110.69283501174823</v>
      </c>
    </row>
    <row r="1139" spans="1:11" x14ac:dyDescent="0.25">
      <c r="A1139" s="2">
        <f>DATE(2017,10,16)</f>
        <v>43024</v>
      </c>
      <c r="B1139" s="6">
        <v>39.97</v>
      </c>
      <c r="C1139" s="7">
        <f t="shared" si="85"/>
        <v>1.8343949044586028E-2</v>
      </c>
      <c r="D1139" s="6">
        <f>MAX($B1139:$B$1261)</f>
        <v>41.01</v>
      </c>
      <c r="E1139" s="7">
        <f t="shared" si="86"/>
        <v>-2.5359668373567401E-2</v>
      </c>
      <c r="G1139" s="6">
        <v>6624</v>
      </c>
      <c r="H1139" s="7">
        <f t="shared" si="87"/>
        <v>2.7551545611432804E-3</v>
      </c>
      <c r="I1139" s="6">
        <f>MAX($G1139:$G$1261)</f>
        <v>6624</v>
      </c>
      <c r="J1139" s="7">
        <f t="shared" si="88"/>
        <v>0</v>
      </c>
      <c r="K1139" s="6">
        <f t="shared" si="89"/>
        <v>110.6985170008455</v>
      </c>
    </row>
    <row r="1140" spans="1:11" x14ac:dyDescent="0.25">
      <c r="A1140" s="2">
        <f>DATE(2017,10,13)</f>
        <v>43021</v>
      </c>
      <c r="B1140" s="6">
        <v>39.25</v>
      </c>
      <c r="C1140" s="7">
        <f t="shared" si="85"/>
        <v>6.4102564102563875E-3</v>
      </c>
      <c r="D1140" s="6">
        <f>MAX($B1140:$B$1261)</f>
        <v>41.01</v>
      </c>
      <c r="E1140" s="7">
        <f t="shared" si="86"/>
        <v>-4.2916361862960217E-2</v>
      </c>
      <c r="G1140" s="6">
        <v>6605.8</v>
      </c>
      <c r="H1140" s="7">
        <f t="shared" si="87"/>
        <v>2.1679402746865861E-3</v>
      </c>
      <c r="I1140" s="6">
        <f>MAX($G1140:$G$1261)</f>
        <v>6605.8</v>
      </c>
      <c r="J1140" s="7">
        <f t="shared" si="88"/>
        <v>0</v>
      </c>
      <c r="K1140" s="6">
        <f t="shared" si="89"/>
        <v>110.39436346681539</v>
      </c>
    </row>
    <row r="1141" spans="1:11" x14ac:dyDescent="0.25">
      <c r="A1141" s="2">
        <f>DATE(2017,10,12)</f>
        <v>43020</v>
      </c>
      <c r="B1141" s="6">
        <v>39</v>
      </c>
      <c r="C1141" s="7">
        <f t="shared" si="85"/>
        <v>-3.5769034236076136E-3</v>
      </c>
      <c r="D1141" s="6">
        <f>MAX($B1141:$B$1261)</f>
        <v>41.01</v>
      </c>
      <c r="E1141" s="7">
        <f t="shared" si="86"/>
        <v>-4.9012435991221626E-2</v>
      </c>
      <c r="G1141" s="6">
        <v>6591.51</v>
      </c>
      <c r="H1141" s="7">
        <f t="shared" si="87"/>
        <v>-1.8232617304329013E-3</v>
      </c>
      <c r="I1141" s="6">
        <f>MAX($G1141:$G$1261)</f>
        <v>6603.55</v>
      </c>
      <c r="J1141" s="7">
        <f t="shared" si="88"/>
        <v>-1.8232617304329013E-3</v>
      </c>
      <c r="K1141" s="6">
        <f t="shared" si="89"/>
        <v>110.15555280740385</v>
      </c>
    </row>
    <row r="1142" spans="1:11" x14ac:dyDescent="0.25">
      <c r="A1142" s="2">
        <f>DATE(2017,10,11)</f>
        <v>43019</v>
      </c>
      <c r="B1142" s="6">
        <v>39.14</v>
      </c>
      <c r="C1142" s="7">
        <f t="shared" si="85"/>
        <v>4.3623299974340224E-3</v>
      </c>
      <c r="D1142" s="6">
        <f>MAX($B1142:$B$1261)</f>
        <v>41.01</v>
      </c>
      <c r="E1142" s="7">
        <f t="shared" si="86"/>
        <v>-4.5598634479395161E-2</v>
      </c>
      <c r="G1142" s="6">
        <v>6603.55</v>
      </c>
      <c r="H1142" s="7">
        <f t="shared" si="87"/>
        <v>2.4744772097613499E-3</v>
      </c>
      <c r="I1142" s="6">
        <f>MAX($G1142:$G$1261)</f>
        <v>6603.55</v>
      </c>
      <c r="J1142" s="7">
        <f t="shared" si="88"/>
        <v>0</v>
      </c>
      <c r="K1142" s="6">
        <f t="shared" si="89"/>
        <v>110.35676206837762</v>
      </c>
    </row>
    <row r="1143" spans="1:11" x14ac:dyDescent="0.25">
      <c r="A1143" s="2">
        <f>DATE(2017,10,10)</f>
        <v>43018</v>
      </c>
      <c r="B1143" s="6">
        <v>38.97</v>
      </c>
      <c r="C1143" s="7">
        <f t="shared" si="85"/>
        <v>2.5667351129365912E-4</v>
      </c>
      <c r="D1143" s="6">
        <f>MAX($B1143:$B$1261)</f>
        <v>41.01</v>
      </c>
      <c r="E1143" s="7">
        <f t="shared" si="86"/>
        <v>-4.9743964886613035E-2</v>
      </c>
      <c r="G1143" s="6">
        <v>6587.25</v>
      </c>
      <c r="H1143" s="7">
        <f t="shared" si="87"/>
        <v>1.1429040401353951E-3</v>
      </c>
      <c r="I1143" s="6">
        <f>MAX($G1143:$G$1261)</f>
        <v>6590.18</v>
      </c>
      <c r="J1143" s="7">
        <f t="shared" si="88"/>
        <v>-4.4460090619680148E-4</v>
      </c>
      <c r="K1143" s="6">
        <f t="shared" si="89"/>
        <v>110.08436082636165</v>
      </c>
    </row>
    <row r="1144" spans="1:11" x14ac:dyDescent="0.25">
      <c r="A1144" s="2">
        <f>DATE(2017,10,9)</f>
        <v>43017</v>
      </c>
      <c r="B1144" s="6">
        <v>38.96</v>
      </c>
      <c r="C1144" s="7">
        <f t="shared" si="85"/>
        <v>3.3479268606748658E-3</v>
      </c>
      <c r="D1144" s="6">
        <f>MAX($B1144:$B$1261)</f>
        <v>41.01</v>
      </c>
      <c r="E1144" s="7">
        <f t="shared" si="86"/>
        <v>-4.9987807851743393E-2</v>
      </c>
      <c r="G1144" s="6">
        <v>6579.73</v>
      </c>
      <c r="H1144" s="7">
        <f t="shared" si="87"/>
        <v>-1.5856926517940906E-3</v>
      </c>
      <c r="I1144" s="6">
        <f>MAX($G1144:$G$1261)</f>
        <v>6590.18</v>
      </c>
      <c r="J1144" s="7">
        <f t="shared" si="88"/>
        <v>-1.5856926517940906E-3</v>
      </c>
      <c r="K1144" s="6">
        <f t="shared" si="89"/>
        <v>109.95868859691625</v>
      </c>
    </row>
    <row r="1145" spans="1:11" x14ac:dyDescent="0.25">
      <c r="A1145" s="2">
        <f>DATE(2017,10,6)</f>
        <v>43014</v>
      </c>
      <c r="B1145" s="6">
        <v>38.83</v>
      </c>
      <c r="C1145" s="7">
        <f t="shared" si="85"/>
        <v>-5.1480051480057298E-4</v>
      </c>
      <c r="D1145" s="6">
        <f>MAX($B1145:$B$1261)</f>
        <v>41.01</v>
      </c>
      <c r="E1145" s="7">
        <f t="shared" si="86"/>
        <v>-5.3157766398439388E-2</v>
      </c>
      <c r="G1145" s="6">
        <v>6590.18</v>
      </c>
      <c r="H1145" s="7">
        <f t="shared" si="87"/>
        <v>7.3192657652731974E-4</v>
      </c>
      <c r="I1145" s="6">
        <f>MAX($G1145:$G$1261)</f>
        <v>6590.18</v>
      </c>
      <c r="J1145" s="7">
        <f t="shared" si="88"/>
        <v>0</v>
      </c>
      <c r="K1145" s="6">
        <f t="shared" si="89"/>
        <v>110.13332620299397</v>
      </c>
    </row>
    <row r="1146" spans="1:11" x14ac:dyDescent="0.25">
      <c r="A1146" s="2">
        <f>DATE(2017,10,5)</f>
        <v>43013</v>
      </c>
      <c r="B1146" s="6">
        <v>38.85</v>
      </c>
      <c r="C1146" s="7">
        <f t="shared" si="85"/>
        <v>1.2509773260359847E-2</v>
      </c>
      <c r="D1146" s="6">
        <f>MAX($B1146:$B$1261)</f>
        <v>41.01</v>
      </c>
      <c r="E1146" s="7">
        <f t="shared" si="86"/>
        <v>-5.2670080468178448E-2</v>
      </c>
      <c r="G1146" s="6">
        <v>6585.36</v>
      </c>
      <c r="H1146" s="7">
        <f t="shared" si="87"/>
        <v>7.7632551498707514E-3</v>
      </c>
      <c r="I1146" s="6">
        <f>MAX($G1146:$G$1261)</f>
        <v>6585.36</v>
      </c>
      <c r="J1146" s="7">
        <f t="shared" si="88"/>
        <v>0</v>
      </c>
      <c r="K1146" s="6">
        <f t="shared" si="89"/>
        <v>110.05277565167391</v>
      </c>
    </row>
    <row r="1147" spans="1:11" x14ac:dyDescent="0.25">
      <c r="A1147" s="2">
        <f>DATE(2017,10,4)</f>
        <v>43012</v>
      </c>
      <c r="B1147" s="6">
        <v>38.369999999999997</v>
      </c>
      <c r="C1147" s="7">
        <f t="shared" si="85"/>
        <v>-6.4733298808907769E-3</v>
      </c>
      <c r="D1147" s="6">
        <f>MAX($B1147:$B$1261)</f>
        <v>41.01</v>
      </c>
      <c r="E1147" s="7">
        <f t="shared" si="86"/>
        <v>-6.4374542794440437E-2</v>
      </c>
      <c r="G1147" s="6">
        <v>6534.63</v>
      </c>
      <c r="H1147" s="7">
        <f t="shared" si="87"/>
        <v>4.4704985371368799E-4</v>
      </c>
      <c r="I1147" s="6">
        <f>MAX($G1147:$G$1261)</f>
        <v>6534.63</v>
      </c>
      <c r="J1147" s="7">
        <f t="shared" si="88"/>
        <v>0</v>
      </c>
      <c r="K1147" s="6">
        <f t="shared" si="89"/>
        <v>109.20498945489661</v>
      </c>
    </row>
    <row r="1148" spans="1:11" x14ac:dyDescent="0.25">
      <c r="A1148" s="2">
        <f>DATE(2017,10,3)</f>
        <v>43011</v>
      </c>
      <c r="B1148" s="6">
        <v>38.619999999999997</v>
      </c>
      <c r="C1148" s="7">
        <f t="shared" si="85"/>
        <v>4.4213263979191453E-3</v>
      </c>
      <c r="D1148" s="6">
        <f>MAX($B1148:$B$1261)</f>
        <v>41.01</v>
      </c>
      <c r="E1148" s="7">
        <f t="shared" si="86"/>
        <v>-5.8278468666179029E-2</v>
      </c>
      <c r="G1148" s="6">
        <v>6531.71</v>
      </c>
      <c r="H1148" s="7">
        <f t="shared" si="87"/>
        <v>2.3002369290072711E-3</v>
      </c>
      <c r="I1148" s="6">
        <f>MAX($G1148:$G$1261)</f>
        <v>6531.71</v>
      </c>
      <c r="J1148" s="7">
        <f t="shared" si="88"/>
        <v>0</v>
      </c>
      <c r="K1148" s="6">
        <f t="shared" si="89"/>
        <v>109.15619119559068</v>
      </c>
    </row>
    <row r="1149" spans="1:11" x14ac:dyDescent="0.25">
      <c r="A1149" s="2">
        <f>DATE(2017,10,2)</f>
        <v>43010</v>
      </c>
      <c r="B1149" s="6">
        <v>38.450000000000003</v>
      </c>
      <c r="C1149" s="7">
        <f t="shared" si="85"/>
        <v>-2.0763041785620828E-3</v>
      </c>
      <c r="D1149" s="6">
        <f>MAX($B1149:$B$1261)</f>
        <v>41.01</v>
      </c>
      <c r="E1149" s="7">
        <f t="shared" si="86"/>
        <v>-6.2423799073396569E-2</v>
      </c>
      <c r="G1149" s="6">
        <v>6516.72</v>
      </c>
      <c r="H1149" s="7">
        <f t="shared" si="87"/>
        <v>3.1958324866532273E-3</v>
      </c>
      <c r="I1149" s="6">
        <f>MAX($G1149:$G$1261)</f>
        <v>6516.72</v>
      </c>
      <c r="J1149" s="7">
        <f t="shared" si="88"/>
        <v>0</v>
      </c>
      <c r="K1149" s="6">
        <f t="shared" si="89"/>
        <v>108.90568232333182</v>
      </c>
    </row>
    <row r="1150" spans="1:11" x14ac:dyDescent="0.25">
      <c r="A1150" s="2">
        <f>DATE(2017,9,29)</f>
        <v>43007</v>
      </c>
      <c r="B1150" s="6">
        <v>38.53</v>
      </c>
      <c r="C1150" s="7">
        <f t="shared" si="85"/>
        <v>5.4801670146138459E-3</v>
      </c>
      <c r="D1150" s="6">
        <f>MAX($B1150:$B$1261)</f>
        <v>41.01</v>
      </c>
      <c r="E1150" s="7">
        <f t="shared" si="86"/>
        <v>-6.0473055352353033E-2</v>
      </c>
      <c r="G1150" s="6">
        <v>6495.96</v>
      </c>
      <c r="H1150" s="7">
        <f t="shared" si="87"/>
        <v>6.5871743021175266E-3</v>
      </c>
      <c r="I1150" s="6">
        <f>MAX($G1150:$G$1261)</f>
        <v>6495.96</v>
      </c>
      <c r="J1150" s="7">
        <f t="shared" si="88"/>
        <v>0</v>
      </c>
      <c r="K1150" s="6">
        <f t="shared" si="89"/>
        <v>108.55874675374584</v>
      </c>
    </row>
    <row r="1151" spans="1:11" x14ac:dyDescent="0.25">
      <c r="A1151" s="2">
        <f>DATE(2017,9,28)</f>
        <v>43006</v>
      </c>
      <c r="B1151" s="6">
        <v>38.32</v>
      </c>
      <c r="C1151" s="7">
        <f t="shared" si="85"/>
        <v>-6.2240663900415827E-3</v>
      </c>
      <c r="D1151" s="6">
        <f>MAX($B1151:$B$1261)</f>
        <v>41.01</v>
      </c>
      <c r="E1151" s="7">
        <f t="shared" si="86"/>
        <v>-6.5593757620092563E-2</v>
      </c>
      <c r="G1151" s="6">
        <v>6453.45</v>
      </c>
      <c r="H1151" s="7">
        <f t="shared" si="87"/>
        <v>2.9442483334030101E-5</v>
      </c>
      <c r="I1151" s="6">
        <f>MAX($G1151:$G$1261)</f>
        <v>6461.32</v>
      </c>
      <c r="J1151" s="7">
        <f t="shared" si="88"/>
        <v>-1.2180173710635289E-3</v>
      </c>
      <c r="K1151" s="6">
        <f t="shared" si="89"/>
        <v>107.84833099926124</v>
      </c>
    </row>
    <row r="1152" spans="1:11" x14ac:dyDescent="0.25">
      <c r="A1152" s="2">
        <f>DATE(2017,9,27)</f>
        <v>43005</v>
      </c>
      <c r="B1152" s="6">
        <v>38.56</v>
      </c>
      <c r="C1152" s="7">
        <f t="shared" si="85"/>
        <v>7.3145245559038674E-3</v>
      </c>
      <c r="D1152" s="6">
        <f>MAX($B1152:$B$1261)</f>
        <v>41.01</v>
      </c>
      <c r="E1152" s="7">
        <f t="shared" si="86"/>
        <v>-5.9741526456961624E-2</v>
      </c>
      <c r="G1152" s="6">
        <v>6453.26</v>
      </c>
      <c r="H1152" s="7">
        <f t="shared" si="87"/>
        <v>1.1457392918045928E-2</v>
      </c>
      <c r="I1152" s="6">
        <f>MAX($G1152:$G$1261)</f>
        <v>6461.32</v>
      </c>
      <c r="J1152" s="7">
        <f t="shared" si="88"/>
        <v>-1.2474231271627501E-3</v>
      </c>
      <c r="K1152" s="6">
        <f t="shared" si="89"/>
        <v>107.84515577005982</v>
      </c>
    </row>
    <row r="1153" spans="1:11" x14ac:dyDescent="0.25">
      <c r="A1153" s="2">
        <f>DATE(2017,9,26)</f>
        <v>43004</v>
      </c>
      <c r="B1153" s="6">
        <v>38.28</v>
      </c>
      <c r="C1153" s="7">
        <f t="shared" si="85"/>
        <v>1.7003188097768351E-2</v>
      </c>
      <c r="D1153" s="6">
        <f>MAX($B1153:$B$1261)</f>
        <v>41.01</v>
      </c>
      <c r="E1153" s="7">
        <f t="shared" si="86"/>
        <v>-6.6569129480614442E-2</v>
      </c>
      <c r="G1153" s="6">
        <v>6380.16</v>
      </c>
      <c r="H1153" s="7">
        <f t="shared" si="87"/>
        <v>1.5022156503556872E-3</v>
      </c>
      <c r="I1153" s="6">
        <f>MAX($G1153:$G$1261)</f>
        <v>6461.32</v>
      </c>
      <c r="J1153" s="7">
        <f t="shared" si="88"/>
        <v>-1.2560900868553104E-2</v>
      </c>
      <c r="K1153" s="6">
        <f t="shared" si="89"/>
        <v>106.62352811414772</v>
      </c>
    </row>
    <row r="1154" spans="1:11" x14ac:dyDescent="0.25">
      <c r="A1154" s="2">
        <f>DATE(2017,9,25)</f>
        <v>43003</v>
      </c>
      <c r="B1154" s="6">
        <v>37.64</v>
      </c>
      <c r="C1154" s="7">
        <f t="shared" ref="C1154:C1217" si="90">IFERROR(B1154/B1155-1,0)</f>
        <v>-8.6910718988675306E-3</v>
      </c>
      <c r="D1154" s="6">
        <f>MAX($B1154:$B$1261)</f>
        <v>41.01</v>
      </c>
      <c r="E1154" s="7">
        <f t="shared" ref="E1154:E1217" si="91">$B1154/$D1154-1</f>
        <v>-8.2175079248963612E-2</v>
      </c>
      <c r="G1154" s="6">
        <v>6370.59</v>
      </c>
      <c r="H1154" s="7">
        <f t="shared" ref="H1154:H1217" si="92">IFERROR(G1154/G1155-1,0)</f>
        <v>-8.7646959974606586E-3</v>
      </c>
      <c r="I1154" s="6">
        <f>MAX($G1154:$G$1261)</f>
        <v>6461.32</v>
      </c>
      <c r="J1154" s="7">
        <f t="shared" ref="J1154:J1217" si="93">$G1154/$I1154-1</f>
        <v>-1.4042022373137342E-2</v>
      </c>
      <c r="K1154" s="6">
        <f t="shared" ref="K1154:K1217" si="94">$K1155*(1+H1154)</f>
        <v>106.46359683279233</v>
      </c>
    </row>
    <row r="1155" spans="1:11" x14ac:dyDescent="0.25">
      <c r="A1155" s="2">
        <f>DATE(2017,9,22)</f>
        <v>43000</v>
      </c>
      <c r="B1155" s="6">
        <v>37.97</v>
      </c>
      <c r="C1155" s="7">
        <f t="shared" si="90"/>
        <v>-9.9087353324641692E-3</v>
      </c>
      <c r="D1155" s="6">
        <f>MAX($B1155:$B$1261)</f>
        <v>41.01</v>
      </c>
      <c r="E1155" s="7">
        <f t="shared" si="91"/>
        <v>-7.4128261399658557E-2</v>
      </c>
      <c r="G1155" s="6">
        <v>6426.92</v>
      </c>
      <c r="H1155" s="7">
        <f t="shared" si="92"/>
        <v>6.5860254815364172E-4</v>
      </c>
      <c r="I1155" s="6">
        <f>MAX($G1155:$G$1261)</f>
        <v>6461.32</v>
      </c>
      <c r="J1155" s="7">
        <f t="shared" si="93"/>
        <v>-5.3239895253600622E-3</v>
      </c>
      <c r="K1155" s="6">
        <f t="shared" si="94"/>
        <v>107.40496873234814</v>
      </c>
    </row>
    <row r="1156" spans="1:11" x14ac:dyDescent="0.25">
      <c r="A1156" s="2">
        <f>DATE(2017,9,21)</f>
        <v>42999</v>
      </c>
      <c r="B1156" s="6">
        <v>38.35</v>
      </c>
      <c r="C1156" s="7">
        <f t="shared" si="90"/>
        <v>-1.7170681701691448E-2</v>
      </c>
      <c r="D1156" s="6">
        <f>MAX($B1156:$B$1261)</f>
        <v>41.01</v>
      </c>
      <c r="E1156" s="7">
        <f t="shared" si="91"/>
        <v>-6.4862228724701265E-2</v>
      </c>
      <c r="G1156" s="6">
        <v>6422.69</v>
      </c>
      <c r="H1156" s="7">
        <f t="shared" si="92"/>
        <v>-5.1657052930279557E-3</v>
      </c>
      <c r="I1156" s="6">
        <f>MAX($G1156:$G$1261)</f>
        <v>6461.32</v>
      </c>
      <c r="J1156" s="7">
        <f t="shared" si="93"/>
        <v>-5.9786545164146609E-3</v>
      </c>
      <c r="K1156" s="6">
        <f t="shared" si="94"/>
        <v>107.33427810328509</v>
      </c>
    </row>
    <row r="1157" spans="1:11" x14ac:dyDescent="0.25">
      <c r="A1157" s="2">
        <f>DATE(2017,9,20)</f>
        <v>42998</v>
      </c>
      <c r="B1157" s="6">
        <v>39.020000000000003</v>
      </c>
      <c r="C1157" s="7">
        <f t="shared" si="90"/>
        <v>-1.6633064516128893E-2</v>
      </c>
      <c r="D1157" s="6">
        <f>MAX($B1157:$B$1261)</f>
        <v>41.01</v>
      </c>
      <c r="E1157" s="7">
        <f t="shared" si="91"/>
        <v>-4.8524750060960575E-2</v>
      </c>
      <c r="G1157" s="6">
        <v>6456.04</v>
      </c>
      <c r="H1157" s="7">
        <f t="shared" si="92"/>
        <v>-8.1717048528784364E-4</v>
      </c>
      <c r="I1157" s="6">
        <f>MAX($G1157:$G$1261)</f>
        <v>6461.32</v>
      </c>
      <c r="J1157" s="7">
        <f t="shared" si="93"/>
        <v>-8.1717048528784364E-4</v>
      </c>
      <c r="K1157" s="6">
        <f t="shared" si="94"/>
        <v>107.89161438679629</v>
      </c>
    </row>
    <row r="1158" spans="1:11" x14ac:dyDescent="0.25">
      <c r="A1158" s="2">
        <f>DATE(2017,9,19)</f>
        <v>42997</v>
      </c>
      <c r="B1158" s="6">
        <v>39.68</v>
      </c>
      <c r="C1158" s="7">
        <f t="shared" si="90"/>
        <v>2.5207965717166658E-4</v>
      </c>
      <c r="D1158" s="6">
        <f>MAX($B1158:$B$1261)</f>
        <v>41.01</v>
      </c>
      <c r="E1158" s="7">
        <f t="shared" si="91"/>
        <v>-3.2431114362350577E-2</v>
      </c>
      <c r="G1158" s="6">
        <v>6461.32</v>
      </c>
      <c r="H1158" s="7">
        <f t="shared" si="92"/>
        <v>1.034914418154953E-3</v>
      </c>
      <c r="I1158" s="6">
        <f>MAX($G1158:$G$1261)</f>
        <v>6461.32</v>
      </c>
      <c r="J1158" s="7">
        <f t="shared" si="93"/>
        <v>0</v>
      </c>
      <c r="K1158" s="6">
        <f t="shared" si="94"/>
        <v>107.9798523351303</v>
      </c>
    </row>
    <row r="1159" spans="1:11" x14ac:dyDescent="0.25">
      <c r="A1159" s="2">
        <f>DATE(2017,9,18)</f>
        <v>42996</v>
      </c>
      <c r="B1159" s="6">
        <v>39.67</v>
      </c>
      <c r="C1159" s="7">
        <f t="shared" si="90"/>
        <v>-7.5056292219163323E-3</v>
      </c>
      <c r="D1159" s="6">
        <f>MAX($B1159:$B$1261)</f>
        <v>41.01</v>
      </c>
      <c r="E1159" s="7">
        <f t="shared" si="91"/>
        <v>-3.2674957327481047E-2</v>
      </c>
      <c r="G1159" s="6">
        <v>6454.64</v>
      </c>
      <c r="H1159" s="7">
        <f t="shared" si="92"/>
        <v>9.5681611296938307E-4</v>
      </c>
      <c r="I1159" s="6">
        <f>MAX($G1159:$G$1261)</f>
        <v>6460.19</v>
      </c>
      <c r="J1159" s="7">
        <f t="shared" si="93"/>
        <v>-8.5910785905662923E-4</v>
      </c>
      <c r="K1159" s="6">
        <f t="shared" si="94"/>
        <v>107.86821796110168</v>
      </c>
    </row>
    <row r="1160" spans="1:11" x14ac:dyDescent="0.25">
      <c r="A1160" s="2">
        <f>DATE(2017,9,15)</f>
        <v>42993</v>
      </c>
      <c r="B1160" s="6">
        <v>39.97</v>
      </c>
      <c r="C1160" s="7">
        <f t="shared" si="90"/>
        <v>1.0108668182966962E-2</v>
      </c>
      <c r="D1160" s="6">
        <f>MAX($B1160:$B$1261)</f>
        <v>41.01</v>
      </c>
      <c r="E1160" s="7">
        <f t="shared" si="91"/>
        <v>-2.5359668373567401E-2</v>
      </c>
      <c r="G1160" s="6">
        <v>6448.47</v>
      </c>
      <c r="H1160" s="7">
        <f t="shared" si="92"/>
        <v>3.0159836244065819E-3</v>
      </c>
      <c r="I1160" s="6">
        <f>MAX($G1160:$G$1261)</f>
        <v>6460.19</v>
      </c>
      <c r="J1160" s="7">
        <f t="shared" si="93"/>
        <v>-1.8141881275937077E-3</v>
      </c>
      <c r="K1160" s="6">
        <f t="shared" si="94"/>
        <v>107.76510657071896</v>
      </c>
    </row>
    <row r="1161" spans="1:11" x14ac:dyDescent="0.25">
      <c r="A1161" s="2">
        <f>DATE(2017,9,14)</f>
        <v>42992</v>
      </c>
      <c r="B1161" s="6">
        <v>39.57</v>
      </c>
      <c r="C1161" s="7">
        <f t="shared" si="90"/>
        <v>-8.5191681282885678E-3</v>
      </c>
      <c r="D1161" s="6">
        <f>MAX($B1161:$B$1261)</f>
        <v>41.01</v>
      </c>
      <c r="E1161" s="7">
        <f t="shared" si="91"/>
        <v>-3.5113386978785632E-2</v>
      </c>
      <c r="G1161" s="6">
        <v>6429.08</v>
      </c>
      <c r="H1161" s="7">
        <f t="shared" si="92"/>
        <v>-4.8156478369830724E-3</v>
      </c>
      <c r="I1161" s="6">
        <f>MAX($G1161:$G$1261)</f>
        <v>6460.19</v>
      </c>
      <c r="J1161" s="7">
        <f t="shared" si="93"/>
        <v>-4.8156478369830724E-3</v>
      </c>
      <c r="K1161" s="6">
        <f t="shared" si="94"/>
        <v>107.44106607484842</v>
      </c>
    </row>
    <row r="1162" spans="1:11" x14ac:dyDescent="0.25">
      <c r="A1162" s="2">
        <f>DATE(2017,9,13)</f>
        <v>42991</v>
      </c>
      <c r="B1162" s="6">
        <v>39.909999999999997</v>
      </c>
      <c r="C1162" s="7">
        <f t="shared" si="90"/>
        <v>-7.7076081551467057E-3</v>
      </c>
      <c r="D1162" s="6">
        <f>MAX($B1162:$B$1261)</f>
        <v>41.01</v>
      </c>
      <c r="E1162" s="7">
        <f t="shared" si="91"/>
        <v>-2.6822726164350219E-2</v>
      </c>
      <c r="G1162" s="6">
        <v>6460.19</v>
      </c>
      <c r="H1162" s="7">
        <f t="shared" si="92"/>
        <v>9.1567146141779965E-4</v>
      </c>
      <c r="I1162" s="6">
        <f>MAX($G1162:$G$1261)</f>
        <v>6460.19</v>
      </c>
      <c r="J1162" s="7">
        <f t="shared" si="93"/>
        <v>0</v>
      </c>
      <c r="K1162" s="6">
        <f t="shared" si="94"/>
        <v>107.96096807724822</v>
      </c>
    </row>
    <row r="1163" spans="1:11" x14ac:dyDescent="0.25">
      <c r="A1163" s="2">
        <f>DATE(2017,9,12)</f>
        <v>42990</v>
      </c>
      <c r="B1163" s="6">
        <v>40.22</v>
      </c>
      <c r="C1163" s="7">
        <f t="shared" si="90"/>
        <v>-3.9623576027737473E-3</v>
      </c>
      <c r="D1163" s="6">
        <f>MAX($B1163:$B$1261)</f>
        <v>41.01</v>
      </c>
      <c r="E1163" s="7">
        <f t="shared" si="91"/>
        <v>-1.9263594245305993E-2</v>
      </c>
      <c r="G1163" s="6">
        <v>6454.28</v>
      </c>
      <c r="H1163" s="7">
        <f t="shared" si="92"/>
        <v>3.4233690802298877E-3</v>
      </c>
      <c r="I1163" s="6">
        <f>MAX($G1163:$G$1261)</f>
        <v>6454.28</v>
      </c>
      <c r="J1163" s="7">
        <f t="shared" si="93"/>
        <v>0</v>
      </c>
      <c r="K1163" s="6">
        <f t="shared" si="94"/>
        <v>107.86220173735164</v>
      </c>
    </row>
    <row r="1164" spans="1:11" x14ac:dyDescent="0.25">
      <c r="A1164" s="2">
        <f>DATE(2017,9,11)</f>
        <v>42989</v>
      </c>
      <c r="B1164" s="6">
        <v>40.380000000000003</v>
      </c>
      <c r="C1164" s="7">
        <f t="shared" si="90"/>
        <v>1.8154311649016819E-2</v>
      </c>
      <c r="D1164" s="6">
        <f>MAX($B1164:$B$1261)</f>
        <v>41.01</v>
      </c>
      <c r="E1164" s="7">
        <f t="shared" si="91"/>
        <v>-1.5362106803218589E-2</v>
      </c>
      <c r="G1164" s="6">
        <v>6432.26</v>
      </c>
      <c r="H1164" s="7">
        <f t="shared" si="92"/>
        <v>1.1331422488950915E-2</v>
      </c>
      <c r="I1164" s="6">
        <f>MAX($G1164:$G$1261)</f>
        <v>6435.33</v>
      </c>
      <c r="J1164" s="7">
        <f t="shared" si="93"/>
        <v>-4.7705401277009507E-4</v>
      </c>
      <c r="K1164" s="6">
        <f t="shared" si="94"/>
        <v>107.4942093846405</v>
      </c>
    </row>
    <row r="1165" spans="1:11" x14ac:dyDescent="0.25">
      <c r="A1165" s="2">
        <f>DATE(2017,9,8)</f>
        <v>42986</v>
      </c>
      <c r="B1165" s="6">
        <v>39.659999999999997</v>
      </c>
      <c r="C1165" s="7">
        <f t="shared" si="90"/>
        <v>-1.6125031009675106E-2</v>
      </c>
      <c r="D1165" s="6">
        <f>MAX($B1165:$B$1261)</f>
        <v>41.01</v>
      </c>
      <c r="E1165" s="7">
        <f t="shared" si="91"/>
        <v>-3.2918800292611627E-2</v>
      </c>
      <c r="G1165" s="6">
        <v>6360.19</v>
      </c>
      <c r="H1165" s="7">
        <f t="shared" si="92"/>
        <v>-5.8894600859349389E-3</v>
      </c>
      <c r="I1165" s="6">
        <f>MAX($G1165:$G$1261)</f>
        <v>6435.33</v>
      </c>
      <c r="J1165" s="7">
        <f t="shared" si="93"/>
        <v>-1.1676168898875461E-2</v>
      </c>
      <c r="K1165" s="6">
        <f t="shared" si="94"/>
        <v>106.28979481334656</v>
      </c>
    </row>
    <row r="1166" spans="1:11" x14ac:dyDescent="0.25">
      <c r="A1166" s="2">
        <f>DATE(2017,9,7)</f>
        <v>42985</v>
      </c>
      <c r="B1166" s="6">
        <v>40.31</v>
      </c>
      <c r="C1166" s="7">
        <f t="shared" si="90"/>
        <v>-4.1996047430828964E-3</v>
      </c>
      <c r="D1166" s="6">
        <f>MAX($B1166:$B$1261)</f>
        <v>41.01</v>
      </c>
      <c r="E1166" s="7">
        <f t="shared" si="91"/>
        <v>-1.7069007559131766E-2</v>
      </c>
      <c r="G1166" s="6">
        <v>6397.87</v>
      </c>
      <c r="H1166" s="7">
        <f t="shared" si="92"/>
        <v>7.132455645040281E-4</v>
      </c>
      <c r="I1166" s="6">
        <f>MAX($G1166:$G$1261)</f>
        <v>6435.33</v>
      </c>
      <c r="J1166" s="7">
        <f t="shared" si="93"/>
        <v>-5.8209913089150023E-3</v>
      </c>
      <c r="K1166" s="6">
        <f t="shared" si="94"/>
        <v>106.91949289918472</v>
      </c>
    </row>
    <row r="1167" spans="1:11" x14ac:dyDescent="0.25">
      <c r="A1167" s="2">
        <f>DATE(2017,9,6)</f>
        <v>42984</v>
      </c>
      <c r="B1167" s="6">
        <v>40.479999999999997</v>
      </c>
      <c r="C1167" s="7">
        <f t="shared" si="90"/>
        <v>-9.8716683119459692E-4</v>
      </c>
      <c r="D1167" s="6">
        <f>MAX($B1167:$B$1261)</f>
        <v>41.01</v>
      </c>
      <c r="E1167" s="7">
        <f t="shared" si="91"/>
        <v>-1.2923677151914226E-2</v>
      </c>
      <c r="G1167" s="6">
        <v>6393.31</v>
      </c>
      <c r="H1167" s="7">
        <f t="shared" si="92"/>
        <v>2.7824963101339417E-3</v>
      </c>
      <c r="I1167" s="6">
        <f>MAX($G1167:$G$1261)</f>
        <v>6435.33</v>
      </c>
      <c r="J1167" s="7">
        <f t="shared" si="93"/>
        <v>-6.5295796796744909E-3</v>
      </c>
      <c r="K1167" s="6">
        <f t="shared" si="94"/>
        <v>106.84328739835081</v>
      </c>
    </row>
    <row r="1168" spans="1:11" x14ac:dyDescent="0.25">
      <c r="A1168" s="2">
        <f>DATE(2017,9,5)</f>
        <v>42983</v>
      </c>
      <c r="B1168" s="6">
        <v>40.520000000000003</v>
      </c>
      <c r="C1168" s="7">
        <f t="shared" si="90"/>
        <v>-1.1948305291392236E-2</v>
      </c>
      <c r="D1168" s="6">
        <f>MAX($B1168:$B$1261)</f>
        <v>41.01</v>
      </c>
      <c r="E1168" s="7">
        <f t="shared" si="91"/>
        <v>-1.1948305291392236E-2</v>
      </c>
      <c r="G1168" s="6">
        <v>6375.57</v>
      </c>
      <c r="H1168" s="7">
        <f t="shared" si="92"/>
        <v>-9.2862370694276608E-3</v>
      </c>
      <c r="I1168" s="6">
        <f>MAX($G1168:$G$1261)</f>
        <v>6435.33</v>
      </c>
      <c r="J1168" s="7">
        <f t="shared" si="93"/>
        <v>-9.2862370694276608E-3</v>
      </c>
      <c r="K1168" s="6">
        <f t="shared" si="94"/>
        <v>106.54682126133464</v>
      </c>
    </row>
    <row r="1169" spans="1:11" x14ac:dyDescent="0.25">
      <c r="A1169" s="2">
        <f>DATE(2017,9,1)</f>
        <v>42979</v>
      </c>
      <c r="B1169" s="6">
        <v>41.01</v>
      </c>
      <c r="C1169" s="7">
        <f t="shared" si="90"/>
        <v>2.4390243902439046E-4</v>
      </c>
      <c r="D1169" s="6">
        <f>MAX($B1169:$B$1261)</f>
        <v>41.01</v>
      </c>
      <c r="E1169" s="7">
        <f t="shared" si="91"/>
        <v>0</v>
      </c>
      <c r="G1169" s="6">
        <v>6435.33</v>
      </c>
      <c r="H1169" s="7">
        <f t="shared" si="92"/>
        <v>1.0375412605425627E-3</v>
      </c>
      <c r="I1169" s="6">
        <f>MAX($G1169:$G$1261)</f>
        <v>6435.33</v>
      </c>
      <c r="J1169" s="7">
        <f t="shared" si="93"/>
        <v>0</v>
      </c>
      <c r="K1169" s="6">
        <f t="shared" si="94"/>
        <v>107.54551440384228</v>
      </c>
    </row>
    <row r="1170" spans="1:11" x14ac:dyDescent="0.25">
      <c r="A1170" s="2">
        <f>DATE(2017,8,31)</f>
        <v>42978</v>
      </c>
      <c r="B1170" s="6">
        <v>41</v>
      </c>
      <c r="C1170" s="7">
        <f t="shared" si="90"/>
        <v>3.9177277179234249E-3</v>
      </c>
      <c r="D1170" s="6">
        <f>MAX($B1170:$B$1261)</f>
        <v>41</v>
      </c>
      <c r="E1170" s="7">
        <f t="shared" si="91"/>
        <v>0</v>
      </c>
      <c r="G1170" s="6">
        <v>6428.66</v>
      </c>
      <c r="H1170" s="7">
        <f t="shared" si="92"/>
        <v>9.4766115343001278E-3</v>
      </c>
      <c r="I1170" s="6">
        <f>MAX($G1170:$G$1261)</f>
        <v>6428.66</v>
      </c>
      <c r="J1170" s="7">
        <f t="shared" si="93"/>
        <v>0</v>
      </c>
      <c r="K1170" s="6">
        <f t="shared" si="94"/>
        <v>107.43404714714005</v>
      </c>
    </row>
    <row r="1171" spans="1:11" x14ac:dyDescent="0.25">
      <c r="A1171" s="2">
        <f>DATE(2017,8,30)</f>
        <v>42977</v>
      </c>
      <c r="B1171" s="6">
        <v>40.840000000000003</v>
      </c>
      <c r="C1171" s="7">
        <f t="shared" si="90"/>
        <v>2.7007120058926137E-3</v>
      </c>
      <c r="D1171" s="6">
        <f>MAX($B1171:$B$1261)</f>
        <v>40.840000000000003</v>
      </c>
      <c r="E1171" s="7">
        <f t="shared" si="91"/>
        <v>0</v>
      </c>
      <c r="G1171" s="6">
        <v>6368.31</v>
      </c>
      <c r="H1171" s="7">
        <f t="shared" si="92"/>
        <v>1.0539695234286883E-2</v>
      </c>
      <c r="I1171" s="6">
        <f>MAX($G1171:$G$1261)</f>
        <v>6422.75</v>
      </c>
      <c r="J1171" s="7">
        <f t="shared" si="93"/>
        <v>-8.4761200420380156E-3</v>
      </c>
      <c r="K1171" s="6">
        <f t="shared" si="94"/>
        <v>106.42549408237542</v>
      </c>
    </row>
    <row r="1172" spans="1:11" x14ac:dyDescent="0.25">
      <c r="A1172" s="2">
        <f>DATE(2017,8,29)</f>
        <v>42976</v>
      </c>
      <c r="B1172" s="6">
        <v>40.729999999999997</v>
      </c>
      <c r="C1172" s="7">
        <f t="shared" si="90"/>
        <v>8.9175130047065565E-3</v>
      </c>
      <c r="D1172" s="6">
        <f>MAX($B1172:$B$1261)</f>
        <v>40.729999999999997</v>
      </c>
      <c r="E1172" s="7">
        <f t="shared" si="91"/>
        <v>0</v>
      </c>
      <c r="G1172" s="6">
        <v>6301.89</v>
      </c>
      <c r="H1172" s="7">
        <f t="shared" si="92"/>
        <v>3.003332792192337E-3</v>
      </c>
      <c r="I1172" s="6">
        <f>MAX($G1172:$G$1261)</f>
        <v>6422.75</v>
      </c>
      <c r="J1172" s="7">
        <f t="shared" si="93"/>
        <v>-1.8817484722276179E-2</v>
      </c>
      <c r="K1172" s="6">
        <f t="shared" si="94"/>
        <v>105.31550080049195</v>
      </c>
    </row>
    <row r="1173" spans="1:11" x14ac:dyDescent="0.25">
      <c r="A1173" s="2">
        <f>DATE(2017,8,28)</f>
        <v>42975</v>
      </c>
      <c r="B1173" s="6">
        <v>40.369999999999997</v>
      </c>
      <c r="C1173" s="7">
        <f t="shared" si="90"/>
        <v>1.0007505629221924E-2</v>
      </c>
      <c r="D1173" s="6">
        <f>MAX($B1173:$B$1261)</f>
        <v>40.4</v>
      </c>
      <c r="E1173" s="7">
        <f t="shared" si="91"/>
        <v>-7.4257425742574323E-4</v>
      </c>
      <c r="G1173" s="6">
        <v>6283.02</v>
      </c>
      <c r="H1173" s="7">
        <f t="shared" si="92"/>
        <v>2.7738586959991096E-3</v>
      </c>
      <c r="I1173" s="6">
        <f>MAX($G1173:$G$1261)</f>
        <v>6422.75</v>
      </c>
      <c r="J1173" s="7">
        <f t="shared" si="93"/>
        <v>-2.1755478572262565E-2</v>
      </c>
      <c r="K1173" s="6">
        <f t="shared" si="94"/>
        <v>105.0001504055937</v>
      </c>
    </row>
    <row r="1174" spans="1:11" x14ac:dyDescent="0.25">
      <c r="A1174" s="2">
        <f>DATE(2017,8,25)</f>
        <v>42972</v>
      </c>
      <c r="B1174" s="6">
        <v>39.97</v>
      </c>
      <c r="C1174" s="7">
        <f t="shared" si="90"/>
        <v>3.7669512807634309E-3</v>
      </c>
      <c r="D1174" s="6">
        <f>MAX($B1174:$B$1261)</f>
        <v>40.4</v>
      </c>
      <c r="E1174" s="7">
        <f t="shared" si="91"/>
        <v>-1.0643564356435653E-2</v>
      </c>
      <c r="G1174" s="6">
        <v>6265.64</v>
      </c>
      <c r="H1174" s="7">
        <f t="shared" si="92"/>
        <v>-9.0730355442936172E-4</v>
      </c>
      <c r="I1174" s="6">
        <f>MAX($G1174:$G$1261)</f>
        <v>6422.75</v>
      </c>
      <c r="J1174" s="7">
        <f t="shared" si="93"/>
        <v>-2.4461484566579705E-2</v>
      </c>
      <c r="K1174" s="6">
        <f t="shared" si="94"/>
        <v>104.7097004923276</v>
      </c>
    </row>
    <row r="1175" spans="1:11" x14ac:dyDescent="0.25">
      <c r="A1175" s="2">
        <f>DATE(2017,8,24)</f>
        <v>42971</v>
      </c>
      <c r="B1175" s="6">
        <v>39.82</v>
      </c>
      <c r="C1175" s="7">
        <f t="shared" si="90"/>
        <v>-4.2510627656914268E-3</v>
      </c>
      <c r="D1175" s="6">
        <f>MAX($B1175:$B$1261)</f>
        <v>40.4</v>
      </c>
      <c r="E1175" s="7">
        <f t="shared" si="91"/>
        <v>-1.4356435643564369E-2</v>
      </c>
      <c r="G1175" s="6">
        <v>6271.33</v>
      </c>
      <c r="H1175" s="7">
        <f t="shared" si="92"/>
        <v>-1.1276740448616929E-3</v>
      </c>
      <c r="I1175" s="6">
        <f>MAX($G1175:$G$1261)</f>
        <v>6422.75</v>
      </c>
      <c r="J1175" s="7">
        <f t="shared" si="93"/>
        <v>-2.357557121170839E-2</v>
      </c>
      <c r="K1175" s="6">
        <f t="shared" si="94"/>
        <v>104.8047902510436</v>
      </c>
    </row>
    <row r="1176" spans="1:11" x14ac:dyDescent="0.25">
      <c r="A1176" s="2">
        <f>DATE(2017,8,23)</f>
        <v>42970</v>
      </c>
      <c r="B1176" s="6">
        <v>39.99</v>
      </c>
      <c r="C1176" s="7">
        <f t="shared" si="90"/>
        <v>1.0012515644555187E-3</v>
      </c>
      <c r="D1176" s="6">
        <f>MAX($B1176:$B$1261)</f>
        <v>40.4</v>
      </c>
      <c r="E1176" s="7">
        <f t="shared" si="91"/>
        <v>-1.0148514851485047E-2</v>
      </c>
      <c r="G1176" s="6">
        <v>6278.41</v>
      </c>
      <c r="H1176" s="7">
        <f t="shared" si="92"/>
        <v>-3.0281954051460946E-3</v>
      </c>
      <c r="I1176" s="6">
        <f>MAX($G1176:$G$1261)</f>
        <v>6422.75</v>
      </c>
      <c r="J1176" s="7">
        <f t="shared" si="93"/>
        <v>-2.2473239655910637E-2</v>
      </c>
      <c r="K1176" s="6">
        <f t="shared" si="94"/>
        <v>104.92310931812784</v>
      </c>
    </row>
    <row r="1177" spans="1:11" x14ac:dyDescent="0.25">
      <c r="A1177" s="2">
        <f>DATE(2017,8,22)</f>
        <v>42969</v>
      </c>
      <c r="B1177" s="6">
        <v>39.950000000000003</v>
      </c>
      <c r="C1177" s="7">
        <f t="shared" si="90"/>
        <v>1.6539440203562572E-2</v>
      </c>
      <c r="D1177" s="6">
        <f>MAX($B1177:$B$1261)</f>
        <v>40.4</v>
      </c>
      <c r="E1177" s="7">
        <f t="shared" si="91"/>
        <v>-1.1138613861386037E-2</v>
      </c>
      <c r="G1177" s="6">
        <v>6297.48</v>
      </c>
      <c r="H1177" s="7">
        <f t="shared" si="92"/>
        <v>1.3576088058675717E-2</v>
      </c>
      <c r="I1177" s="6">
        <f>MAX($G1177:$G$1261)</f>
        <v>6422.75</v>
      </c>
      <c r="J1177" s="7">
        <f t="shared" si="93"/>
        <v>-1.9504106496438522E-2</v>
      </c>
      <c r="K1177" s="6">
        <f t="shared" si="94"/>
        <v>105.24180205955388</v>
      </c>
    </row>
    <row r="1178" spans="1:11" x14ac:dyDescent="0.25">
      <c r="A1178" s="2">
        <f>DATE(2017,8,21)</f>
        <v>42968</v>
      </c>
      <c r="B1178" s="6">
        <v>39.299999999999997</v>
      </c>
      <c r="C1178" s="7">
        <f t="shared" si="90"/>
        <v>-2.0314880650077471E-3</v>
      </c>
      <c r="D1178" s="6">
        <f>MAX($B1178:$B$1261)</f>
        <v>40.4</v>
      </c>
      <c r="E1178" s="7">
        <f t="shared" si="91"/>
        <v>-2.7227722772277252E-2</v>
      </c>
      <c r="G1178" s="6">
        <v>6213.13</v>
      </c>
      <c r="H1178" s="7">
        <f t="shared" si="92"/>
        <v>-5.4692891371865837E-4</v>
      </c>
      <c r="I1178" s="6">
        <f>MAX($G1178:$G$1261)</f>
        <v>6422.75</v>
      </c>
      <c r="J1178" s="7">
        <f t="shared" si="93"/>
        <v>-3.2637110272079717E-2</v>
      </c>
      <c r="K1178" s="6">
        <f t="shared" si="94"/>
        <v>103.83216741145283</v>
      </c>
    </row>
    <row r="1179" spans="1:11" x14ac:dyDescent="0.25">
      <c r="A1179" s="2">
        <f>DATE(2017,8,18)</f>
        <v>42965</v>
      </c>
      <c r="B1179" s="6">
        <v>39.380000000000003</v>
      </c>
      <c r="C1179" s="7">
        <f t="shared" si="90"/>
        <v>-2.2802128198631255E-3</v>
      </c>
      <c r="D1179" s="6">
        <f>MAX($B1179:$B$1261)</f>
        <v>40.4</v>
      </c>
      <c r="E1179" s="7">
        <f t="shared" si="91"/>
        <v>-2.5247524752475159E-2</v>
      </c>
      <c r="G1179" s="6">
        <v>6216.53</v>
      </c>
      <c r="H1179" s="7">
        <f t="shared" si="92"/>
        <v>-8.6468624586344411E-4</v>
      </c>
      <c r="I1179" s="6">
        <f>MAX($G1179:$G$1261)</f>
        <v>6422.75</v>
      </c>
      <c r="J1179" s="7">
        <f t="shared" si="93"/>
        <v>-3.2107742010820894E-2</v>
      </c>
      <c r="K1179" s="6">
        <f t="shared" si="94"/>
        <v>103.88898730242548</v>
      </c>
    </row>
    <row r="1180" spans="1:11" x14ac:dyDescent="0.25">
      <c r="A1180" s="2">
        <f>DATE(2017,8,17)</f>
        <v>42964</v>
      </c>
      <c r="B1180" s="6">
        <v>39.47</v>
      </c>
      <c r="C1180" s="7">
        <f t="shared" si="90"/>
        <v>-1.9135188866799324E-2</v>
      </c>
      <c r="D1180" s="6">
        <f>MAX($B1180:$B$1261)</f>
        <v>40.4</v>
      </c>
      <c r="E1180" s="7">
        <f t="shared" si="91"/>
        <v>-2.301980198019804E-2</v>
      </c>
      <c r="G1180" s="6">
        <v>6221.91</v>
      </c>
      <c r="H1180" s="7">
        <f t="shared" si="92"/>
        <v>-1.9416527057844468E-2</v>
      </c>
      <c r="I1180" s="6">
        <f>MAX($G1180:$G$1261)</f>
        <v>6422.75</v>
      </c>
      <c r="J1180" s="7">
        <f t="shared" si="93"/>
        <v>-3.1270094585652553E-2</v>
      </c>
      <c r="K1180" s="6">
        <f t="shared" si="94"/>
        <v>103.97889642402339</v>
      </c>
    </row>
    <row r="1181" spans="1:11" x14ac:dyDescent="0.25">
      <c r="A1181" s="2">
        <f>DATE(2017,8,16)</f>
        <v>42963</v>
      </c>
      <c r="B1181" s="6">
        <v>40.24</v>
      </c>
      <c r="C1181" s="7">
        <f t="shared" si="90"/>
        <v>-3.9603960396038529E-3</v>
      </c>
      <c r="D1181" s="6">
        <f>MAX($B1181:$B$1261)</f>
        <v>40.4</v>
      </c>
      <c r="E1181" s="7">
        <f t="shared" si="91"/>
        <v>-3.9603960396038529E-3</v>
      </c>
      <c r="G1181" s="6">
        <v>6345.11</v>
      </c>
      <c r="H1181" s="7">
        <f t="shared" si="92"/>
        <v>1.9106238581652057E-3</v>
      </c>
      <c r="I1181" s="6">
        <f>MAX($G1181:$G$1261)</f>
        <v>6422.75</v>
      </c>
      <c r="J1181" s="7">
        <f t="shared" si="93"/>
        <v>-1.2088279942392366E-2</v>
      </c>
      <c r="K1181" s="6">
        <f t="shared" si="94"/>
        <v>106.03778188515022</v>
      </c>
    </row>
    <row r="1182" spans="1:11" x14ac:dyDescent="0.25">
      <c r="A1182" s="2">
        <f>DATE(2017,8,15)</f>
        <v>42962</v>
      </c>
      <c r="B1182" s="6">
        <v>40.4</v>
      </c>
      <c r="C1182" s="7">
        <f t="shared" si="90"/>
        <v>1.1011011011010874E-2</v>
      </c>
      <c r="D1182" s="6">
        <f>MAX($B1182:$B$1261)</f>
        <v>40.4</v>
      </c>
      <c r="E1182" s="7">
        <f t="shared" si="91"/>
        <v>0</v>
      </c>
      <c r="G1182" s="6">
        <v>6333.01</v>
      </c>
      <c r="H1182" s="7">
        <f t="shared" si="92"/>
        <v>-1.1387599503487333E-3</v>
      </c>
      <c r="I1182" s="6">
        <f>MAX($G1182:$G$1261)</f>
        <v>6422.75</v>
      </c>
      <c r="J1182" s="7">
        <f t="shared" si="93"/>
        <v>-1.3972208166283862E-2</v>
      </c>
      <c r="K1182" s="6">
        <f t="shared" si="94"/>
        <v>105.83556992021815</v>
      </c>
    </row>
    <row r="1183" spans="1:11" x14ac:dyDescent="0.25">
      <c r="A1183" s="2">
        <f>DATE(2017,8,14)</f>
        <v>42961</v>
      </c>
      <c r="B1183" s="6">
        <v>39.96</v>
      </c>
      <c r="C1183" s="7">
        <f t="shared" si="90"/>
        <v>1.4986029972060111E-2</v>
      </c>
      <c r="D1183" s="6">
        <f>MAX($B1183:$B$1261)</f>
        <v>40.26</v>
      </c>
      <c r="E1183" s="7">
        <f t="shared" si="91"/>
        <v>-7.4515648286139768E-3</v>
      </c>
      <c r="G1183" s="6">
        <v>6340.23</v>
      </c>
      <c r="H1183" s="7">
        <f t="shared" si="92"/>
        <v>1.3373163527561349E-2</v>
      </c>
      <c r="I1183" s="6">
        <f>MAX($G1183:$G$1261)</f>
        <v>6422.75</v>
      </c>
      <c r="J1183" s="7">
        <f t="shared" si="93"/>
        <v>-1.284807909384611E-2</v>
      </c>
      <c r="K1183" s="6">
        <f t="shared" si="94"/>
        <v>105.95622862987184</v>
      </c>
    </row>
    <row r="1184" spans="1:11" x14ac:dyDescent="0.25">
      <c r="A1184" s="2">
        <f>DATE(2017,8,11)</f>
        <v>42958</v>
      </c>
      <c r="B1184" s="6">
        <v>39.369999999999997</v>
      </c>
      <c r="C1184" s="7">
        <f t="shared" si="90"/>
        <v>1.3906773113572024E-2</v>
      </c>
      <c r="D1184" s="6">
        <f>MAX($B1184:$B$1261)</f>
        <v>40.26</v>
      </c>
      <c r="E1184" s="7">
        <f t="shared" si="91"/>
        <v>-2.2106308991554857E-2</v>
      </c>
      <c r="G1184" s="6">
        <v>6256.56</v>
      </c>
      <c r="H1184" s="7">
        <f t="shared" si="92"/>
        <v>6.3842415878088143E-3</v>
      </c>
      <c r="I1184" s="6">
        <f>MAX($G1184:$G$1261)</f>
        <v>6422.75</v>
      </c>
      <c r="J1184" s="7">
        <f t="shared" si="93"/>
        <v>-2.5875209217235517E-2</v>
      </c>
      <c r="K1184" s="6">
        <f t="shared" si="94"/>
        <v>104.55795795996535</v>
      </c>
    </row>
    <row r="1185" spans="1:11" x14ac:dyDescent="0.25">
      <c r="A1185" s="2">
        <f>DATE(2017,8,10)</f>
        <v>42957</v>
      </c>
      <c r="B1185" s="6">
        <v>38.83</v>
      </c>
      <c r="C1185" s="7">
        <f t="shared" si="90"/>
        <v>-3.5519125683060149E-2</v>
      </c>
      <c r="D1185" s="6">
        <f>MAX($B1185:$B$1261)</f>
        <v>40.26</v>
      </c>
      <c r="E1185" s="7">
        <f t="shared" si="91"/>
        <v>-3.5519125683060149E-2</v>
      </c>
      <c r="G1185" s="6">
        <v>6216.87</v>
      </c>
      <c r="H1185" s="7">
        <f t="shared" si="92"/>
        <v>-2.1324458899332988E-2</v>
      </c>
      <c r="I1185" s="6">
        <f>MAX($G1185:$G$1261)</f>
        <v>6422.75</v>
      </c>
      <c r="J1185" s="7">
        <f t="shared" si="93"/>
        <v>-3.2054805184695057E-2</v>
      </c>
      <c r="K1185" s="6">
        <f t="shared" si="94"/>
        <v>103.89466929152276</v>
      </c>
    </row>
    <row r="1186" spans="1:11" x14ac:dyDescent="0.25">
      <c r="A1186" s="2">
        <f>DATE(2017,8,9)</f>
        <v>42956</v>
      </c>
      <c r="B1186" s="6">
        <v>40.26</v>
      </c>
      <c r="C1186" s="7">
        <f t="shared" si="90"/>
        <v>5.9970014992503096E-3</v>
      </c>
      <c r="D1186" s="6">
        <f>MAX($B1186:$B$1261)</f>
        <v>40.26</v>
      </c>
      <c r="E1186" s="7">
        <f t="shared" si="91"/>
        <v>0</v>
      </c>
      <c r="G1186" s="6">
        <v>6352.33</v>
      </c>
      <c r="H1186" s="7">
        <f t="shared" si="92"/>
        <v>-2.8459483302618604E-3</v>
      </c>
      <c r="I1186" s="6">
        <f>MAX($G1186:$G$1261)</f>
        <v>6422.75</v>
      </c>
      <c r="J1186" s="7">
        <f t="shared" si="93"/>
        <v>-1.0964150869954503E-2</v>
      </c>
      <c r="K1186" s="6">
        <f t="shared" si="94"/>
        <v>106.15844059480393</v>
      </c>
    </row>
    <row r="1187" spans="1:11" x14ac:dyDescent="0.25">
      <c r="A1187" s="2">
        <f>DATE(2017,8,8)</f>
        <v>42955</v>
      </c>
      <c r="B1187" s="6">
        <v>40.020000000000003</v>
      </c>
      <c r="C1187" s="7">
        <f t="shared" si="90"/>
        <v>8.0604534005037642E-3</v>
      </c>
      <c r="D1187" s="6">
        <f>MAX($B1187:$B$1261)</f>
        <v>40.020000000000003</v>
      </c>
      <c r="E1187" s="7">
        <f t="shared" si="91"/>
        <v>0</v>
      </c>
      <c r="G1187" s="6">
        <v>6370.46</v>
      </c>
      <c r="H1187" s="7">
        <f t="shared" si="92"/>
        <v>-2.0849748659491629E-3</v>
      </c>
      <c r="I1187" s="6">
        <f>MAX($G1187:$G$1261)</f>
        <v>6422.75</v>
      </c>
      <c r="J1187" s="7">
        <f t="shared" si="93"/>
        <v>-8.1413724650656327E-3</v>
      </c>
      <c r="K1187" s="6">
        <f t="shared" si="94"/>
        <v>106.46142430754931</v>
      </c>
    </row>
    <row r="1188" spans="1:11" x14ac:dyDescent="0.25">
      <c r="A1188" s="2">
        <f>DATE(2017,8,7)</f>
        <v>42954</v>
      </c>
      <c r="B1188" s="6">
        <v>39.700000000000003</v>
      </c>
      <c r="C1188" s="7">
        <f t="shared" si="90"/>
        <v>1.5345268542199531E-2</v>
      </c>
      <c r="D1188" s="6">
        <f>MAX($B1188:$B$1261)</f>
        <v>39.700000000000003</v>
      </c>
      <c r="E1188" s="7">
        <f t="shared" si="91"/>
        <v>0</v>
      </c>
      <c r="G1188" s="6">
        <v>6383.77</v>
      </c>
      <c r="H1188" s="7">
        <f t="shared" si="92"/>
        <v>5.0711951079733808E-3</v>
      </c>
      <c r="I1188" s="6">
        <f>MAX($G1188:$G$1261)</f>
        <v>6422.75</v>
      </c>
      <c r="J1188" s="7">
        <f t="shared" si="93"/>
        <v>-6.0690514187846656E-3</v>
      </c>
      <c r="K1188" s="6">
        <f t="shared" si="94"/>
        <v>106.68385746897462</v>
      </c>
    </row>
    <row r="1189" spans="1:11" x14ac:dyDescent="0.25">
      <c r="A1189" s="2">
        <f>DATE(2017,8,4)</f>
        <v>42951</v>
      </c>
      <c r="B1189" s="6">
        <v>39.1</v>
      </c>
      <c r="C1189" s="7">
        <f t="shared" si="90"/>
        <v>5.3998457186936744E-3</v>
      </c>
      <c r="D1189" s="6">
        <f>MAX($B1189:$B$1261)</f>
        <v>39.28</v>
      </c>
      <c r="E1189" s="7">
        <f t="shared" si="91"/>
        <v>-4.5824847250509615E-3</v>
      </c>
      <c r="G1189" s="6">
        <v>6351.56</v>
      </c>
      <c r="H1189" s="7">
        <f t="shared" si="92"/>
        <v>1.769621187507342E-3</v>
      </c>
      <c r="I1189" s="6">
        <f>MAX($G1189:$G$1261)</f>
        <v>6422.75</v>
      </c>
      <c r="J1189" s="7">
        <f t="shared" si="93"/>
        <v>-1.1084037211474773E-2</v>
      </c>
      <c r="K1189" s="6">
        <f t="shared" si="94"/>
        <v>106.14557256067191</v>
      </c>
    </row>
    <row r="1190" spans="1:11" x14ac:dyDescent="0.25">
      <c r="A1190" s="2">
        <f>DATE(2017,8,3)</f>
        <v>42950</v>
      </c>
      <c r="B1190" s="6">
        <v>38.89</v>
      </c>
      <c r="C1190" s="7">
        <f t="shared" si="90"/>
        <v>-9.9287169042769907E-3</v>
      </c>
      <c r="D1190" s="6">
        <f>MAX($B1190:$B$1261)</f>
        <v>39.28</v>
      </c>
      <c r="E1190" s="7">
        <f t="shared" si="91"/>
        <v>-9.9287169042769907E-3</v>
      </c>
      <c r="G1190" s="6">
        <v>6340.34</v>
      </c>
      <c r="H1190" s="7">
        <f t="shared" si="92"/>
        <v>-3.5064006349554422E-3</v>
      </c>
      <c r="I1190" s="6">
        <f>MAX($G1190:$G$1261)</f>
        <v>6422.75</v>
      </c>
      <c r="J1190" s="7">
        <f t="shared" si="93"/>
        <v>-1.2830952473628865E-2</v>
      </c>
      <c r="K1190" s="6">
        <f t="shared" si="94"/>
        <v>105.95806692046214</v>
      </c>
    </row>
    <row r="1191" spans="1:11" x14ac:dyDescent="0.25">
      <c r="A1191" s="2">
        <f>DATE(2017,8,2)</f>
        <v>42949</v>
      </c>
      <c r="B1191" s="6">
        <v>39.28</v>
      </c>
      <c r="C1191" s="7">
        <f t="shared" si="90"/>
        <v>4.7187416688883044E-2</v>
      </c>
      <c r="D1191" s="6">
        <f>MAX($B1191:$B$1261)</f>
        <v>39.28</v>
      </c>
      <c r="E1191" s="7">
        <f t="shared" si="91"/>
        <v>0</v>
      </c>
      <c r="G1191" s="6">
        <v>6362.65</v>
      </c>
      <c r="H1191" s="7">
        <f t="shared" si="92"/>
        <v>-4.557641593350148E-5</v>
      </c>
      <c r="I1191" s="6">
        <f>MAX($G1191:$G$1261)</f>
        <v>6422.75</v>
      </c>
      <c r="J1191" s="7">
        <f t="shared" si="93"/>
        <v>-9.3573625004865768E-3</v>
      </c>
      <c r="K1191" s="6">
        <f t="shared" si="94"/>
        <v>106.33090567563859</v>
      </c>
    </row>
    <row r="1192" spans="1:11" x14ac:dyDescent="0.25">
      <c r="A1192" s="2">
        <f>DATE(2017,8,1)</f>
        <v>42948</v>
      </c>
      <c r="B1192" s="6">
        <v>37.51</v>
      </c>
      <c r="C1192" s="7">
        <f t="shared" si="90"/>
        <v>8.8757396449703485E-3</v>
      </c>
      <c r="D1192" s="6">
        <f>MAX($B1192:$B$1261)</f>
        <v>39.03</v>
      </c>
      <c r="E1192" s="7">
        <f t="shared" si="91"/>
        <v>-3.8944401742249668E-2</v>
      </c>
      <c r="G1192" s="6">
        <v>6362.94</v>
      </c>
      <c r="H1192" s="7">
        <f t="shared" si="92"/>
        <v>2.3345494414093171E-3</v>
      </c>
      <c r="I1192" s="6">
        <f>MAX($G1192:$G$1261)</f>
        <v>6422.75</v>
      </c>
      <c r="J1192" s="7">
        <f t="shared" si="93"/>
        <v>-9.3122105017321433E-3</v>
      </c>
      <c r="K1192" s="6">
        <f t="shared" si="94"/>
        <v>106.33575207810391</v>
      </c>
    </row>
    <row r="1193" spans="1:11" x14ac:dyDescent="0.25">
      <c r="A1193" s="2">
        <f>DATE(2017,7,31)</f>
        <v>42947</v>
      </c>
      <c r="B1193" s="6">
        <v>37.18</v>
      </c>
      <c r="C1193" s="7">
        <f t="shared" si="90"/>
        <v>-5.3504547886571441E-3</v>
      </c>
      <c r="D1193" s="6">
        <f>MAX($B1193:$B$1261)</f>
        <v>39.03</v>
      </c>
      <c r="E1193" s="7">
        <f t="shared" si="91"/>
        <v>-4.73994363310275E-2</v>
      </c>
      <c r="G1193" s="6">
        <v>6348.12</v>
      </c>
      <c r="H1193" s="7">
        <f t="shared" si="92"/>
        <v>-4.166483650944075E-3</v>
      </c>
      <c r="I1193" s="6">
        <f>MAX($G1193:$G$1261)</f>
        <v>6422.75</v>
      </c>
      <c r="J1193" s="7">
        <f t="shared" si="93"/>
        <v>-1.1619633334630786E-2</v>
      </c>
      <c r="K1193" s="6">
        <f t="shared" si="94"/>
        <v>106.08808420039369</v>
      </c>
    </row>
    <row r="1194" spans="1:11" x14ac:dyDescent="0.25">
      <c r="A1194" s="2">
        <f>DATE(2017,7,28)</f>
        <v>42944</v>
      </c>
      <c r="B1194" s="6">
        <v>37.380000000000003</v>
      </c>
      <c r="C1194" s="7">
        <f t="shared" si="90"/>
        <v>-6.907545164718365E-3</v>
      </c>
      <c r="D1194" s="6">
        <f>MAX($B1194:$B$1261)</f>
        <v>39.03</v>
      </c>
      <c r="E1194" s="7">
        <f t="shared" si="91"/>
        <v>-4.2275172943889272E-2</v>
      </c>
      <c r="G1194" s="6">
        <v>6374.68</v>
      </c>
      <c r="H1194" s="7">
        <f t="shared" si="92"/>
        <v>-1.176712069054564E-3</v>
      </c>
      <c r="I1194" s="6">
        <f>MAX($G1194:$G$1261)</f>
        <v>6422.75</v>
      </c>
      <c r="J1194" s="7">
        <f t="shared" si="93"/>
        <v>-7.484333034914914E-3</v>
      </c>
      <c r="K1194" s="6">
        <f t="shared" si="94"/>
        <v>106.53194781928597</v>
      </c>
    </row>
    <row r="1195" spans="1:11" x14ac:dyDescent="0.25">
      <c r="A1195" s="2">
        <f>DATE(2017,7,27)</f>
        <v>42943</v>
      </c>
      <c r="B1195" s="6">
        <v>37.64</v>
      </c>
      <c r="C1195" s="7">
        <f t="shared" si="90"/>
        <v>-1.9025280166796943E-2</v>
      </c>
      <c r="D1195" s="6">
        <f>MAX($B1195:$B$1261)</f>
        <v>39.03</v>
      </c>
      <c r="E1195" s="7">
        <f t="shared" si="91"/>
        <v>-3.5613630540609842E-2</v>
      </c>
      <c r="G1195" s="6">
        <v>6382.19</v>
      </c>
      <c r="H1195" s="7">
        <f t="shared" si="92"/>
        <v>-6.3150519637227287E-3</v>
      </c>
      <c r="I1195" s="6">
        <f>MAX($G1195:$G$1261)</f>
        <v>6422.75</v>
      </c>
      <c r="J1195" s="7">
        <f t="shared" si="93"/>
        <v>-6.3150519637227287E-3</v>
      </c>
      <c r="K1195" s="6">
        <f t="shared" si="94"/>
        <v>106.65745293140498</v>
      </c>
    </row>
    <row r="1196" spans="1:11" x14ac:dyDescent="0.25">
      <c r="A1196" s="2">
        <f>DATE(2017,7,26)</f>
        <v>42942</v>
      </c>
      <c r="B1196" s="6">
        <v>38.369999999999997</v>
      </c>
      <c r="C1196" s="7">
        <f t="shared" si="90"/>
        <v>4.7132757266299397E-3</v>
      </c>
      <c r="D1196" s="6">
        <f>MAX($B1196:$B$1261)</f>
        <v>39.03</v>
      </c>
      <c r="E1196" s="7">
        <f t="shared" si="91"/>
        <v>-1.6910069177555775E-2</v>
      </c>
      <c r="G1196" s="6">
        <v>6422.75</v>
      </c>
      <c r="H1196" s="7">
        <f t="shared" si="92"/>
        <v>1.6499874457476249E-3</v>
      </c>
      <c r="I1196" s="6">
        <f>MAX($G1196:$G$1261)</f>
        <v>6422.75</v>
      </c>
      <c r="J1196" s="7">
        <f t="shared" si="93"/>
        <v>0</v>
      </c>
      <c r="K1196" s="6">
        <f t="shared" si="94"/>
        <v>107.33528080724349</v>
      </c>
    </row>
    <row r="1197" spans="1:11" x14ac:dyDescent="0.25">
      <c r="A1197" s="2">
        <f>DATE(2017,7,25)</f>
        <v>42941</v>
      </c>
      <c r="B1197" s="6">
        <v>38.19</v>
      </c>
      <c r="C1197" s="7">
        <f t="shared" si="90"/>
        <v>4.471330878484947E-3</v>
      </c>
      <c r="D1197" s="6">
        <f>MAX($B1197:$B$1261)</f>
        <v>39.03</v>
      </c>
      <c r="E1197" s="7">
        <f t="shared" si="91"/>
        <v>-2.1521906225980048E-2</v>
      </c>
      <c r="G1197" s="6">
        <v>6412.17</v>
      </c>
      <c r="H1197" s="7">
        <f t="shared" si="92"/>
        <v>2.1214167944449969E-4</v>
      </c>
      <c r="I1197" s="6">
        <f>MAX($G1197:$G$1261)</f>
        <v>6412.17</v>
      </c>
      <c r="J1197" s="7">
        <f t="shared" si="93"/>
        <v>0</v>
      </c>
      <c r="K1197" s="6">
        <f t="shared" si="94"/>
        <v>107.1584706759227</v>
      </c>
    </row>
    <row r="1198" spans="1:11" x14ac:dyDescent="0.25">
      <c r="A1198" s="2">
        <f>DATE(2017,7,24)</f>
        <v>42940</v>
      </c>
      <c r="B1198" s="6">
        <v>38.020000000000003</v>
      </c>
      <c r="C1198" s="7">
        <f t="shared" si="90"/>
        <v>1.1977641735427369E-2</v>
      </c>
      <c r="D1198" s="6">
        <f>MAX($B1198:$B$1261)</f>
        <v>39.03</v>
      </c>
      <c r="E1198" s="7">
        <f t="shared" si="91"/>
        <v>-2.5877530105047342E-2</v>
      </c>
      <c r="G1198" s="6">
        <v>6410.81</v>
      </c>
      <c r="H1198" s="7">
        <f t="shared" si="92"/>
        <v>3.6100348322962716E-3</v>
      </c>
      <c r="I1198" s="6">
        <f>MAX($G1198:$G$1261)</f>
        <v>6410.81</v>
      </c>
      <c r="J1198" s="7">
        <f t="shared" si="93"/>
        <v>0</v>
      </c>
      <c r="K1198" s="6">
        <f t="shared" si="94"/>
        <v>107.13574271953364</v>
      </c>
    </row>
    <row r="1199" spans="1:11" x14ac:dyDescent="0.25">
      <c r="A1199" s="2">
        <f>DATE(2017,7,21)</f>
        <v>42937</v>
      </c>
      <c r="B1199" s="6">
        <v>37.57</v>
      </c>
      <c r="C1199" s="7">
        <f t="shared" si="90"/>
        <v>-2.6609898882379301E-4</v>
      </c>
      <c r="D1199" s="6">
        <f>MAX($B1199:$B$1261)</f>
        <v>39.03</v>
      </c>
      <c r="E1199" s="7">
        <f t="shared" si="91"/>
        <v>-3.7407122726108133E-2</v>
      </c>
      <c r="G1199" s="6">
        <v>6387.75</v>
      </c>
      <c r="H1199" s="7">
        <f t="shared" si="92"/>
        <v>-3.5211267605639307E-4</v>
      </c>
      <c r="I1199" s="6">
        <f>MAX($G1199:$G$1261)</f>
        <v>6390</v>
      </c>
      <c r="J1199" s="7">
        <f t="shared" si="93"/>
        <v>-3.5211267605639307E-4</v>
      </c>
      <c r="K1199" s="6">
        <f t="shared" si="94"/>
        <v>106.75037016487791</v>
      </c>
    </row>
    <row r="1200" spans="1:11" x14ac:dyDescent="0.25">
      <c r="A1200" s="2">
        <f>DATE(2017,7,20)</f>
        <v>42936</v>
      </c>
      <c r="B1200" s="6">
        <v>37.58</v>
      </c>
      <c r="C1200" s="7">
        <f t="shared" si="90"/>
        <v>-4.7669491525423879E-3</v>
      </c>
      <c r="D1200" s="6">
        <f>MAX($B1200:$B$1261)</f>
        <v>39.03</v>
      </c>
      <c r="E1200" s="7">
        <f t="shared" si="91"/>
        <v>-3.7150909556751266E-2</v>
      </c>
      <c r="G1200" s="6">
        <v>6390</v>
      </c>
      <c r="H1200" s="7">
        <f t="shared" si="92"/>
        <v>7.7681580694877184E-4</v>
      </c>
      <c r="I1200" s="6">
        <f>MAX($G1200:$G$1261)</f>
        <v>6390</v>
      </c>
      <c r="J1200" s="7">
        <f t="shared" si="93"/>
        <v>0</v>
      </c>
      <c r="K1200" s="6">
        <f t="shared" si="94"/>
        <v>106.78797156331569</v>
      </c>
    </row>
    <row r="1201" spans="1:11" x14ac:dyDescent="0.25">
      <c r="A1201" s="2">
        <f>DATE(2017,7,19)</f>
        <v>42935</v>
      </c>
      <c r="B1201" s="6">
        <v>37.76</v>
      </c>
      <c r="C1201" s="7">
        <f t="shared" si="90"/>
        <v>6.3965884861405531E-3</v>
      </c>
      <c r="D1201" s="6">
        <f>MAX($B1201:$B$1261)</f>
        <v>39.03</v>
      </c>
      <c r="E1201" s="7">
        <f t="shared" si="91"/>
        <v>-3.2539072508326994E-2</v>
      </c>
      <c r="G1201" s="6">
        <v>6385.04</v>
      </c>
      <c r="H1201" s="7">
        <f t="shared" si="92"/>
        <v>6.4199258863453235E-3</v>
      </c>
      <c r="I1201" s="6">
        <f>MAX($G1201:$G$1261)</f>
        <v>6385.04</v>
      </c>
      <c r="J1201" s="7">
        <f t="shared" si="93"/>
        <v>0</v>
      </c>
      <c r="K1201" s="6">
        <f t="shared" si="94"/>
        <v>106.70508136942617</v>
      </c>
    </row>
    <row r="1202" spans="1:11" x14ac:dyDescent="0.25">
      <c r="A1202" s="2">
        <f>DATE(2017,7,18)</f>
        <v>42934</v>
      </c>
      <c r="B1202" s="6">
        <v>37.520000000000003</v>
      </c>
      <c r="C1202" s="7">
        <f t="shared" si="90"/>
        <v>3.4768654720513936E-3</v>
      </c>
      <c r="D1202" s="6">
        <f>MAX($B1202:$B$1261)</f>
        <v>39.03</v>
      </c>
      <c r="E1202" s="7">
        <f t="shared" si="91"/>
        <v>-3.8688188572892579E-2</v>
      </c>
      <c r="G1202" s="6">
        <v>6344.31</v>
      </c>
      <c r="H1202" s="7">
        <f t="shared" si="92"/>
        <v>4.7320185669965653E-3</v>
      </c>
      <c r="I1202" s="6">
        <f>MAX($G1202:$G$1261)</f>
        <v>6344.31</v>
      </c>
      <c r="J1202" s="7">
        <f t="shared" si="93"/>
        <v>0</v>
      </c>
      <c r="K1202" s="6">
        <f t="shared" si="94"/>
        <v>106.02441249903903</v>
      </c>
    </row>
    <row r="1203" spans="1:11" x14ac:dyDescent="0.25">
      <c r="A1203" s="2">
        <f>DATE(2017,7,17)</f>
        <v>42933</v>
      </c>
      <c r="B1203" s="6">
        <v>37.39</v>
      </c>
      <c r="C1203" s="7">
        <f t="shared" si="90"/>
        <v>3.4889962426194465E-3</v>
      </c>
      <c r="D1203" s="6">
        <f>MAX($B1203:$B$1261)</f>
        <v>39.03</v>
      </c>
      <c r="E1203" s="7">
        <f t="shared" si="91"/>
        <v>-4.2018959774532405E-2</v>
      </c>
      <c r="G1203" s="6">
        <v>6314.43</v>
      </c>
      <c r="H1203" s="7">
        <f t="shared" si="92"/>
        <v>3.1049652513193138E-4</v>
      </c>
      <c r="I1203" s="6">
        <f>MAX($G1203:$G$1261)</f>
        <v>6321.76</v>
      </c>
      <c r="J1203" s="7">
        <f t="shared" si="93"/>
        <v>-1.1594872314039106E-3</v>
      </c>
      <c r="K1203" s="6">
        <f t="shared" si="94"/>
        <v>105.52506592778522</v>
      </c>
    </row>
    <row r="1204" spans="1:11" x14ac:dyDescent="0.25">
      <c r="A1204" s="2">
        <f>DATE(2017,7,14)</f>
        <v>42930</v>
      </c>
      <c r="B1204" s="6">
        <v>37.26</v>
      </c>
      <c r="C1204" s="7">
        <f t="shared" si="90"/>
        <v>8.6626962642122329E-3</v>
      </c>
      <c r="D1204" s="6">
        <f>MAX($B1204:$B$1261)</f>
        <v>39.03</v>
      </c>
      <c r="E1204" s="7">
        <f t="shared" si="91"/>
        <v>-4.5349730976172231E-2</v>
      </c>
      <c r="G1204" s="6">
        <v>6312.47</v>
      </c>
      <c r="H1204" s="7">
        <f t="shared" si="92"/>
        <v>6.0610986797229316E-3</v>
      </c>
      <c r="I1204" s="6">
        <f>MAX($G1204:$G$1261)</f>
        <v>6321.76</v>
      </c>
      <c r="J1204" s="7">
        <f t="shared" si="93"/>
        <v>-1.4695274733618202E-3</v>
      </c>
      <c r="K1204" s="6">
        <f t="shared" si="94"/>
        <v>105.49231093181275</v>
      </c>
    </row>
    <row r="1205" spans="1:11" x14ac:dyDescent="0.25">
      <c r="A1205" s="2">
        <f>DATE(2017,7,13)</f>
        <v>42929</v>
      </c>
      <c r="B1205" s="6">
        <v>36.94</v>
      </c>
      <c r="C1205" s="7">
        <f t="shared" si="90"/>
        <v>1.3721185510428002E-2</v>
      </c>
      <c r="D1205" s="6">
        <f>MAX($B1205:$B$1261)</f>
        <v>39.03</v>
      </c>
      <c r="E1205" s="7">
        <f t="shared" si="91"/>
        <v>-5.3548552395593196E-2</v>
      </c>
      <c r="G1205" s="6">
        <v>6274.44</v>
      </c>
      <c r="H1205" s="7">
        <f t="shared" si="92"/>
        <v>2.1194121865402149E-3</v>
      </c>
      <c r="I1205" s="6">
        <f>MAX($G1205:$G$1261)</f>
        <v>6321.76</v>
      </c>
      <c r="J1205" s="7">
        <f t="shared" si="93"/>
        <v>-7.4852572701273878E-3</v>
      </c>
      <c r="K1205" s="6">
        <f t="shared" si="94"/>
        <v>104.85676373955094</v>
      </c>
    </row>
    <row r="1206" spans="1:11" x14ac:dyDescent="0.25">
      <c r="A1206" s="2">
        <f>DATE(2017,7,12)</f>
        <v>42928</v>
      </c>
      <c r="B1206" s="6">
        <v>36.44</v>
      </c>
      <c r="C1206" s="7">
        <f t="shared" si="90"/>
        <v>1.6492578339746267E-3</v>
      </c>
      <c r="D1206" s="6">
        <f>MAX($B1206:$B$1261)</f>
        <v>39.03</v>
      </c>
      <c r="E1206" s="7">
        <f t="shared" si="91"/>
        <v>-6.6359210863438434E-2</v>
      </c>
      <c r="G1206" s="6">
        <v>6261.17</v>
      </c>
      <c r="H1206" s="7">
        <f t="shared" si="92"/>
        <v>1.0958616569518576E-2</v>
      </c>
      <c r="I1206" s="6">
        <f>MAX($G1206:$G$1261)</f>
        <v>6321.76</v>
      </c>
      <c r="J1206" s="7">
        <f t="shared" si="93"/>
        <v>-9.5843562552201389E-3</v>
      </c>
      <c r="K1206" s="6">
        <f t="shared" si="94"/>
        <v>104.63499904743119</v>
      </c>
    </row>
    <row r="1207" spans="1:11" x14ac:dyDescent="0.25">
      <c r="A1207" s="2">
        <f>DATE(2017,7,11)</f>
        <v>42927</v>
      </c>
      <c r="B1207" s="6">
        <v>36.380000000000003</v>
      </c>
      <c r="C1207" s="7">
        <f t="shared" si="90"/>
        <v>3.309431880860636E-3</v>
      </c>
      <c r="D1207" s="6">
        <f>MAX($B1207:$B$1261)</f>
        <v>39.03</v>
      </c>
      <c r="E1207" s="7">
        <f t="shared" si="91"/>
        <v>-6.7896489879579747E-2</v>
      </c>
      <c r="G1207" s="6">
        <v>6193.3</v>
      </c>
      <c r="H1207" s="7">
        <f t="shared" si="92"/>
        <v>2.7378452461712666E-3</v>
      </c>
      <c r="I1207" s="6">
        <f>MAX($G1207:$G$1261)</f>
        <v>6321.76</v>
      </c>
      <c r="J1207" s="7">
        <f t="shared" si="93"/>
        <v>-2.0320290551998132E-2</v>
      </c>
      <c r="K1207" s="6">
        <f t="shared" si="94"/>
        <v>103.50077375322115</v>
      </c>
    </row>
    <row r="1208" spans="1:11" x14ac:dyDescent="0.25">
      <c r="A1208" s="2">
        <f>DATE(2017,7,10)</f>
        <v>42926</v>
      </c>
      <c r="B1208" s="6">
        <v>36.26</v>
      </c>
      <c r="C1208" s="7">
        <f t="shared" si="90"/>
        <v>6.1043285238624456E-3</v>
      </c>
      <c r="D1208" s="6">
        <f>MAX($B1208:$B$1261)</f>
        <v>39.03</v>
      </c>
      <c r="E1208" s="7">
        <f t="shared" si="91"/>
        <v>-7.0971047911862706E-2</v>
      </c>
      <c r="G1208" s="6">
        <v>6176.39</v>
      </c>
      <c r="H1208" s="7">
        <f t="shared" si="92"/>
        <v>3.7883466491579476E-3</v>
      </c>
      <c r="I1208" s="6">
        <f>MAX($G1208:$G$1261)</f>
        <v>6321.76</v>
      </c>
      <c r="J1208" s="7">
        <f t="shared" si="93"/>
        <v>-2.2995178557869922E-2</v>
      </c>
      <c r="K1208" s="6">
        <f t="shared" si="94"/>
        <v>103.21817835429539</v>
      </c>
    </row>
    <row r="1209" spans="1:11" x14ac:dyDescent="0.25">
      <c r="A1209" s="2">
        <f>DATE(2017,7,7)</f>
        <v>42923</v>
      </c>
      <c r="B1209" s="6">
        <v>36.04</v>
      </c>
      <c r="C1209" s="7">
        <f t="shared" si="90"/>
        <v>1.0089686098654793E-2</v>
      </c>
      <c r="D1209" s="6">
        <f>MAX($B1209:$B$1261)</f>
        <v>39.03</v>
      </c>
      <c r="E1209" s="7">
        <f t="shared" si="91"/>
        <v>-7.6607737637714668E-2</v>
      </c>
      <c r="G1209" s="6">
        <v>6153.08</v>
      </c>
      <c r="H1209" s="7">
        <f t="shared" si="92"/>
        <v>1.0447560210593343E-2</v>
      </c>
      <c r="I1209" s="6">
        <f>MAX($G1209:$G$1261)</f>
        <v>6321.76</v>
      </c>
      <c r="J1209" s="7">
        <f t="shared" si="93"/>
        <v>-2.6682442864012557E-2</v>
      </c>
      <c r="K1209" s="6">
        <f t="shared" si="94"/>
        <v>102.82862786647991</v>
      </c>
    </row>
    <row r="1210" spans="1:11" x14ac:dyDescent="0.25">
      <c r="A1210" s="2">
        <f>DATE(2017,7,6)</f>
        <v>42922</v>
      </c>
      <c r="B1210" s="6">
        <v>35.68</v>
      </c>
      <c r="C1210" s="7">
        <f t="shared" si="90"/>
        <v>-9.4392004441977706E-3</v>
      </c>
      <c r="D1210" s="6">
        <f>MAX($B1210:$B$1261)</f>
        <v>39.03</v>
      </c>
      <c r="E1210" s="7">
        <f t="shared" si="91"/>
        <v>-8.5831411734563212E-2</v>
      </c>
      <c r="G1210" s="6">
        <v>6089.46</v>
      </c>
      <c r="H1210" s="7">
        <f t="shared" si="92"/>
        <v>-9.9823439323931673E-3</v>
      </c>
      <c r="I1210" s="6">
        <f>MAX($G1210:$G$1261)</f>
        <v>6321.76</v>
      </c>
      <c r="J1210" s="7">
        <f t="shared" si="93"/>
        <v>-3.6746096023892116E-2</v>
      </c>
      <c r="K1210" s="6">
        <f t="shared" si="94"/>
        <v>101.76542743598567</v>
      </c>
    </row>
    <row r="1211" spans="1:11" x14ac:dyDescent="0.25">
      <c r="A1211" s="2">
        <f>DATE(2017,7,5)</f>
        <v>42921</v>
      </c>
      <c r="B1211" s="6">
        <v>36.020000000000003</v>
      </c>
      <c r="C1211" s="7">
        <f t="shared" si="90"/>
        <v>3.9018952062430667E-3</v>
      </c>
      <c r="D1211" s="6">
        <f>MAX($B1211:$B$1261)</f>
        <v>39.03</v>
      </c>
      <c r="E1211" s="7">
        <f t="shared" si="91"/>
        <v>-7.7120163976428291E-2</v>
      </c>
      <c r="G1211" s="6">
        <v>6150.86</v>
      </c>
      <c r="H1211" s="7">
        <f t="shared" si="92"/>
        <v>6.6775121684565786E-3</v>
      </c>
      <c r="I1211" s="6">
        <f>MAX($G1211:$G$1261)</f>
        <v>6321.76</v>
      </c>
      <c r="J1211" s="7">
        <f t="shared" si="93"/>
        <v>-2.7033610893169024E-2</v>
      </c>
      <c r="K1211" s="6">
        <f t="shared" si="94"/>
        <v>102.79152782002129</v>
      </c>
    </row>
    <row r="1212" spans="1:11" x14ac:dyDescent="0.25">
      <c r="A1212" s="2">
        <f>DATE(2017,7,3)</f>
        <v>42919</v>
      </c>
      <c r="B1212" s="6">
        <v>35.880000000000003</v>
      </c>
      <c r="C1212" s="7">
        <f t="shared" si="90"/>
        <v>-3.6101083032489267E-3</v>
      </c>
      <c r="D1212" s="6">
        <f>MAX($B1212:$B$1261)</f>
        <v>39.03</v>
      </c>
      <c r="E1212" s="7">
        <f t="shared" si="91"/>
        <v>-8.0707148347424984E-2</v>
      </c>
      <c r="G1212" s="6">
        <v>6110.06</v>
      </c>
      <c r="H1212" s="7">
        <f t="shared" si="92"/>
        <v>-4.9442871985955206E-3</v>
      </c>
      <c r="I1212" s="6">
        <f>MAX($G1212:$G$1261)</f>
        <v>6321.76</v>
      </c>
      <c r="J1212" s="7">
        <f t="shared" si="93"/>
        <v>-3.3487509807395344E-2</v>
      </c>
      <c r="K1212" s="6">
        <f t="shared" si="94"/>
        <v>102.10968912834942</v>
      </c>
    </row>
    <row r="1213" spans="1:11" x14ac:dyDescent="0.25">
      <c r="A1213" s="2">
        <f>DATE(2017,6,30)</f>
        <v>42916</v>
      </c>
      <c r="B1213" s="6">
        <v>36.01</v>
      </c>
      <c r="C1213" s="7">
        <f t="shared" si="90"/>
        <v>2.5055679287304677E-3</v>
      </c>
      <c r="D1213" s="6">
        <f>MAX($B1213:$B$1261)</f>
        <v>39.03</v>
      </c>
      <c r="E1213" s="7">
        <f t="shared" si="91"/>
        <v>-7.737637714578538E-2</v>
      </c>
      <c r="G1213" s="6">
        <v>6140.42</v>
      </c>
      <c r="H1213" s="7">
        <f t="shared" si="92"/>
        <v>-6.3961200126949613E-4</v>
      </c>
      <c r="I1213" s="6">
        <f>MAX($G1213:$G$1261)</f>
        <v>6321.76</v>
      </c>
      <c r="J1213" s="7">
        <f t="shared" si="93"/>
        <v>-2.8685049732985801E-2</v>
      </c>
      <c r="K1213" s="6">
        <f t="shared" si="94"/>
        <v>102.61705733126996</v>
      </c>
    </row>
    <row r="1214" spans="1:11" x14ac:dyDescent="0.25">
      <c r="A1214" s="2">
        <f>DATE(2017,6,29)</f>
        <v>42915</v>
      </c>
      <c r="B1214" s="6">
        <v>35.92</v>
      </c>
      <c r="C1214" s="7">
        <f t="shared" si="90"/>
        <v>-1.4810751508502418E-2</v>
      </c>
      <c r="D1214" s="6">
        <f>MAX($B1214:$B$1261)</f>
        <v>39.03</v>
      </c>
      <c r="E1214" s="7">
        <f t="shared" si="91"/>
        <v>-7.9682295669997405E-2</v>
      </c>
      <c r="G1214" s="6">
        <v>6144.35</v>
      </c>
      <c r="H1214" s="7">
        <f t="shared" si="92"/>
        <v>-1.4445633187422646E-2</v>
      </c>
      <c r="I1214" s="6">
        <f>MAX($G1214:$G$1261)</f>
        <v>6321.76</v>
      </c>
      <c r="J1214" s="7">
        <f t="shared" si="93"/>
        <v>-2.8063387411100704E-2</v>
      </c>
      <c r="K1214" s="6">
        <f t="shared" si="94"/>
        <v>102.6827344405413</v>
      </c>
    </row>
    <row r="1215" spans="1:11" x14ac:dyDescent="0.25">
      <c r="A1215" s="2">
        <f>DATE(2017,6,28)</f>
        <v>42914</v>
      </c>
      <c r="B1215" s="6">
        <v>36.46</v>
      </c>
      <c r="C1215" s="7">
        <f t="shared" si="90"/>
        <v>1.4750904536598997E-2</v>
      </c>
      <c r="D1215" s="6">
        <f>MAX($B1215:$B$1261)</f>
        <v>39.03</v>
      </c>
      <c r="E1215" s="7">
        <f t="shared" si="91"/>
        <v>-6.5846784524724589E-2</v>
      </c>
      <c r="G1215" s="6">
        <v>6234.41</v>
      </c>
      <c r="H1215" s="7">
        <f t="shared" si="92"/>
        <v>1.4282646397532295E-2</v>
      </c>
      <c r="I1215" s="6">
        <f>MAX($G1215:$G$1261)</f>
        <v>6321.76</v>
      </c>
      <c r="J1215" s="7">
        <f t="shared" si="93"/>
        <v>-1.3817354660727421E-2</v>
      </c>
      <c r="K1215" s="6">
        <f t="shared" si="94"/>
        <v>104.18779308201113</v>
      </c>
    </row>
    <row r="1216" spans="1:11" x14ac:dyDescent="0.25">
      <c r="A1216" s="2">
        <f>DATE(2017,6,27)</f>
        <v>42913</v>
      </c>
      <c r="B1216" s="6">
        <v>35.93</v>
      </c>
      <c r="C1216" s="7">
        <f t="shared" si="90"/>
        <v>-1.4536478332419112E-2</v>
      </c>
      <c r="D1216" s="6">
        <f>MAX($B1216:$B$1261)</f>
        <v>39.03</v>
      </c>
      <c r="E1216" s="7">
        <f t="shared" si="91"/>
        <v>-7.9426082500640538E-2</v>
      </c>
      <c r="G1216" s="6">
        <v>6146.62</v>
      </c>
      <c r="H1216" s="7">
        <f t="shared" si="92"/>
        <v>-1.6092138014934809E-2</v>
      </c>
      <c r="I1216" s="6">
        <f>MAX($G1216:$G$1261)</f>
        <v>6321.76</v>
      </c>
      <c r="J1216" s="7">
        <f t="shared" si="93"/>
        <v>-2.7704310192098403E-2</v>
      </c>
      <c r="K1216" s="6">
        <f t="shared" si="94"/>
        <v>102.72067007363187</v>
      </c>
    </row>
    <row r="1217" spans="1:11" x14ac:dyDescent="0.25">
      <c r="A1217" s="2">
        <f>DATE(2017,6,26)</f>
        <v>42912</v>
      </c>
      <c r="B1217" s="6">
        <v>36.46</v>
      </c>
      <c r="C1217" s="7">
        <f t="shared" si="90"/>
        <v>-3.0079299972655127E-3</v>
      </c>
      <c r="D1217" s="6">
        <f>MAX($B1217:$B$1261)</f>
        <v>39.03</v>
      </c>
      <c r="E1217" s="7">
        <f t="shared" si="91"/>
        <v>-6.5846784524724589E-2</v>
      </c>
      <c r="G1217" s="6">
        <v>6247.15</v>
      </c>
      <c r="H1217" s="7">
        <f t="shared" si="92"/>
        <v>-2.888950959658465E-3</v>
      </c>
      <c r="I1217" s="6">
        <f>MAX($G1217:$G$1261)</f>
        <v>6321.76</v>
      </c>
      <c r="J1217" s="7">
        <f t="shared" si="93"/>
        <v>-1.1802093088000953E-2</v>
      </c>
      <c r="K1217" s="6">
        <f t="shared" si="94"/>
        <v>104.4007005558322</v>
      </c>
    </row>
    <row r="1218" spans="1:11" x14ac:dyDescent="0.25">
      <c r="A1218" s="2">
        <f>DATE(2017,6,23)</f>
        <v>42909</v>
      </c>
      <c r="B1218" s="6">
        <v>36.57</v>
      </c>
      <c r="C1218" s="7">
        <f t="shared" ref="C1218:C1281" si="95">IFERROR(B1218/B1219-1,0)</f>
        <v>4.3943971436419815E-3</v>
      </c>
      <c r="D1218" s="6">
        <f>MAX($B1218:$B$1261)</f>
        <v>39.03</v>
      </c>
      <c r="E1218" s="7">
        <f t="shared" ref="E1218:E1261" si="96">$B1218/$D1218-1</f>
        <v>-6.3028439661798608E-2</v>
      </c>
      <c r="G1218" s="6">
        <v>6265.25</v>
      </c>
      <c r="H1218" s="7">
        <f t="shared" ref="H1218:H1281" si="97">IFERROR(G1218/G1219-1,0)</f>
        <v>4.5793521884205379E-3</v>
      </c>
      <c r="I1218" s="6">
        <f>MAX($G1218:$G$1261)</f>
        <v>6321.76</v>
      </c>
      <c r="J1218" s="7">
        <f t="shared" ref="J1218:J1261" si="98">$G1218/$I1218-1</f>
        <v>-8.9389663637974293E-3</v>
      </c>
      <c r="K1218" s="6">
        <f t="shared" ref="K1218:K1261" si="99">$K1219*(1+H1218)</f>
        <v>104.70318291659841</v>
      </c>
    </row>
    <row r="1219" spans="1:11" x14ac:dyDescent="0.25">
      <c r="A1219" s="2">
        <f>DATE(2017,6,22)</f>
        <v>42908</v>
      </c>
      <c r="B1219" s="6">
        <v>36.409999999999997</v>
      </c>
      <c r="C1219" s="7">
        <f t="shared" si="95"/>
        <v>-1.6451878256101837E-3</v>
      </c>
      <c r="D1219" s="6">
        <f>MAX($B1219:$B$1261)</f>
        <v>39.03</v>
      </c>
      <c r="E1219" s="7">
        <f t="shared" si="96"/>
        <v>-6.7127850371509257E-2</v>
      </c>
      <c r="G1219" s="6">
        <v>6236.69</v>
      </c>
      <c r="H1219" s="7">
        <f t="shared" si="97"/>
        <v>4.3952870972652214E-4</v>
      </c>
      <c r="I1219" s="6">
        <f>MAX($G1219:$G$1261)</f>
        <v>6321.76</v>
      </c>
      <c r="J1219" s="7">
        <f t="shared" si="98"/>
        <v>-1.3456695603756064E-2</v>
      </c>
      <c r="K1219" s="6">
        <f t="shared" si="99"/>
        <v>104.22589583242809</v>
      </c>
    </row>
    <row r="1220" spans="1:11" x14ac:dyDescent="0.25">
      <c r="A1220" s="2">
        <f>DATE(2017,6,21)</f>
        <v>42907</v>
      </c>
      <c r="B1220" s="6">
        <v>36.47</v>
      </c>
      <c r="C1220" s="7">
        <f t="shared" si="95"/>
        <v>6.0689655172414536E-3</v>
      </c>
      <c r="D1220" s="6">
        <f>MAX($B1220:$B$1261)</f>
        <v>39.03</v>
      </c>
      <c r="E1220" s="7">
        <f t="shared" si="96"/>
        <v>-6.5590571355367722E-2</v>
      </c>
      <c r="G1220" s="6">
        <v>6233.95</v>
      </c>
      <c r="H1220" s="7">
        <f t="shared" si="97"/>
        <v>7.4207785030131479E-3</v>
      </c>
      <c r="I1220" s="6">
        <f>MAX($G1220:$G$1261)</f>
        <v>6321.76</v>
      </c>
      <c r="J1220" s="7">
        <f t="shared" si="98"/>
        <v>-1.3890119207309426E-2</v>
      </c>
      <c r="K1220" s="6">
        <f t="shared" si="99"/>
        <v>104.1801056849972</v>
      </c>
    </row>
    <row r="1221" spans="1:11" x14ac:dyDescent="0.25">
      <c r="A1221" s="2">
        <f>DATE(2017,6,20)</f>
        <v>42906</v>
      </c>
      <c r="B1221" s="6">
        <v>36.25</v>
      </c>
      <c r="C1221" s="7">
        <f t="shared" si="95"/>
        <v>-9.0213231273920114E-3</v>
      </c>
      <c r="D1221" s="6">
        <f>MAX($B1221:$B$1261)</f>
        <v>39.03</v>
      </c>
      <c r="E1221" s="7">
        <f t="shared" si="96"/>
        <v>-7.1227261081219573E-2</v>
      </c>
      <c r="G1221" s="6">
        <v>6188.03</v>
      </c>
      <c r="H1221" s="7">
        <f t="shared" si="97"/>
        <v>-8.171168182131483E-3</v>
      </c>
      <c r="I1221" s="6">
        <f>MAX($G1221:$G$1261)</f>
        <v>6321.76</v>
      </c>
      <c r="J1221" s="7">
        <f t="shared" si="98"/>
        <v>-2.1153919161752466E-2</v>
      </c>
      <c r="K1221" s="6">
        <f t="shared" si="99"/>
        <v>103.41270292221355</v>
      </c>
    </row>
    <row r="1222" spans="1:11" x14ac:dyDescent="0.25">
      <c r="A1222" s="2">
        <f>DATE(2017,6,19)</f>
        <v>42905</v>
      </c>
      <c r="B1222" s="6">
        <v>36.58</v>
      </c>
      <c r="C1222" s="7">
        <f t="shared" si="95"/>
        <v>2.8394714647174579E-2</v>
      </c>
      <c r="D1222" s="6">
        <f>MAX($B1222:$B$1261)</f>
        <v>39.03</v>
      </c>
      <c r="E1222" s="7">
        <f t="shared" si="96"/>
        <v>-6.2772226492441741E-2</v>
      </c>
      <c r="G1222" s="6">
        <v>6239.01</v>
      </c>
      <c r="H1222" s="7">
        <f t="shared" si="97"/>
        <v>1.4182933014291743E-2</v>
      </c>
      <c r="I1222" s="6">
        <f>MAX($G1222:$G$1261)</f>
        <v>6321.76</v>
      </c>
      <c r="J1222" s="7">
        <f t="shared" si="98"/>
        <v>-1.3089709194907706E-2</v>
      </c>
      <c r="K1222" s="6">
        <f t="shared" si="99"/>
        <v>104.26466705215061</v>
      </c>
    </row>
    <row r="1223" spans="1:11" x14ac:dyDescent="0.25">
      <c r="A1223" s="2">
        <f>DATE(2017,6,16)</f>
        <v>42902</v>
      </c>
      <c r="B1223" s="6">
        <v>35.57</v>
      </c>
      <c r="C1223" s="7">
        <f t="shared" si="95"/>
        <v>-1.3861935126143643E-2</v>
      </c>
      <c r="D1223" s="6">
        <f>MAX($B1223:$B$1261)</f>
        <v>39.03</v>
      </c>
      <c r="E1223" s="7">
        <f t="shared" si="96"/>
        <v>-8.8649756597489082E-2</v>
      </c>
      <c r="G1223" s="6">
        <v>6151.76</v>
      </c>
      <c r="H1223" s="7">
        <f t="shared" si="97"/>
        <v>-2.2285297218391786E-3</v>
      </c>
      <c r="I1223" s="6">
        <f>MAX($G1223:$G$1261)</f>
        <v>6321.76</v>
      </c>
      <c r="J1223" s="7">
        <f t="shared" si="98"/>
        <v>-2.6891245475943459E-2</v>
      </c>
      <c r="K1223" s="6">
        <f t="shared" si="99"/>
        <v>102.80656837939642</v>
      </c>
    </row>
    <row r="1224" spans="1:11" x14ac:dyDescent="0.25">
      <c r="A1224" s="2">
        <f>DATE(2017,6,15)</f>
        <v>42901</v>
      </c>
      <c r="B1224" s="6">
        <v>36.07</v>
      </c>
      <c r="C1224" s="7">
        <f t="shared" si="95"/>
        <v>-6.0622761091209121E-3</v>
      </c>
      <c r="D1224" s="6">
        <f>MAX($B1224:$B$1261)</f>
        <v>39.03</v>
      </c>
      <c r="E1224" s="7">
        <f t="shared" si="96"/>
        <v>-7.5839098129643845E-2</v>
      </c>
      <c r="G1224" s="6">
        <v>6165.5</v>
      </c>
      <c r="H1224" s="7">
        <f t="shared" si="97"/>
        <v>-4.7442327466670209E-3</v>
      </c>
      <c r="I1224" s="6">
        <f>MAX($G1224:$G$1261)</f>
        <v>6321.76</v>
      </c>
      <c r="J1224" s="7">
        <f t="shared" si="98"/>
        <v>-2.4717800106299537E-2</v>
      </c>
      <c r="K1224" s="6">
        <f t="shared" si="99"/>
        <v>103.0361875858565</v>
      </c>
    </row>
    <row r="1225" spans="1:11" x14ac:dyDescent="0.25">
      <c r="A1225" s="2">
        <f>DATE(2017,6,14)</f>
        <v>42900</v>
      </c>
      <c r="B1225" s="6">
        <v>36.29</v>
      </c>
      <c r="C1225" s="7">
        <f t="shared" si="95"/>
        <v>-9.8226466575715987E-3</v>
      </c>
      <c r="D1225" s="6">
        <f>MAX($B1225:$B$1261)</f>
        <v>39.03</v>
      </c>
      <c r="E1225" s="7">
        <f t="shared" si="96"/>
        <v>-7.0202408403791994E-2</v>
      </c>
      <c r="G1225" s="6">
        <v>6194.89</v>
      </c>
      <c r="H1225" s="7">
        <f t="shared" si="97"/>
        <v>-4.0962193567263272E-3</v>
      </c>
      <c r="I1225" s="6">
        <f>MAX($G1225:$G$1261)</f>
        <v>6321.76</v>
      </c>
      <c r="J1225" s="7">
        <f t="shared" si="98"/>
        <v>-2.0068778314899616E-2</v>
      </c>
      <c r="K1225" s="6">
        <f t="shared" si="99"/>
        <v>103.5273454081172</v>
      </c>
    </row>
    <row r="1226" spans="1:11" x14ac:dyDescent="0.25">
      <c r="A1226" s="2">
        <f>DATE(2017,6,13)</f>
        <v>42899</v>
      </c>
      <c r="B1226" s="6">
        <v>36.65</v>
      </c>
      <c r="C1226" s="7">
        <f t="shared" si="95"/>
        <v>8.2530949105914519E-3</v>
      </c>
      <c r="D1226" s="6">
        <f>MAX($B1226:$B$1261)</f>
        <v>39.03</v>
      </c>
      <c r="E1226" s="7">
        <f t="shared" si="96"/>
        <v>-6.097873430694345E-2</v>
      </c>
      <c r="G1226" s="6">
        <v>6220.37</v>
      </c>
      <c r="H1226" s="7">
        <f t="shared" si="97"/>
        <v>7.2723327493011691E-3</v>
      </c>
      <c r="I1226" s="6">
        <f>MAX($G1226:$G$1261)</f>
        <v>6321.76</v>
      </c>
      <c r="J1226" s="7">
        <f t="shared" si="98"/>
        <v>-1.6038255169446569E-2</v>
      </c>
      <c r="K1226" s="6">
        <f t="shared" si="99"/>
        <v>103.95316035575934</v>
      </c>
    </row>
    <row r="1227" spans="1:11" x14ac:dyDescent="0.25">
      <c r="A1227" s="2">
        <f>DATE(2017,6,12)</f>
        <v>42898</v>
      </c>
      <c r="B1227" s="6">
        <v>36.35</v>
      </c>
      <c r="C1227" s="7">
        <f t="shared" si="95"/>
        <v>-2.3899033297529515E-2</v>
      </c>
      <c r="D1227" s="6">
        <f>MAX($B1227:$B$1261)</f>
        <v>39.03</v>
      </c>
      <c r="E1227" s="7">
        <f t="shared" si="96"/>
        <v>-6.866512938765057E-2</v>
      </c>
      <c r="G1227" s="6">
        <v>6175.46</v>
      </c>
      <c r="H1227" s="7">
        <f t="shared" si="97"/>
        <v>-5.2288044949032608E-3</v>
      </c>
      <c r="I1227" s="6">
        <f>MAX($G1227:$G$1261)</f>
        <v>6321.76</v>
      </c>
      <c r="J1227" s="7">
        <f t="shared" si="98"/>
        <v>-2.3142289489003098E-2</v>
      </c>
      <c r="K1227" s="6">
        <f t="shared" si="99"/>
        <v>103.20263644294111</v>
      </c>
    </row>
    <row r="1228" spans="1:11" x14ac:dyDescent="0.25">
      <c r="A1228" s="2">
        <f>DATE(2017,6,9)</f>
        <v>42895</v>
      </c>
      <c r="B1228" s="6">
        <v>37.24</v>
      </c>
      <c r="C1228" s="7">
        <f t="shared" si="95"/>
        <v>-3.8967741935483802E-2</v>
      </c>
      <c r="D1228" s="6">
        <f>MAX($B1228:$B$1261)</f>
        <v>39.03</v>
      </c>
      <c r="E1228" s="7">
        <f t="shared" si="96"/>
        <v>-4.5862157314885965E-2</v>
      </c>
      <c r="G1228" s="6">
        <v>6207.92</v>
      </c>
      <c r="H1228" s="7">
        <f t="shared" si="97"/>
        <v>-1.8007643441067089E-2</v>
      </c>
      <c r="I1228" s="6">
        <f>MAX($G1228:$G$1261)</f>
        <v>6321.76</v>
      </c>
      <c r="J1228" s="7">
        <f t="shared" si="98"/>
        <v>-1.8007643441067089E-2</v>
      </c>
      <c r="K1228" s="6">
        <f t="shared" si="99"/>
        <v>103.74509928440359</v>
      </c>
    </row>
    <row r="1229" spans="1:11" x14ac:dyDescent="0.25">
      <c r="A1229" s="2">
        <f>DATE(2017,6,8)</f>
        <v>42894</v>
      </c>
      <c r="B1229" s="6">
        <v>38.75</v>
      </c>
      <c r="C1229" s="7">
        <f t="shared" si="95"/>
        <v>-2.3171987641606995E-3</v>
      </c>
      <c r="D1229" s="6">
        <f>MAX($B1229:$B$1261)</f>
        <v>39.03</v>
      </c>
      <c r="E1229" s="7">
        <f t="shared" si="96"/>
        <v>-7.1739687419933862E-3</v>
      </c>
      <c r="G1229" s="6">
        <v>6321.76</v>
      </c>
      <c r="H1229" s="7">
        <f t="shared" si="97"/>
        <v>3.8714513019699748E-3</v>
      </c>
      <c r="I1229" s="6">
        <f>MAX($G1229:$G$1261)</f>
        <v>6321.76</v>
      </c>
      <c r="J1229" s="7">
        <f t="shared" si="98"/>
        <v>0</v>
      </c>
      <c r="K1229" s="6">
        <f t="shared" si="99"/>
        <v>105.64756292802925</v>
      </c>
    </row>
    <row r="1230" spans="1:11" x14ac:dyDescent="0.25">
      <c r="A1230" s="2">
        <f>DATE(2017,6,7)</f>
        <v>42893</v>
      </c>
      <c r="B1230" s="6">
        <v>38.840000000000003</v>
      </c>
      <c r="C1230" s="7">
        <f t="shared" si="95"/>
        <v>5.9570059570059897E-3</v>
      </c>
      <c r="D1230" s="6">
        <f>MAX($B1230:$B$1261)</f>
        <v>39.03</v>
      </c>
      <c r="E1230" s="7">
        <f t="shared" si="96"/>
        <v>-4.8680502177811391E-3</v>
      </c>
      <c r="G1230" s="6">
        <v>6297.38</v>
      </c>
      <c r="H1230" s="7">
        <f t="shared" si="97"/>
        <v>3.5569381009901146E-3</v>
      </c>
      <c r="I1230" s="6">
        <f>MAX($G1230:$G$1261)</f>
        <v>6305.8</v>
      </c>
      <c r="J1230" s="7">
        <f t="shared" si="98"/>
        <v>-1.3352786323702626E-3</v>
      </c>
      <c r="K1230" s="6">
        <f t="shared" si="99"/>
        <v>105.24013088629003</v>
      </c>
    </row>
    <row r="1231" spans="1:11" x14ac:dyDescent="0.25">
      <c r="A1231" s="2">
        <f>DATE(2017,6,6)</f>
        <v>42892</v>
      </c>
      <c r="B1231" s="6">
        <v>38.61</v>
      </c>
      <c r="C1231" s="7">
        <f t="shared" si="95"/>
        <v>3.3783783783785104E-3</v>
      </c>
      <c r="D1231" s="6">
        <f>MAX($B1231:$B$1261)</f>
        <v>39.03</v>
      </c>
      <c r="E1231" s="7">
        <f t="shared" si="96"/>
        <v>-1.0760953112990079E-2</v>
      </c>
      <c r="G1231" s="6">
        <v>6275.06</v>
      </c>
      <c r="H1231" s="7">
        <f t="shared" si="97"/>
        <v>-3.2752617667988204E-3</v>
      </c>
      <c r="I1231" s="6">
        <f>MAX($G1231:$G$1261)</f>
        <v>6305.8</v>
      </c>
      <c r="J1231" s="7">
        <f t="shared" si="98"/>
        <v>-4.8748770972755207E-3</v>
      </c>
      <c r="K1231" s="6">
        <f t="shared" si="99"/>
        <v>104.8671250137872</v>
      </c>
    </row>
    <row r="1232" spans="1:11" x14ac:dyDescent="0.25">
      <c r="A1232" s="2">
        <f>DATE(2017,6,5)</f>
        <v>42891</v>
      </c>
      <c r="B1232" s="6">
        <v>38.479999999999997</v>
      </c>
      <c r="C1232" s="7">
        <f t="shared" si="95"/>
        <v>-9.7786927431806614E-3</v>
      </c>
      <c r="D1232" s="6">
        <f>MAX($B1232:$B$1261)</f>
        <v>39.03</v>
      </c>
      <c r="E1232" s="7">
        <f t="shared" si="96"/>
        <v>-1.4091724314629905E-2</v>
      </c>
      <c r="G1232" s="6">
        <v>6295.68</v>
      </c>
      <c r="H1232" s="7">
        <f t="shared" si="97"/>
        <v>-1.6048717054140127E-3</v>
      </c>
      <c r="I1232" s="6">
        <f>MAX($G1232:$G$1261)</f>
        <v>6305.8</v>
      </c>
      <c r="J1232" s="7">
        <f t="shared" si="98"/>
        <v>-1.6048717054140127E-3</v>
      </c>
      <c r="K1232" s="6">
        <f t="shared" si="99"/>
        <v>105.21172094080373</v>
      </c>
    </row>
    <row r="1233" spans="1:11" x14ac:dyDescent="0.25">
      <c r="A1233" s="2">
        <f>DATE(2017,6,2)</f>
        <v>42888</v>
      </c>
      <c r="B1233" s="6">
        <v>38.86</v>
      </c>
      <c r="C1233" s="7">
        <f t="shared" si="95"/>
        <v>1.4886393314181179E-2</v>
      </c>
      <c r="D1233" s="6">
        <f>MAX($B1233:$B$1261)</f>
        <v>39.03</v>
      </c>
      <c r="E1233" s="7">
        <f t="shared" si="96"/>
        <v>-4.3556238790674051E-3</v>
      </c>
      <c r="G1233" s="6">
        <v>6305.8</v>
      </c>
      <c r="H1233" s="7">
        <f t="shared" si="97"/>
        <v>9.4399879618942695E-3</v>
      </c>
      <c r="I1233" s="6">
        <f>MAX($G1233:$G$1261)</f>
        <v>6305.8</v>
      </c>
      <c r="J1233" s="7">
        <f t="shared" si="98"/>
        <v>0</v>
      </c>
      <c r="K1233" s="6">
        <f t="shared" si="99"/>
        <v>105.38084367511057</v>
      </c>
    </row>
    <row r="1234" spans="1:11" x14ac:dyDescent="0.25">
      <c r="A1234" s="2">
        <f>DATE(2017,6,1)</f>
        <v>42887</v>
      </c>
      <c r="B1234" s="6">
        <v>38.29</v>
      </c>
      <c r="C1234" s="7">
        <f t="shared" si="95"/>
        <v>2.6184865147944603E-3</v>
      </c>
      <c r="D1234" s="6">
        <f>MAX($B1234:$B$1261)</f>
        <v>39.03</v>
      </c>
      <c r="E1234" s="7">
        <f t="shared" si="96"/>
        <v>-1.8959774532411044E-2</v>
      </c>
      <c r="G1234" s="6">
        <v>6246.83</v>
      </c>
      <c r="H1234" s="7">
        <f t="shared" si="97"/>
        <v>7.7937959383851396E-3</v>
      </c>
      <c r="I1234" s="6">
        <f>MAX($G1234:$G$1261)</f>
        <v>6246.83</v>
      </c>
      <c r="J1234" s="7">
        <f t="shared" si="98"/>
        <v>0</v>
      </c>
      <c r="K1234" s="6">
        <f t="shared" si="99"/>
        <v>104.39535280138776</v>
      </c>
    </row>
    <row r="1235" spans="1:11" x14ac:dyDescent="0.25">
      <c r="A1235" s="2">
        <f>DATE(2017,5,31)</f>
        <v>42886</v>
      </c>
      <c r="B1235" s="6">
        <v>38.19</v>
      </c>
      <c r="C1235" s="7">
        <f t="shared" si="95"/>
        <v>-5.9864653826132708E-3</v>
      </c>
      <c r="D1235" s="6">
        <f>MAX($B1235:$B$1261)</f>
        <v>39.03</v>
      </c>
      <c r="E1235" s="7">
        <f t="shared" si="96"/>
        <v>-2.1521906225980048E-2</v>
      </c>
      <c r="G1235" s="6">
        <v>6198.52</v>
      </c>
      <c r="H1235" s="7">
        <f t="shared" si="97"/>
        <v>-7.5283845892182288E-4</v>
      </c>
      <c r="I1235" s="6">
        <f>MAX($G1235:$G$1261)</f>
        <v>6210.19</v>
      </c>
      <c r="J1235" s="7">
        <f t="shared" si="98"/>
        <v>-1.8791695584191581E-3</v>
      </c>
      <c r="K1235" s="6">
        <f t="shared" si="99"/>
        <v>103.58800899759689</v>
      </c>
    </row>
    <row r="1236" spans="1:11" x14ac:dyDescent="0.25">
      <c r="A1236" s="2">
        <f>DATE(2017,5,30)</f>
        <v>42885</v>
      </c>
      <c r="B1236" s="6">
        <v>38.42</v>
      </c>
      <c r="C1236" s="7">
        <f t="shared" si="95"/>
        <v>5.2083333333330373E-4</v>
      </c>
      <c r="D1236" s="6">
        <f>MAX($B1236:$B$1261)</f>
        <v>39.03</v>
      </c>
      <c r="E1236" s="7">
        <f t="shared" si="96"/>
        <v>-1.5629003330771218E-2</v>
      </c>
      <c r="G1236" s="6">
        <v>6203.19</v>
      </c>
      <c r="H1236" s="7">
        <f t="shared" si="97"/>
        <v>-1.1271796837133419E-3</v>
      </c>
      <c r="I1236" s="6">
        <f>MAX($G1236:$G$1261)</f>
        <v>6210.19</v>
      </c>
      <c r="J1236" s="7">
        <f t="shared" si="98"/>
        <v>-1.1271796837133419E-3</v>
      </c>
      <c r="K1236" s="6">
        <f t="shared" si="99"/>
        <v>103.66605278902108</v>
      </c>
    </row>
    <row r="1237" spans="1:11" x14ac:dyDescent="0.25">
      <c r="A1237" s="2">
        <f>DATE(2017,5,26)</f>
        <v>42881</v>
      </c>
      <c r="B1237" s="6">
        <v>38.4</v>
      </c>
      <c r="C1237" s="7">
        <f t="shared" si="95"/>
        <v>-1.8195996880686627E-3</v>
      </c>
      <c r="D1237" s="6">
        <f>MAX($B1237:$B$1261)</f>
        <v>39.03</v>
      </c>
      <c r="E1237" s="7">
        <f t="shared" si="96"/>
        <v>-1.6141429669485063E-2</v>
      </c>
      <c r="G1237" s="6">
        <v>6210.19</v>
      </c>
      <c r="H1237" s="7">
        <f t="shared" si="97"/>
        <v>7.9448725758468619E-4</v>
      </c>
      <c r="I1237" s="6">
        <f>MAX($G1237:$G$1261)</f>
        <v>6210.19</v>
      </c>
      <c r="J1237" s="7">
        <f t="shared" si="98"/>
        <v>0</v>
      </c>
      <c r="K1237" s="6">
        <f t="shared" si="99"/>
        <v>103.78303491749419</v>
      </c>
    </row>
    <row r="1238" spans="1:11" x14ac:dyDescent="0.25">
      <c r="A1238" s="2">
        <f>DATE(2017,5,25)</f>
        <v>42880</v>
      </c>
      <c r="B1238" s="6">
        <v>38.47</v>
      </c>
      <c r="C1238" s="7">
        <f t="shared" si="95"/>
        <v>3.6524915210018882E-3</v>
      </c>
      <c r="D1238" s="6">
        <f>MAX($B1238:$B$1261)</f>
        <v>39.03</v>
      </c>
      <c r="E1238" s="7">
        <f t="shared" si="96"/>
        <v>-1.4347937483986772E-2</v>
      </c>
      <c r="G1238" s="6">
        <v>6205.26</v>
      </c>
      <c r="H1238" s="7">
        <f t="shared" si="97"/>
        <v>6.8537827234049775E-3</v>
      </c>
      <c r="I1238" s="6">
        <f>MAX($G1238:$G$1261)</f>
        <v>6205.26</v>
      </c>
      <c r="J1238" s="7">
        <f t="shared" si="98"/>
        <v>0</v>
      </c>
      <c r="K1238" s="6">
        <f t="shared" si="99"/>
        <v>103.70064607558385</v>
      </c>
    </row>
    <row r="1239" spans="1:11" x14ac:dyDescent="0.25">
      <c r="A1239" s="2">
        <f>DATE(2017,5,24)</f>
        <v>42879</v>
      </c>
      <c r="B1239" s="6">
        <v>38.33</v>
      </c>
      <c r="C1239" s="7">
        <f t="shared" si="95"/>
        <v>-3.1209362808843899E-3</v>
      </c>
      <c r="D1239" s="6">
        <f>MAX($B1239:$B$1261)</f>
        <v>39.03</v>
      </c>
      <c r="E1239" s="7">
        <f t="shared" si="96"/>
        <v>-1.7934921854983465E-2</v>
      </c>
      <c r="G1239" s="6">
        <v>6163.02</v>
      </c>
      <c r="H1239" s="7">
        <f t="shared" si="97"/>
        <v>3.9601153988380045E-3</v>
      </c>
      <c r="I1239" s="6">
        <f>MAX($G1239:$G$1261)</f>
        <v>6169.87</v>
      </c>
      <c r="J1239" s="7">
        <f t="shared" si="98"/>
        <v>-1.1102340892108487E-3</v>
      </c>
      <c r="K1239" s="6">
        <f t="shared" si="99"/>
        <v>102.9947424889118</v>
      </c>
    </row>
    <row r="1240" spans="1:11" x14ac:dyDescent="0.25">
      <c r="A1240" s="2">
        <f>DATE(2017,5,23)</f>
        <v>42878</v>
      </c>
      <c r="B1240" s="6">
        <v>38.450000000000003</v>
      </c>
      <c r="C1240" s="7">
        <f t="shared" si="95"/>
        <v>-1.2987012987012436E-3</v>
      </c>
      <c r="D1240" s="6">
        <f>MAX($B1240:$B$1261)</f>
        <v>39.03</v>
      </c>
      <c r="E1240" s="7">
        <f t="shared" si="96"/>
        <v>-1.4860363822700395E-2</v>
      </c>
      <c r="G1240" s="6">
        <v>6138.71</v>
      </c>
      <c r="H1240" s="7">
        <f t="shared" si="97"/>
        <v>8.2985251776279689E-4</v>
      </c>
      <c r="I1240" s="6">
        <f>MAX($G1240:$G$1261)</f>
        <v>6169.87</v>
      </c>
      <c r="J1240" s="7">
        <f t="shared" si="98"/>
        <v>-5.0503495211405847E-3</v>
      </c>
      <c r="K1240" s="6">
        <f t="shared" si="99"/>
        <v>102.58848026845729</v>
      </c>
    </row>
    <row r="1241" spans="1:11" x14ac:dyDescent="0.25">
      <c r="A1241" s="2">
        <f>DATE(2017,5,22)</f>
        <v>42877</v>
      </c>
      <c r="B1241" s="6">
        <v>38.5</v>
      </c>
      <c r="C1241" s="7">
        <f t="shared" si="95"/>
        <v>6.2728698379508341E-3</v>
      </c>
      <c r="D1241" s="6">
        <f>MAX($B1241:$B$1261)</f>
        <v>39.03</v>
      </c>
      <c r="E1241" s="7">
        <f t="shared" si="96"/>
        <v>-1.3579297975915949E-2</v>
      </c>
      <c r="G1241" s="6">
        <v>6133.62</v>
      </c>
      <c r="H1241" s="7">
        <f t="shared" si="97"/>
        <v>8.2055328172001563E-3</v>
      </c>
      <c r="I1241" s="6">
        <f>MAX($G1241:$G$1261)</f>
        <v>6169.87</v>
      </c>
      <c r="J1241" s="7">
        <f t="shared" si="98"/>
        <v>-5.875326384510493E-3</v>
      </c>
      <c r="K1241" s="6">
        <f t="shared" si="99"/>
        <v>102.50341754932469</v>
      </c>
    </row>
    <row r="1242" spans="1:11" x14ac:dyDescent="0.25">
      <c r="A1242" s="2">
        <f>DATE(2017,5,19)</f>
        <v>42874</v>
      </c>
      <c r="B1242" s="6">
        <v>38.26</v>
      </c>
      <c r="C1242" s="7">
        <f t="shared" si="95"/>
        <v>3.4093889325987892E-3</v>
      </c>
      <c r="D1242" s="6">
        <f>MAX($B1242:$B$1261)</f>
        <v>39.03</v>
      </c>
      <c r="E1242" s="7">
        <f t="shared" si="96"/>
        <v>-1.9728414040481757E-2</v>
      </c>
      <c r="G1242" s="6">
        <v>6083.7</v>
      </c>
      <c r="H1242" s="7">
        <f t="shared" si="97"/>
        <v>4.7183132319206234E-3</v>
      </c>
      <c r="I1242" s="6">
        <f>MAX($G1242:$G$1261)</f>
        <v>6169.87</v>
      </c>
      <c r="J1242" s="7">
        <f t="shared" si="98"/>
        <v>-1.39662586083662E-2</v>
      </c>
      <c r="K1242" s="6">
        <f t="shared" si="99"/>
        <v>101.66916785598498</v>
      </c>
    </row>
    <row r="1243" spans="1:11" x14ac:dyDescent="0.25">
      <c r="A1243" s="2">
        <f>DATE(2017,5,18)</f>
        <v>42873</v>
      </c>
      <c r="B1243" s="6">
        <v>38.130000000000003</v>
      </c>
      <c r="C1243" s="7">
        <f t="shared" si="95"/>
        <v>1.5175718849840258E-2</v>
      </c>
      <c r="D1243" s="6">
        <f>MAX($B1243:$B$1261)</f>
        <v>39.03</v>
      </c>
      <c r="E1243" s="7">
        <f t="shared" si="96"/>
        <v>-2.3059185242121361E-2</v>
      </c>
      <c r="G1243" s="6">
        <v>6055.13</v>
      </c>
      <c r="H1243" s="7">
        <f t="shared" si="97"/>
        <v>7.3013221897646474E-3</v>
      </c>
      <c r="I1243" s="6">
        <f>MAX($G1243:$G$1261)</f>
        <v>6169.87</v>
      </c>
      <c r="J1243" s="7">
        <f t="shared" si="98"/>
        <v>-1.859682618920655E-2</v>
      </c>
      <c r="K1243" s="6">
        <f t="shared" si="99"/>
        <v>101.19171365448828</v>
      </c>
    </row>
    <row r="1244" spans="1:11" x14ac:dyDescent="0.25">
      <c r="A1244" s="2">
        <f>DATE(2017,5,17)</f>
        <v>42872</v>
      </c>
      <c r="B1244" s="6">
        <v>37.56</v>
      </c>
      <c r="C1244" s="7">
        <f t="shared" si="95"/>
        <v>-3.3702083869307842E-2</v>
      </c>
      <c r="D1244" s="6">
        <f>MAX($B1244:$B$1261)</f>
        <v>39.03</v>
      </c>
      <c r="E1244" s="7">
        <f t="shared" si="96"/>
        <v>-3.7663335895465E-2</v>
      </c>
      <c r="G1244" s="6">
        <v>6011.24</v>
      </c>
      <c r="H1244" s="7">
        <f t="shared" si="97"/>
        <v>-2.5710428258618134E-2</v>
      </c>
      <c r="I1244" s="6">
        <f>MAX($G1244:$G$1261)</f>
        <v>6169.87</v>
      </c>
      <c r="J1244" s="7">
        <f t="shared" si="98"/>
        <v>-2.5710428258618134E-2</v>
      </c>
      <c r="K1244" s="6">
        <f t="shared" si="99"/>
        <v>100.45823570896184</v>
      </c>
    </row>
    <row r="1245" spans="1:11" x14ac:dyDescent="0.25">
      <c r="A1245" s="2">
        <f>DATE(2017,5,16)</f>
        <v>42871</v>
      </c>
      <c r="B1245" s="6">
        <v>38.869999999999997</v>
      </c>
      <c r="C1245" s="7">
        <f t="shared" si="95"/>
        <v>-1.284686536485169E-3</v>
      </c>
      <c r="D1245" s="6">
        <f>MAX($B1245:$B$1261)</f>
        <v>39.03</v>
      </c>
      <c r="E1245" s="7">
        <f t="shared" si="96"/>
        <v>-4.0994107097105381E-3</v>
      </c>
      <c r="G1245" s="6">
        <v>6169.87</v>
      </c>
      <c r="H1245" s="7">
        <f t="shared" si="97"/>
        <v>3.2847290992850109E-3</v>
      </c>
      <c r="I1245" s="6">
        <f>MAX($G1245:$G$1261)</f>
        <v>6169.87</v>
      </c>
      <c r="J1245" s="7">
        <f t="shared" si="98"/>
        <v>0</v>
      </c>
      <c r="K1245" s="6">
        <f t="shared" si="99"/>
        <v>103.10921785748904</v>
      </c>
    </row>
    <row r="1246" spans="1:11" x14ac:dyDescent="0.25">
      <c r="A1246" s="2">
        <f>DATE(2017,5,15)</f>
        <v>42870</v>
      </c>
      <c r="B1246" s="6">
        <v>38.92</v>
      </c>
      <c r="C1246" s="7">
        <f t="shared" si="95"/>
        <v>-2.8183448629259811E-3</v>
      </c>
      <c r="D1246" s="6">
        <f>MAX($B1246:$B$1261)</f>
        <v>39.03</v>
      </c>
      <c r="E1246" s="7">
        <f t="shared" si="96"/>
        <v>-2.8183448629259811E-3</v>
      </c>
      <c r="G1246" s="6">
        <v>6149.67</v>
      </c>
      <c r="H1246" s="7">
        <f t="shared" si="97"/>
        <v>4.6461250434961521E-3</v>
      </c>
      <c r="I1246" s="6">
        <f>MAX($G1246:$G$1261)</f>
        <v>6149.67</v>
      </c>
      <c r="J1246" s="7">
        <f t="shared" si="98"/>
        <v>0</v>
      </c>
      <c r="K1246" s="6">
        <f t="shared" si="99"/>
        <v>102.7716408581809</v>
      </c>
    </row>
    <row r="1247" spans="1:11" x14ac:dyDescent="0.25">
      <c r="A1247" s="2">
        <f>DATE(2017,5,12)</f>
        <v>42867</v>
      </c>
      <c r="B1247" s="6">
        <v>39.03</v>
      </c>
      <c r="C1247" s="7">
        <f t="shared" si="95"/>
        <v>1.4029618082618933E-2</v>
      </c>
      <c r="D1247" s="6">
        <f>MAX($B1247:$B$1261)</f>
        <v>39.03</v>
      </c>
      <c r="E1247" s="7">
        <f t="shared" si="96"/>
        <v>0</v>
      </c>
      <c r="G1247" s="6">
        <v>6121.23</v>
      </c>
      <c r="H1247" s="7">
        <f t="shared" si="97"/>
        <v>8.6167993250430008E-4</v>
      </c>
      <c r="I1247" s="6">
        <f>MAX($G1247:$G$1261)</f>
        <v>6129.14</v>
      </c>
      <c r="J1247" s="7">
        <f t="shared" si="98"/>
        <v>-1.2905562607479215E-3</v>
      </c>
      <c r="K1247" s="6">
        <f t="shared" si="99"/>
        <v>102.29635918192727</v>
      </c>
    </row>
    <row r="1248" spans="1:11" x14ac:dyDescent="0.25">
      <c r="A1248" s="2">
        <f>DATE(2017,5,11)</f>
        <v>42866</v>
      </c>
      <c r="B1248" s="6">
        <v>38.49</v>
      </c>
      <c r="C1248" s="7">
        <f t="shared" si="95"/>
        <v>4.6985121378229078E-3</v>
      </c>
      <c r="D1248" s="6">
        <f>MAX($B1248:$B$1261)</f>
        <v>38.5</v>
      </c>
      <c r="E1248" s="7">
        <f t="shared" si="96"/>
        <v>-2.5974025974018211E-4</v>
      </c>
      <c r="G1248" s="6">
        <v>6115.96</v>
      </c>
      <c r="H1248" s="7">
        <f t="shared" si="97"/>
        <v>-2.1503832511576837E-3</v>
      </c>
      <c r="I1248" s="6">
        <f>MAX($G1248:$G$1261)</f>
        <v>6129.14</v>
      </c>
      <c r="J1248" s="7">
        <f t="shared" si="98"/>
        <v>-2.1503832511576837E-3</v>
      </c>
      <c r="K1248" s="6">
        <f t="shared" si="99"/>
        <v>102.20828835091967</v>
      </c>
    </row>
    <row r="1249" spans="1:11" x14ac:dyDescent="0.25">
      <c r="A1249" s="2">
        <f>DATE(2017,5,10)</f>
        <v>42865</v>
      </c>
      <c r="B1249" s="6">
        <v>38.31</v>
      </c>
      <c r="C1249" s="7">
        <f t="shared" si="95"/>
        <v>-4.9350649350649034E-3</v>
      </c>
      <c r="D1249" s="6">
        <f>MAX($B1249:$B$1261)</f>
        <v>38.5</v>
      </c>
      <c r="E1249" s="7">
        <f t="shared" si="96"/>
        <v>-4.9350649350649034E-3</v>
      </c>
      <c r="G1249" s="6">
        <v>6129.14</v>
      </c>
      <c r="H1249" s="7">
        <f t="shared" si="97"/>
        <v>1.3969241527369558E-3</v>
      </c>
      <c r="I1249" s="6">
        <f>MAX($G1249:$G$1261)</f>
        <v>6129.14</v>
      </c>
      <c r="J1249" s="7">
        <f t="shared" si="98"/>
        <v>0</v>
      </c>
      <c r="K1249" s="6">
        <f t="shared" si="99"/>
        <v>102.42854898710192</v>
      </c>
    </row>
    <row r="1250" spans="1:11" x14ac:dyDescent="0.25">
      <c r="A1250" s="2">
        <f>DATE(2017,5,9)</f>
        <v>42864</v>
      </c>
      <c r="B1250" s="6">
        <v>38.5</v>
      </c>
      <c r="C1250" s="7">
        <f t="shared" si="95"/>
        <v>6.5359477124182774E-3</v>
      </c>
      <c r="D1250" s="6">
        <f>MAX($B1250:$B$1261)</f>
        <v>38.5</v>
      </c>
      <c r="E1250" s="7">
        <f t="shared" si="96"/>
        <v>0</v>
      </c>
      <c r="G1250" s="6">
        <v>6120.59</v>
      </c>
      <c r="H1250" s="7">
        <f t="shared" si="97"/>
        <v>2.9380630741349112E-3</v>
      </c>
      <c r="I1250" s="6">
        <f>MAX($G1250:$G$1261)</f>
        <v>6120.59</v>
      </c>
      <c r="J1250" s="7">
        <f t="shared" si="98"/>
        <v>0</v>
      </c>
      <c r="K1250" s="6">
        <f t="shared" si="99"/>
        <v>102.28566367303833</v>
      </c>
    </row>
    <row r="1251" spans="1:11" x14ac:dyDescent="0.25">
      <c r="A1251" s="2">
        <f>DATE(2017,5,8)</f>
        <v>42863</v>
      </c>
      <c r="B1251" s="6">
        <v>38.25</v>
      </c>
      <c r="C1251" s="7">
        <f t="shared" si="95"/>
        <v>2.7121374865735737E-2</v>
      </c>
      <c r="D1251" s="6">
        <f>MAX($B1251:$B$1261)</f>
        <v>38.25</v>
      </c>
      <c r="E1251" s="7">
        <f t="shared" si="96"/>
        <v>0</v>
      </c>
      <c r="G1251" s="6">
        <v>6102.66</v>
      </c>
      <c r="H1251" s="7">
        <f t="shared" si="97"/>
        <v>3.1143660789800798E-4</v>
      </c>
      <c r="I1251" s="6">
        <f>MAX($G1251:$G$1261)</f>
        <v>6102.66</v>
      </c>
      <c r="J1251" s="7">
        <f t="shared" si="98"/>
        <v>0</v>
      </c>
      <c r="K1251" s="6">
        <f t="shared" si="99"/>
        <v>101.98602230682076</v>
      </c>
    </row>
    <row r="1252" spans="1:11" x14ac:dyDescent="0.25">
      <c r="A1252" s="2">
        <f>DATE(2017,5,5)</f>
        <v>42860</v>
      </c>
      <c r="B1252" s="6">
        <v>37.24</v>
      </c>
      <c r="C1252" s="7">
        <f t="shared" si="95"/>
        <v>1.665301665301655E-2</v>
      </c>
      <c r="D1252" s="6">
        <f>MAX($B1252:$B$1261)</f>
        <v>37.24</v>
      </c>
      <c r="E1252" s="7">
        <f t="shared" si="96"/>
        <v>0</v>
      </c>
      <c r="G1252" s="6">
        <v>6100.76</v>
      </c>
      <c r="H1252" s="7">
        <f t="shared" si="97"/>
        <v>4.1841279665006947E-3</v>
      </c>
      <c r="I1252" s="6">
        <f>MAX($G1252:$G$1261)</f>
        <v>6100.76</v>
      </c>
      <c r="J1252" s="7">
        <f t="shared" si="98"/>
        <v>0</v>
      </c>
      <c r="K1252" s="6">
        <f t="shared" si="99"/>
        <v>101.95427001480662</v>
      </c>
    </row>
    <row r="1253" spans="1:11" x14ac:dyDescent="0.25">
      <c r="A1253" s="2">
        <f>DATE(2017,5,4)</f>
        <v>42859</v>
      </c>
      <c r="B1253" s="6">
        <v>36.630000000000003</v>
      </c>
      <c r="C1253" s="7">
        <f t="shared" si="95"/>
        <v>-3.5364526659411588E-3</v>
      </c>
      <c r="D1253" s="6">
        <f>MAX($B1253:$B$1261)</f>
        <v>36.880000000000003</v>
      </c>
      <c r="E1253" s="7">
        <f t="shared" si="96"/>
        <v>-6.778741865509752E-3</v>
      </c>
      <c r="G1253" s="6">
        <v>6075.34</v>
      </c>
      <c r="H1253" s="7">
        <f t="shared" si="97"/>
        <v>4.5944454965374248E-4</v>
      </c>
      <c r="I1253" s="6">
        <f>MAX($G1253:$G$1261)</f>
        <v>6095.37</v>
      </c>
      <c r="J1253" s="7">
        <f t="shared" si="98"/>
        <v>-3.286100761725641E-3</v>
      </c>
      <c r="K1253" s="6">
        <f t="shared" si="99"/>
        <v>101.52945777112282</v>
      </c>
    </row>
    <row r="1254" spans="1:11" x14ac:dyDescent="0.25">
      <c r="A1254" s="2">
        <f>DATE(2017,5,3)</f>
        <v>42858</v>
      </c>
      <c r="B1254" s="6">
        <v>36.76</v>
      </c>
      <c r="C1254" s="7">
        <f t="shared" si="95"/>
        <v>-3.2537960954448497E-3</v>
      </c>
      <c r="D1254" s="6">
        <f>MAX($B1254:$B$1261)</f>
        <v>36.880000000000003</v>
      </c>
      <c r="E1254" s="7">
        <f t="shared" si="96"/>
        <v>-3.2537960954448497E-3</v>
      </c>
      <c r="G1254" s="6">
        <v>6072.55</v>
      </c>
      <c r="H1254" s="7">
        <f t="shared" si="97"/>
        <v>-3.7438252312820275E-3</v>
      </c>
      <c r="I1254" s="6">
        <f>MAX($G1254:$G$1261)</f>
        <v>6095.37</v>
      </c>
      <c r="J1254" s="7">
        <f t="shared" si="98"/>
        <v>-3.7438252312820275E-3</v>
      </c>
      <c r="K1254" s="6">
        <f t="shared" si="99"/>
        <v>101.48283203705996</v>
      </c>
    </row>
    <row r="1255" spans="1:11" x14ac:dyDescent="0.25">
      <c r="A1255" s="2">
        <f>DATE(2017,5,2)</f>
        <v>42857</v>
      </c>
      <c r="B1255" s="6">
        <v>36.880000000000003</v>
      </c>
      <c r="C1255" s="7">
        <f t="shared" si="95"/>
        <v>6.2755798090041726E-3</v>
      </c>
      <c r="D1255" s="6">
        <f>MAX($B1255:$B$1261)</f>
        <v>36.880000000000003</v>
      </c>
      <c r="E1255" s="7">
        <f t="shared" si="96"/>
        <v>0</v>
      </c>
      <c r="G1255" s="6">
        <v>6095.37</v>
      </c>
      <c r="H1255" s="7">
        <f t="shared" si="97"/>
        <v>6.1888502199747286E-4</v>
      </c>
      <c r="I1255" s="6">
        <f>MAX($G1255:$G$1261)</f>
        <v>6095.37</v>
      </c>
      <c r="J1255" s="7">
        <f t="shared" si="98"/>
        <v>0</v>
      </c>
      <c r="K1255" s="6">
        <f t="shared" si="99"/>
        <v>101.86419377588231</v>
      </c>
    </row>
    <row r="1256" spans="1:11" x14ac:dyDescent="0.25">
      <c r="A1256" s="2">
        <f>DATE(2017,5,1)</f>
        <v>42856</v>
      </c>
      <c r="B1256" s="6">
        <v>36.65</v>
      </c>
      <c r="C1256" s="7">
        <f t="shared" si="95"/>
        <v>2.0607073238652296E-2</v>
      </c>
      <c r="D1256" s="6">
        <f>MAX($B1256:$B$1261)</f>
        <v>36.65</v>
      </c>
      <c r="E1256" s="7">
        <f t="shared" si="96"/>
        <v>0</v>
      </c>
      <c r="G1256" s="6">
        <v>6091.6</v>
      </c>
      <c r="H1256" s="7">
        <f t="shared" si="97"/>
        <v>7.2739478901584498E-3</v>
      </c>
      <c r="I1256" s="6">
        <f>MAX($G1256:$G$1261)</f>
        <v>6091.6</v>
      </c>
      <c r="J1256" s="7">
        <f t="shared" si="98"/>
        <v>0</v>
      </c>
      <c r="K1256" s="6">
        <f t="shared" si="99"/>
        <v>101.80119054383323</v>
      </c>
    </row>
    <row r="1257" spans="1:11" x14ac:dyDescent="0.25">
      <c r="A1257" s="2">
        <f>DATE(2017,4,28)</f>
        <v>42853</v>
      </c>
      <c r="B1257" s="6">
        <v>35.909999999999997</v>
      </c>
      <c r="C1257" s="7">
        <f t="shared" si="95"/>
        <v>-1.1126564673158423E-3</v>
      </c>
      <c r="D1257" s="6">
        <f>MAX($B1257:$B$1261)</f>
        <v>36.130000000000003</v>
      </c>
      <c r="E1257" s="7">
        <f t="shared" si="96"/>
        <v>-6.0891226127872677E-3</v>
      </c>
      <c r="G1257" s="6">
        <v>6047.61</v>
      </c>
      <c r="H1257" s="7">
        <f t="shared" si="97"/>
        <v>-2.1987323398808822E-4</v>
      </c>
      <c r="I1257" s="6">
        <f>MAX($G1257:$G$1261)</f>
        <v>6048.94</v>
      </c>
      <c r="J1257" s="7">
        <f t="shared" si="98"/>
        <v>-2.1987323398808822E-4</v>
      </c>
      <c r="K1257" s="6">
        <f t="shared" si="99"/>
        <v>101.06604142504287</v>
      </c>
    </row>
    <row r="1258" spans="1:11" x14ac:dyDescent="0.25">
      <c r="A1258" s="2">
        <f>DATE(2017,4,27)</f>
        <v>42852</v>
      </c>
      <c r="B1258" s="6">
        <v>35.950000000000003</v>
      </c>
      <c r="C1258" s="7">
        <f t="shared" si="95"/>
        <v>8.3518930957682258E-4</v>
      </c>
      <c r="D1258" s="6">
        <f>MAX($B1258:$B$1261)</f>
        <v>36.130000000000003</v>
      </c>
      <c r="E1258" s="7">
        <f t="shared" si="96"/>
        <v>-4.9820094104622292E-3</v>
      </c>
      <c r="G1258" s="6">
        <v>6048.94</v>
      </c>
      <c r="H1258" s="7">
        <f t="shared" si="97"/>
        <v>3.9351194892145447E-3</v>
      </c>
      <c r="I1258" s="6">
        <f>MAX($G1258:$G$1261)</f>
        <v>6048.94</v>
      </c>
      <c r="J1258" s="7">
        <f t="shared" si="98"/>
        <v>0</v>
      </c>
      <c r="K1258" s="6">
        <f t="shared" si="99"/>
        <v>101.08826802945276</v>
      </c>
    </row>
    <row r="1259" spans="1:11" x14ac:dyDescent="0.25">
      <c r="A1259" s="2">
        <f>DATE(2017,4,26)</f>
        <v>42851</v>
      </c>
      <c r="B1259" s="6">
        <v>35.92</v>
      </c>
      <c r="C1259" s="7">
        <f t="shared" si="95"/>
        <v>-5.8123443122058971E-3</v>
      </c>
      <c r="D1259" s="6">
        <f>MAX($B1259:$B$1261)</f>
        <v>36.130000000000003</v>
      </c>
      <c r="E1259" s="7">
        <f t="shared" si="96"/>
        <v>-5.8123443122058971E-3</v>
      </c>
      <c r="G1259" s="6">
        <v>6025.23</v>
      </c>
      <c r="H1259" s="7">
        <f t="shared" si="97"/>
        <v>-4.3150017674964403E-5</v>
      </c>
      <c r="I1259" s="6">
        <f>MAX($G1259:$G$1261)</f>
        <v>6025.49</v>
      </c>
      <c r="J1259" s="7">
        <f t="shared" si="98"/>
        <v>-4.3150017674964403E-5</v>
      </c>
      <c r="K1259" s="6">
        <f t="shared" si="99"/>
        <v>100.69203284858168</v>
      </c>
    </row>
    <row r="1260" spans="1:11" x14ac:dyDescent="0.25">
      <c r="A1260" s="2">
        <f>DATE(2017,4,25)</f>
        <v>42850</v>
      </c>
      <c r="B1260" s="6">
        <v>36.130000000000003</v>
      </c>
      <c r="C1260" s="7">
        <f t="shared" si="95"/>
        <v>6.1264271790588687E-3</v>
      </c>
      <c r="D1260" s="6">
        <f>MAX($B1260:$B$1261)</f>
        <v>36.130000000000003</v>
      </c>
      <c r="E1260" s="7">
        <f t="shared" si="96"/>
        <v>0</v>
      </c>
      <c r="G1260" s="6">
        <v>6025.49</v>
      </c>
      <c r="H1260" s="7">
        <f t="shared" si="97"/>
        <v>6.9637789906782377E-3</v>
      </c>
      <c r="I1260" s="6">
        <f>MAX($G1260:$G$1261)</f>
        <v>6025.49</v>
      </c>
      <c r="J1260" s="7">
        <f t="shared" si="98"/>
        <v>0</v>
      </c>
      <c r="K1260" s="6">
        <f t="shared" si="99"/>
        <v>100.69637789906783</v>
      </c>
    </row>
    <row r="1261" spans="1:11" x14ac:dyDescent="0.25">
      <c r="A1261" s="2">
        <f>DATE(2017,4,24)</f>
        <v>42849</v>
      </c>
      <c r="B1261" s="6">
        <v>35.909999999999997</v>
      </c>
      <c r="C1261" s="7">
        <f t="shared" si="95"/>
        <v>0</v>
      </c>
      <c r="D1261" s="6">
        <f>MAX($B1261:$B$1261)</f>
        <v>35.909999999999997</v>
      </c>
      <c r="E1261" s="7">
        <f t="shared" si="96"/>
        <v>0</v>
      </c>
      <c r="G1261" s="6">
        <v>5983.82</v>
      </c>
      <c r="H1261" s="7">
        <f t="shared" si="97"/>
        <v>0</v>
      </c>
      <c r="I1261" s="6">
        <f>MAX($G1261:$G$1261)</f>
        <v>5983.82</v>
      </c>
      <c r="J1261" s="7">
        <f t="shared" si="98"/>
        <v>0</v>
      </c>
      <c r="K1261" s="6">
        <f t="shared" si="99"/>
        <v>100</v>
      </c>
    </row>
    <row r="1262" spans="1:11" x14ac:dyDescent="0.25">
      <c r="K1262">
        <v>100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23"/>
  <sheetViews>
    <sheetView showGridLines="0" workbookViewId="0"/>
  </sheetViews>
  <sheetFormatPr defaultColWidth="24.42578125" defaultRowHeight="15" x14ac:dyDescent="0.25"/>
  <cols>
    <col min="1" max="1" width="47" customWidth="1"/>
  </cols>
  <sheetData>
    <row r="1" spans="1:6" x14ac:dyDescent="0.25">
      <c r="B1" s="8">
        <f>DATE(2021,9,25)</f>
        <v>44464</v>
      </c>
      <c r="C1" s="8">
        <f>DATE(2020,9,26)</f>
        <v>44100</v>
      </c>
      <c r="D1" s="8">
        <f>DATE(2019,9,28)</f>
        <v>43736</v>
      </c>
      <c r="E1" s="8">
        <f>DATE(2018,9,29)</f>
        <v>43372</v>
      </c>
      <c r="F1" s="8">
        <f>DATE(2017,9,30)</f>
        <v>43008</v>
      </c>
    </row>
    <row r="2" spans="1:6" ht="21" x14ac:dyDescent="0.35">
      <c r="A2" s="9" t="s">
        <v>40</v>
      </c>
      <c r="B2" s="10">
        <v>104038000</v>
      </c>
      <c r="C2" s="10">
        <v>80674000</v>
      </c>
      <c r="D2" s="10">
        <v>69391000</v>
      </c>
      <c r="E2" s="10">
        <v>77434000</v>
      </c>
      <c r="F2" s="10">
        <v>63598000</v>
      </c>
    </row>
    <row r="3" spans="1:6" x14ac:dyDescent="0.25">
      <c r="A3" t="s">
        <v>41</v>
      </c>
      <c r="B3" s="6">
        <v>94680000</v>
      </c>
      <c r="C3" s="6">
        <v>57411000</v>
      </c>
      <c r="D3" s="6">
        <v>55256000</v>
      </c>
      <c r="E3" s="6">
        <v>59531000</v>
      </c>
      <c r="F3" s="6">
        <v>48351000</v>
      </c>
    </row>
    <row r="4" spans="1:6" x14ac:dyDescent="0.25">
      <c r="A4" t="s">
        <v>42</v>
      </c>
      <c r="B4" s="6">
        <v>-11284000</v>
      </c>
      <c r="C4" s="6">
        <v>-11056000</v>
      </c>
      <c r="D4" s="6">
        <v>-12547000</v>
      </c>
      <c r="E4" s="6">
        <v>-10903000</v>
      </c>
      <c r="F4" s="6">
        <v>-10157000</v>
      </c>
    </row>
    <row r="5" spans="1:6" x14ac:dyDescent="0.25">
      <c r="A5" t="s">
        <v>43</v>
      </c>
      <c r="B5" s="6">
        <v>-4774000</v>
      </c>
      <c r="C5" s="6">
        <v>-215000</v>
      </c>
      <c r="D5" s="6">
        <v>-340000</v>
      </c>
      <c r="E5" s="6">
        <v>-32590000</v>
      </c>
      <c r="F5" s="6">
        <v>5966000</v>
      </c>
    </row>
    <row r="6" spans="1:6" x14ac:dyDescent="0.25">
      <c r="A6" t="s">
        <v>44</v>
      </c>
      <c r="B6" s="6">
        <v>-28966000</v>
      </c>
      <c r="C6" s="6">
        <v>-18780000</v>
      </c>
      <c r="D6" s="6">
        <v>42628000</v>
      </c>
      <c r="E6" s="6">
        <v>-13358000</v>
      </c>
      <c r="F6" s="6">
        <v>-32000</v>
      </c>
    </row>
    <row r="7" spans="1:6" x14ac:dyDescent="0.25">
      <c r="A7" s="11" t="s">
        <v>45</v>
      </c>
      <c r="B7" s="12" t="s">
        <v>45</v>
      </c>
      <c r="C7" s="12" t="s">
        <v>45</v>
      </c>
      <c r="D7" s="12" t="s">
        <v>45</v>
      </c>
      <c r="E7" s="12" t="s">
        <v>45</v>
      </c>
      <c r="F7" s="12" t="s">
        <v>45</v>
      </c>
    </row>
    <row r="8" spans="1:6" x14ac:dyDescent="0.25">
      <c r="B8" s="6"/>
      <c r="C8" s="6"/>
      <c r="D8" s="6"/>
      <c r="E8" s="6"/>
      <c r="F8" s="6"/>
    </row>
    <row r="9" spans="1:6" ht="21" x14ac:dyDescent="0.35">
      <c r="A9" s="9" t="s">
        <v>46</v>
      </c>
      <c r="B9" s="10">
        <v>-14545000</v>
      </c>
      <c r="C9" s="10">
        <v>-4289000</v>
      </c>
      <c r="D9" s="10">
        <v>45896000</v>
      </c>
      <c r="E9" s="10">
        <v>16066000</v>
      </c>
      <c r="F9" s="10">
        <v>-46446000</v>
      </c>
    </row>
    <row r="10" spans="1:6" x14ac:dyDescent="0.25">
      <c r="A10" t="s">
        <v>47</v>
      </c>
      <c r="B10" s="6">
        <v>-11085000</v>
      </c>
      <c r="C10" s="6">
        <v>-7309000</v>
      </c>
      <c r="D10" s="6">
        <v>-10495000</v>
      </c>
      <c r="E10" s="6">
        <v>-13313000</v>
      </c>
      <c r="F10" s="6">
        <v>-12795000</v>
      </c>
    </row>
    <row r="11" spans="1:6" x14ac:dyDescent="0.25">
      <c r="A11" s="11" t="s">
        <v>45</v>
      </c>
      <c r="B11" s="12" t="s">
        <v>45</v>
      </c>
      <c r="C11" s="12" t="s">
        <v>45</v>
      </c>
      <c r="D11" s="12" t="s">
        <v>45</v>
      </c>
      <c r="E11" s="12" t="s">
        <v>45</v>
      </c>
      <c r="F11" s="12" t="s">
        <v>45</v>
      </c>
    </row>
    <row r="12" spans="1:6" x14ac:dyDescent="0.25">
      <c r="B12" s="6"/>
      <c r="C12" s="6"/>
      <c r="D12" s="6"/>
      <c r="E12" s="6"/>
      <c r="F12" s="6"/>
    </row>
    <row r="13" spans="1:6" ht="21" x14ac:dyDescent="0.35">
      <c r="A13" s="9" t="s">
        <v>48</v>
      </c>
      <c r="B13" s="10">
        <v>-93353000</v>
      </c>
      <c r="C13" s="10">
        <v>-86820000</v>
      </c>
      <c r="D13" s="10">
        <v>-90976000</v>
      </c>
      <c r="E13" s="10">
        <v>-87876000</v>
      </c>
      <c r="F13" s="10">
        <v>-17347000</v>
      </c>
    </row>
    <row r="14" spans="1:6" x14ac:dyDescent="0.25">
      <c r="A14" t="s">
        <v>49</v>
      </c>
      <c r="B14" s="6">
        <v>-8750000</v>
      </c>
      <c r="C14" s="6">
        <v>-12629000</v>
      </c>
      <c r="D14" s="6">
        <v>-8805000</v>
      </c>
      <c r="E14" s="6">
        <v>-6500000</v>
      </c>
      <c r="F14" s="6">
        <v>-3500000</v>
      </c>
    </row>
    <row r="15" spans="1:6" x14ac:dyDescent="0.25">
      <c r="A15" t="s">
        <v>50</v>
      </c>
      <c r="B15" s="6">
        <v>1105000</v>
      </c>
      <c r="C15" s="6">
        <v>880000</v>
      </c>
      <c r="D15" s="6">
        <v>781000</v>
      </c>
      <c r="E15" s="6">
        <v>669000</v>
      </c>
      <c r="F15" s="6">
        <v>555000</v>
      </c>
    </row>
    <row r="16" spans="1:6" x14ac:dyDescent="0.25">
      <c r="A16" t="s">
        <v>51</v>
      </c>
      <c r="B16" s="6">
        <v>-85971000</v>
      </c>
      <c r="C16" s="6">
        <v>-72358000</v>
      </c>
      <c r="D16" s="6">
        <v>-66897000</v>
      </c>
      <c r="E16" s="6">
        <v>-72738000</v>
      </c>
      <c r="F16" s="6">
        <v>-32900000</v>
      </c>
    </row>
    <row r="17" spans="1:6" x14ac:dyDescent="0.25">
      <c r="A17" t="s">
        <v>52</v>
      </c>
      <c r="B17" s="6">
        <v>-14467000</v>
      </c>
      <c r="C17" s="6">
        <v>-14081000</v>
      </c>
      <c r="D17" s="6">
        <v>-14119000</v>
      </c>
      <c r="E17" s="6">
        <v>-13712000</v>
      </c>
      <c r="F17" s="6">
        <v>-12769000</v>
      </c>
    </row>
    <row r="18" spans="1:6" x14ac:dyDescent="0.25">
      <c r="A18" t="s">
        <v>53</v>
      </c>
      <c r="B18" s="6">
        <v>14730000</v>
      </c>
      <c r="C18" s="6">
        <v>11368000</v>
      </c>
      <c r="D18" s="6">
        <v>-1936000</v>
      </c>
      <c r="E18" s="6">
        <v>4405000</v>
      </c>
      <c r="F18" s="6">
        <v>31267000</v>
      </c>
    </row>
    <row r="19" spans="1:6" x14ac:dyDescent="0.25">
      <c r="A19" s="11" t="s">
        <v>45</v>
      </c>
      <c r="B19" s="12" t="s">
        <v>45</v>
      </c>
      <c r="C19" s="12" t="s">
        <v>45</v>
      </c>
      <c r="D19" s="12" t="s">
        <v>45</v>
      </c>
      <c r="E19" s="12" t="s">
        <v>45</v>
      </c>
      <c r="F19" s="12" t="s">
        <v>45</v>
      </c>
    </row>
    <row r="20" spans="1:6" x14ac:dyDescent="0.25">
      <c r="B20" s="6"/>
      <c r="C20" s="6"/>
      <c r="D20" s="6"/>
      <c r="E20" s="6"/>
      <c r="F20" s="6"/>
    </row>
    <row r="21" spans="1:6" ht="21" x14ac:dyDescent="0.35">
      <c r="A21" s="9" t="s">
        <v>54</v>
      </c>
      <c r="B21" s="10">
        <f>B2+B9+B13</f>
        <v>-3860000</v>
      </c>
      <c r="C21" s="10">
        <f>C2+C9+C13</f>
        <v>-10435000</v>
      </c>
      <c r="D21" s="10">
        <f>D2+D9+D13</f>
        <v>24311000</v>
      </c>
      <c r="E21" s="10">
        <f>E2+E9+E13</f>
        <v>5624000</v>
      </c>
      <c r="F21" s="10">
        <f>F2+F9+F13</f>
        <v>-195000</v>
      </c>
    </row>
    <row r="22" spans="1:6" x14ac:dyDescent="0.25">
      <c r="B22" s="6"/>
      <c r="C22" s="6"/>
      <c r="D22" s="6"/>
      <c r="E22" s="6"/>
      <c r="F22" s="6"/>
    </row>
    <row r="23" spans="1:6" ht="21" x14ac:dyDescent="0.35">
      <c r="A23" s="9" t="s">
        <v>55</v>
      </c>
      <c r="B23" s="13">
        <f>B2+B4</f>
        <v>92754000</v>
      </c>
      <c r="C23" s="13">
        <f>C2+C4</f>
        <v>69618000</v>
      </c>
      <c r="D23" s="13">
        <f>D2+D4</f>
        <v>56844000</v>
      </c>
      <c r="E23" s="13">
        <f>E2+E4</f>
        <v>66531000</v>
      </c>
      <c r="F23" s="13">
        <f>F2+F4</f>
        <v>53441000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F25"/>
  <sheetViews>
    <sheetView showGridLines="0" workbookViewId="0"/>
  </sheetViews>
  <sheetFormatPr defaultColWidth="24.42578125" defaultRowHeight="15" x14ac:dyDescent="0.25"/>
  <cols>
    <col min="1" max="1" width="47" customWidth="1"/>
  </cols>
  <sheetData>
    <row r="1" spans="1:6" x14ac:dyDescent="0.25">
      <c r="B1" s="8">
        <f>DATE(2021,9,25)</f>
        <v>44464</v>
      </c>
      <c r="C1" s="8">
        <f>DATE(2020,9,26)</f>
        <v>44100</v>
      </c>
      <c r="D1" s="8">
        <f>DATE(2019,9,28)</f>
        <v>43736</v>
      </c>
      <c r="E1" s="8">
        <f>DATE(2018,9,29)</f>
        <v>43372</v>
      </c>
      <c r="F1" s="8">
        <f>DATE(2017,9,30)</f>
        <v>43008</v>
      </c>
    </row>
    <row r="2" spans="1:6" ht="21" x14ac:dyDescent="0.35">
      <c r="A2" s="9" t="s">
        <v>56</v>
      </c>
      <c r="B2" s="10">
        <v>351002000</v>
      </c>
      <c r="C2" s="10">
        <v>323888000</v>
      </c>
      <c r="D2" s="10">
        <v>338516000</v>
      </c>
      <c r="E2" s="10">
        <v>365725000</v>
      </c>
      <c r="F2" s="10">
        <v>375319000</v>
      </c>
    </row>
    <row r="3" spans="1:6" ht="18.75" x14ac:dyDescent="0.3">
      <c r="A3" s="14" t="s">
        <v>57</v>
      </c>
      <c r="B3" s="15">
        <v>134836000</v>
      </c>
      <c r="C3" s="15">
        <v>143713000</v>
      </c>
      <c r="D3" s="15">
        <v>162819000</v>
      </c>
      <c r="E3" s="15">
        <v>131339000</v>
      </c>
      <c r="F3" s="15">
        <v>128645000</v>
      </c>
    </row>
    <row r="4" spans="1:6" x14ac:dyDescent="0.25">
      <c r="A4" t="s">
        <v>58</v>
      </c>
      <c r="B4" s="6">
        <v>34967699000</v>
      </c>
      <c r="C4" s="6">
        <v>38068927000</v>
      </c>
      <c r="D4" s="6">
        <v>48895713000</v>
      </c>
      <c r="E4" s="6">
        <v>25953388000</v>
      </c>
      <c r="F4" s="6">
        <v>20342892000</v>
      </c>
    </row>
    <row r="5" spans="1:6" x14ac:dyDescent="0.25">
      <c r="A5" t="s">
        <v>59</v>
      </c>
      <c r="B5" s="6">
        <v>51506000</v>
      </c>
      <c r="C5" s="6">
        <v>37445000</v>
      </c>
      <c r="D5" s="6">
        <v>45804000</v>
      </c>
      <c r="E5" s="6">
        <v>48995000</v>
      </c>
      <c r="F5" s="6">
        <v>35673000</v>
      </c>
    </row>
    <row r="6" spans="1:6" x14ac:dyDescent="0.25">
      <c r="A6" t="s">
        <v>60</v>
      </c>
      <c r="B6" s="6">
        <v>6580000</v>
      </c>
      <c r="C6" s="6">
        <v>4061000</v>
      </c>
      <c r="D6" s="6">
        <v>4106000</v>
      </c>
      <c r="E6" s="6">
        <v>3956000</v>
      </c>
      <c r="F6" s="6">
        <v>4855000</v>
      </c>
    </row>
    <row r="7" spans="1:6" x14ac:dyDescent="0.25">
      <c r="A7" s="11" t="s">
        <v>45</v>
      </c>
      <c r="B7" s="12" t="s">
        <v>45</v>
      </c>
      <c r="C7" s="12" t="s">
        <v>45</v>
      </c>
      <c r="D7" s="12" t="s">
        <v>45</v>
      </c>
      <c r="E7" s="12" t="s">
        <v>45</v>
      </c>
      <c r="F7" s="12" t="s">
        <v>45</v>
      </c>
    </row>
    <row r="8" spans="1:6" ht="18.75" x14ac:dyDescent="0.3">
      <c r="A8" s="14" t="s">
        <v>61</v>
      </c>
      <c r="B8" s="15">
        <v>216166000</v>
      </c>
      <c r="C8" s="15">
        <v>180175000</v>
      </c>
      <c r="D8" s="15">
        <v>175697000</v>
      </c>
      <c r="E8" s="15">
        <v>234386000</v>
      </c>
      <c r="F8" s="15">
        <v>246674000</v>
      </c>
    </row>
    <row r="9" spans="1:6" x14ac:dyDescent="0.25">
      <c r="A9" t="s">
        <v>62</v>
      </c>
      <c r="B9" s="6">
        <v>39440000</v>
      </c>
      <c r="C9" s="6">
        <v>36766000</v>
      </c>
      <c r="D9" s="6">
        <v>37378000</v>
      </c>
      <c r="E9" s="6">
        <v>41304000</v>
      </c>
      <c r="F9" s="6">
        <v>33783000</v>
      </c>
    </row>
    <row r="10" spans="1:6" x14ac:dyDescent="0.25">
      <c r="A10" s="11" t="s">
        <v>45</v>
      </c>
      <c r="B10" s="12" t="s">
        <v>45</v>
      </c>
      <c r="C10" s="12" t="s">
        <v>45</v>
      </c>
      <c r="D10" s="12" t="s">
        <v>45</v>
      </c>
      <c r="E10" s="12" t="s">
        <v>45</v>
      </c>
      <c r="F10" s="12" t="s">
        <v>45</v>
      </c>
    </row>
    <row r="11" spans="1:6" x14ac:dyDescent="0.25">
      <c r="B11" s="6"/>
      <c r="C11" s="6"/>
      <c r="D11" s="6"/>
      <c r="E11" s="6"/>
      <c r="F11" s="6"/>
    </row>
    <row r="12" spans="1:6" ht="21" x14ac:dyDescent="0.35">
      <c r="A12" s="9" t="s">
        <v>63</v>
      </c>
      <c r="B12" s="10">
        <v>287912000</v>
      </c>
      <c r="C12" s="10">
        <v>258549000</v>
      </c>
      <c r="D12" s="10">
        <v>248028000</v>
      </c>
      <c r="E12" s="10">
        <v>258578000</v>
      </c>
      <c r="F12" s="10">
        <v>241272000</v>
      </c>
    </row>
    <row r="13" spans="1:6" ht="18.75" x14ac:dyDescent="0.3">
      <c r="A13" s="14" t="s">
        <v>64</v>
      </c>
      <c r="B13" s="15">
        <v>125481000</v>
      </c>
      <c r="C13" s="15">
        <v>105392000</v>
      </c>
      <c r="D13" s="15">
        <v>105718000</v>
      </c>
      <c r="E13" s="15">
        <v>116866000</v>
      </c>
      <c r="F13" s="15">
        <v>100814000</v>
      </c>
    </row>
    <row r="14" spans="1:6" x14ac:dyDescent="0.25">
      <c r="A14" t="s">
        <v>65</v>
      </c>
      <c r="B14" s="6">
        <v>15613000</v>
      </c>
      <c r="C14" s="6">
        <v>13769000</v>
      </c>
      <c r="D14" s="6">
        <v>16240000</v>
      </c>
      <c r="E14" s="6">
        <v>20748000</v>
      </c>
      <c r="F14" s="6">
        <v>18473000</v>
      </c>
    </row>
    <row r="15" spans="1:6" x14ac:dyDescent="0.25">
      <c r="A15" t="s">
        <v>66</v>
      </c>
      <c r="B15" s="6">
        <v>54763000</v>
      </c>
      <c r="C15" s="6">
        <v>42296000</v>
      </c>
      <c r="D15" s="6">
        <v>46236000</v>
      </c>
      <c r="E15" s="6">
        <v>55888000</v>
      </c>
      <c r="F15" s="6">
        <v>49049000</v>
      </c>
    </row>
    <row r="16" spans="1:6" x14ac:dyDescent="0.25">
      <c r="A16" s="11" t="s">
        <v>45</v>
      </c>
      <c r="B16" s="12" t="s">
        <v>45</v>
      </c>
      <c r="C16" s="12" t="s">
        <v>45</v>
      </c>
      <c r="D16" s="12" t="s">
        <v>45</v>
      </c>
      <c r="E16" s="12" t="s">
        <v>45</v>
      </c>
      <c r="F16" s="12" t="s">
        <v>45</v>
      </c>
    </row>
    <row r="17" spans="1:6" ht="18.75" x14ac:dyDescent="0.3">
      <c r="A17" s="14" t="s">
        <v>67</v>
      </c>
      <c r="B17" s="15">
        <v>162431000</v>
      </c>
      <c r="C17" s="15">
        <v>153157000</v>
      </c>
      <c r="D17" s="15">
        <v>142310000</v>
      </c>
      <c r="E17" s="15">
        <v>141712000</v>
      </c>
      <c r="F17" s="15">
        <v>140458000</v>
      </c>
    </row>
    <row r="18" spans="1:6" x14ac:dyDescent="0.25">
      <c r="A18" t="s">
        <v>68</v>
      </c>
      <c r="B18" s="6">
        <v>109106000</v>
      </c>
      <c r="C18" s="6">
        <v>98667000</v>
      </c>
      <c r="D18" s="6">
        <v>91807000</v>
      </c>
      <c r="E18" s="6">
        <v>93735000</v>
      </c>
      <c r="F18" s="6">
        <v>97207000</v>
      </c>
    </row>
    <row r="19" spans="1:6" x14ac:dyDescent="0.25">
      <c r="A19" t="s">
        <v>69</v>
      </c>
      <c r="B19" s="6">
        <v>0</v>
      </c>
      <c r="C19" s="6">
        <v>0</v>
      </c>
      <c r="D19" s="6">
        <v>0</v>
      </c>
      <c r="E19" s="6">
        <v>426000</v>
      </c>
      <c r="F19" s="6">
        <v>31504000</v>
      </c>
    </row>
    <row r="20" spans="1:6" x14ac:dyDescent="0.25">
      <c r="A20" s="11" t="s">
        <v>45</v>
      </c>
      <c r="B20" s="12" t="s">
        <v>45</v>
      </c>
      <c r="C20" s="12" t="s">
        <v>45</v>
      </c>
      <c r="D20" s="12" t="s">
        <v>45</v>
      </c>
      <c r="E20" s="12" t="s">
        <v>45</v>
      </c>
      <c r="F20" s="12" t="s">
        <v>45</v>
      </c>
    </row>
    <row r="21" spans="1:6" x14ac:dyDescent="0.25">
      <c r="B21" s="6"/>
      <c r="C21" s="6"/>
      <c r="D21" s="6"/>
      <c r="E21" s="6"/>
      <c r="F21" s="6"/>
    </row>
    <row r="22" spans="1:6" ht="21" x14ac:dyDescent="0.35">
      <c r="A22" s="9" t="s">
        <v>70</v>
      </c>
      <c r="B22" s="10">
        <v>63090000</v>
      </c>
      <c r="C22" s="10">
        <v>65339000</v>
      </c>
      <c r="D22" s="10">
        <v>90488000</v>
      </c>
      <c r="E22" s="10">
        <v>107147000</v>
      </c>
      <c r="F22" s="10">
        <v>134047000</v>
      </c>
    </row>
    <row r="23" spans="1:6" x14ac:dyDescent="0.25">
      <c r="A23" t="s">
        <v>71</v>
      </c>
      <c r="B23" s="6">
        <v>57365000</v>
      </c>
      <c r="C23" s="6">
        <v>50779000</v>
      </c>
      <c r="D23" s="6">
        <v>45174000</v>
      </c>
      <c r="E23" s="6">
        <v>40201000</v>
      </c>
      <c r="F23" s="6">
        <v>35867000</v>
      </c>
    </row>
    <row r="24" spans="1:6" x14ac:dyDescent="0.25">
      <c r="A24" t="s">
        <v>72</v>
      </c>
      <c r="B24" s="6">
        <v>5562000</v>
      </c>
      <c r="C24" s="6">
        <v>14966000</v>
      </c>
      <c r="D24" s="6">
        <v>45898000</v>
      </c>
      <c r="E24" s="6">
        <v>70400000</v>
      </c>
      <c r="F24" s="6">
        <v>98330000</v>
      </c>
    </row>
    <row r="25" spans="1:6" x14ac:dyDescent="0.25">
      <c r="A25" t="s">
        <v>73</v>
      </c>
      <c r="B25" s="6">
        <v>163000</v>
      </c>
      <c r="C25" s="6">
        <v>-406000</v>
      </c>
      <c r="D25" s="6">
        <v>-584000</v>
      </c>
      <c r="E25" s="6">
        <v>-3454000</v>
      </c>
      <c r="F25" s="6">
        <v>-150000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F17"/>
  <sheetViews>
    <sheetView showGridLines="0" workbookViewId="0"/>
  </sheetViews>
  <sheetFormatPr defaultColWidth="24.42578125" defaultRowHeight="15" x14ac:dyDescent="0.25"/>
  <cols>
    <col min="1" max="1" width="47" customWidth="1"/>
  </cols>
  <sheetData>
    <row r="1" spans="1:6" x14ac:dyDescent="0.25">
      <c r="B1" s="8">
        <f>DATE(2021,9,25)</f>
        <v>44464</v>
      </c>
      <c r="C1" s="8">
        <f>DATE(2020,9,26)</f>
        <v>44100</v>
      </c>
      <c r="D1" s="8">
        <f>DATE(2019,9,28)</f>
        <v>43736</v>
      </c>
      <c r="E1" s="8">
        <f>DATE(2018,9,29)</f>
        <v>43372</v>
      </c>
      <c r="F1" s="8">
        <f>DATE(2017,9,30)</f>
        <v>43008</v>
      </c>
    </row>
    <row r="2" spans="1:6" ht="18.75" x14ac:dyDescent="0.3">
      <c r="A2" s="14" t="s">
        <v>74</v>
      </c>
      <c r="B2" s="15">
        <v>152836000</v>
      </c>
      <c r="C2" s="15">
        <v>104956000</v>
      </c>
      <c r="D2" s="15">
        <v>98392000</v>
      </c>
      <c r="E2" s="15">
        <v>101839000</v>
      </c>
      <c r="F2" s="15">
        <v>88186000</v>
      </c>
    </row>
    <row r="3" spans="1:6" x14ac:dyDescent="0.25">
      <c r="A3" t="s">
        <v>75</v>
      </c>
      <c r="B3" s="6">
        <v>365817000</v>
      </c>
      <c r="C3" s="6">
        <v>274515000</v>
      </c>
      <c r="D3" s="6">
        <v>260174000</v>
      </c>
      <c r="E3" s="6">
        <v>265595000</v>
      </c>
      <c r="F3" s="6">
        <v>229234000</v>
      </c>
    </row>
    <row r="4" spans="1:6" x14ac:dyDescent="0.25">
      <c r="A4" t="s">
        <v>76</v>
      </c>
      <c r="B4" s="6">
        <v>212981000</v>
      </c>
      <c r="C4" s="6">
        <v>169559000</v>
      </c>
      <c r="D4" s="6">
        <v>161782000</v>
      </c>
      <c r="E4" s="6">
        <v>163756000</v>
      </c>
      <c r="F4" s="6">
        <v>141048000</v>
      </c>
    </row>
    <row r="5" spans="1:6" x14ac:dyDescent="0.25">
      <c r="B5" s="6"/>
      <c r="C5" s="6"/>
      <c r="D5" s="6"/>
      <c r="E5" s="6"/>
      <c r="F5" s="6"/>
    </row>
    <row r="6" spans="1:6" ht="18.75" x14ac:dyDescent="0.3">
      <c r="A6" s="14" t="s">
        <v>77</v>
      </c>
      <c r="B6" s="15">
        <v>108949000</v>
      </c>
      <c r="C6" s="15">
        <v>66288000</v>
      </c>
      <c r="D6" s="15">
        <v>63930000</v>
      </c>
      <c r="E6" s="15">
        <v>70898000</v>
      </c>
      <c r="F6" s="15">
        <v>61344000</v>
      </c>
    </row>
    <row r="7" spans="1:6" x14ac:dyDescent="0.25">
      <c r="A7" t="s">
        <v>78</v>
      </c>
      <c r="B7" s="6">
        <v>43887000</v>
      </c>
      <c r="C7" s="6">
        <v>38668000</v>
      </c>
      <c r="D7" s="6">
        <v>34462000</v>
      </c>
      <c r="E7" s="6">
        <v>30941000</v>
      </c>
      <c r="F7" s="6">
        <v>26842000</v>
      </c>
    </row>
    <row r="8" spans="1:6" x14ac:dyDescent="0.25">
      <c r="B8" s="6"/>
      <c r="C8" s="6"/>
      <c r="D8" s="6"/>
      <c r="E8" s="6"/>
      <c r="F8" s="6"/>
    </row>
    <row r="9" spans="1:6" ht="18.75" x14ac:dyDescent="0.3">
      <c r="A9" s="14" t="s">
        <v>79</v>
      </c>
      <c r="B9" s="15">
        <v>109207000</v>
      </c>
      <c r="C9" s="15">
        <v>67091000</v>
      </c>
      <c r="D9" s="15">
        <v>65737000</v>
      </c>
      <c r="E9" s="15">
        <v>72903000</v>
      </c>
      <c r="F9" s="15">
        <v>64089000</v>
      </c>
    </row>
    <row r="10" spans="1:6" x14ac:dyDescent="0.25">
      <c r="A10" t="s">
        <v>80</v>
      </c>
      <c r="B10" s="6">
        <v>2843000</v>
      </c>
      <c r="C10" s="6">
        <v>3763000</v>
      </c>
      <c r="D10" s="6">
        <v>4961000</v>
      </c>
      <c r="E10" s="6">
        <v>5686000</v>
      </c>
      <c r="F10" s="6">
        <v>5201000</v>
      </c>
    </row>
    <row r="11" spans="1:6" x14ac:dyDescent="0.25">
      <c r="A11" t="s">
        <v>81</v>
      </c>
      <c r="B11" s="6">
        <v>2645000</v>
      </c>
      <c r="C11" s="6">
        <v>2873000</v>
      </c>
      <c r="D11" s="6">
        <v>3576000</v>
      </c>
      <c r="E11" s="6">
        <v>3240000</v>
      </c>
      <c r="F11" s="6">
        <v>2323000</v>
      </c>
    </row>
    <row r="12" spans="1:6" x14ac:dyDescent="0.25">
      <c r="A12" s="11" t="s">
        <v>45</v>
      </c>
      <c r="B12" s="12" t="s">
        <v>45</v>
      </c>
      <c r="C12" s="12" t="s">
        <v>45</v>
      </c>
      <c r="D12" s="12" t="s">
        <v>45</v>
      </c>
      <c r="E12" s="12" t="s">
        <v>45</v>
      </c>
      <c r="F12" s="12" t="s">
        <v>45</v>
      </c>
    </row>
    <row r="13" spans="1:6" x14ac:dyDescent="0.25">
      <c r="B13" s="6"/>
      <c r="C13" s="6"/>
      <c r="D13" s="6"/>
      <c r="E13" s="6"/>
      <c r="F13" s="6"/>
    </row>
    <row r="14" spans="1:6" ht="18.75" x14ac:dyDescent="0.3">
      <c r="A14" s="14" t="s">
        <v>82</v>
      </c>
      <c r="B14" s="15">
        <v>94680000</v>
      </c>
      <c r="C14" s="15">
        <v>57411000</v>
      </c>
      <c r="D14" s="15">
        <v>55256000</v>
      </c>
      <c r="E14" s="15">
        <v>59531000</v>
      </c>
      <c r="F14" s="15">
        <v>48351000</v>
      </c>
    </row>
    <row r="15" spans="1:6" x14ac:dyDescent="0.25">
      <c r="A15" t="s">
        <v>83</v>
      </c>
      <c r="B15" s="6">
        <v>14527000</v>
      </c>
      <c r="C15" s="6">
        <v>9680000</v>
      </c>
      <c r="D15" s="6">
        <v>10481000</v>
      </c>
      <c r="E15" s="6">
        <v>13372000</v>
      </c>
      <c r="F15" s="6">
        <v>15738000</v>
      </c>
    </row>
    <row r="16" spans="1:6" x14ac:dyDescent="0.25">
      <c r="B16" s="6"/>
      <c r="C16" s="6"/>
      <c r="D16" s="6"/>
      <c r="E16" s="6"/>
      <c r="F16" s="6"/>
    </row>
    <row r="17" spans="1:6" ht="21" x14ac:dyDescent="0.35">
      <c r="A17" s="9" t="s">
        <v>84</v>
      </c>
      <c r="B17" s="10">
        <v>123136000</v>
      </c>
      <c r="C17" s="10">
        <v>81020000</v>
      </c>
      <c r="D17" s="10">
        <v>81860000</v>
      </c>
      <c r="E17" s="10">
        <v>87046000</v>
      </c>
      <c r="F17" s="10">
        <v>76569000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AAPL</vt:lpstr>
      <vt:lpstr>Historicos</vt:lpstr>
      <vt:lpstr>EFF AAPL</vt:lpstr>
      <vt:lpstr>BG AAPL</vt:lpstr>
      <vt:lpstr>EERR AAPL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</cp:lastModifiedBy>
  <dcterms:created xsi:type="dcterms:W3CDTF">2022-04-23T19:35:00Z</dcterms:created>
  <dcterms:modified xsi:type="dcterms:W3CDTF">2022-04-23T19:37:43Z</dcterms:modified>
</cp:coreProperties>
</file>